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60" windowHeight="6720" firstSheet="1" activeTab="2"/>
  </bookViews>
  <sheets>
    <sheet name="Меню  1- 4 лето" sheetId="2" r:id="rId1"/>
    <sheet name="Сырьё лето" sheetId="3" r:id="rId2"/>
    <sheet name="5-11(лето)" sheetId="4" r:id="rId3"/>
  </sheets>
  <calcPr calcId="152511"/>
</workbook>
</file>

<file path=xl/calcChain.xml><?xml version="1.0" encoding="utf-8"?>
<calcChain xmlns="http://schemas.openxmlformats.org/spreadsheetml/2006/main">
  <c r="A187" i="4" l="1"/>
  <c r="B187" i="4"/>
  <c r="C187" i="4"/>
  <c r="D187" i="4"/>
  <c r="E187" i="4"/>
  <c r="F187" i="4"/>
  <c r="H187" i="4"/>
  <c r="I187" i="4"/>
  <c r="J187" i="4"/>
  <c r="K187" i="4"/>
  <c r="L187" i="4"/>
  <c r="M187" i="4"/>
  <c r="N187" i="4"/>
  <c r="O187" i="4"/>
  <c r="P187" i="4"/>
  <c r="Q187" i="4"/>
  <c r="R187" i="4"/>
  <c r="A92" i="4"/>
  <c r="B92" i="4"/>
  <c r="C92" i="4"/>
  <c r="D92" i="4"/>
  <c r="E92" i="4"/>
  <c r="F92" i="4"/>
  <c r="H92" i="4"/>
  <c r="I92" i="4"/>
  <c r="J92" i="4"/>
  <c r="K92" i="4"/>
  <c r="L92" i="4"/>
  <c r="M92" i="4"/>
  <c r="N92" i="4"/>
  <c r="O92" i="4"/>
  <c r="P92" i="4"/>
  <c r="Q92" i="4"/>
  <c r="R92" i="4"/>
  <c r="G66" i="4"/>
  <c r="G68" i="4"/>
  <c r="G70" i="4"/>
  <c r="G71" i="4"/>
  <c r="A66" i="4"/>
  <c r="C66" i="4"/>
  <c r="D66" i="4"/>
  <c r="E66" i="4"/>
  <c r="F66" i="4"/>
  <c r="C138" i="4" l="1"/>
  <c r="D138" i="4"/>
  <c r="E138" i="4"/>
  <c r="F138" i="4"/>
  <c r="H138" i="4"/>
  <c r="I138" i="4"/>
  <c r="J138" i="4"/>
  <c r="K138" i="4"/>
  <c r="L138" i="4"/>
  <c r="M138" i="4"/>
  <c r="N138" i="4"/>
  <c r="O138" i="4"/>
  <c r="P138" i="4"/>
  <c r="Q138" i="4"/>
  <c r="R138" i="4"/>
  <c r="G47" i="4" l="1"/>
  <c r="G48" i="4"/>
  <c r="G49" i="4"/>
  <c r="G50" i="4"/>
  <c r="G51" i="4"/>
  <c r="G88" i="4" l="1"/>
  <c r="G89" i="4"/>
  <c r="G93" i="4"/>
  <c r="G72" i="2" l="1"/>
  <c r="F71" i="2"/>
  <c r="G71" i="2" s="1"/>
  <c r="G105" i="2"/>
  <c r="L230" i="4"/>
  <c r="F230" i="4"/>
  <c r="E230" i="4"/>
  <c r="D230" i="4"/>
  <c r="G229" i="4"/>
  <c r="G228" i="4"/>
  <c r="G114" i="2"/>
  <c r="L113" i="2"/>
  <c r="G113" i="2"/>
  <c r="G118" i="4"/>
  <c r="L119" i="4"/>
  <c r="L124" i="4" s="1"/>
  <c r="G119" i="4"/>
  <c r="F113" i="4"/>
  <c r="E113" i="4"/>
  <c r="D113" i="4"/>
  <c r="R115" i="4"/>
  <c r="Q115" i="4"/>
  <c r="P115" i="4"/>
  <c r="O115" i="4"/>
  <c r="N115" i="4"/>
  <c r="M115" i="4"/>
  <c r="L115" i="4"/>
  <c r="K115" i="4"/>
  <c r="J115" i="4"/>
  <c r="I115" i="4"/>
  <c r="H115" i="4"/>
  <c r="C115" i="4"/>
  <c r="G109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R222" i="4"/>
  <c r="R223" i="4" s="1"/>
  <c r="R231" i="4" s="1"/>
  <c r="Q222" i="4"/>
  <c r="Q223" i="4" s="1"/>
  <c r="Q231" i="4" s="1"/>
  <c r="P222" i="4"/>
  <c r="P223" i="4" s="1"/>
  <c r="P231" i="4" s="1"/>
  <c r="O222" i="4"/>
  <c r="O223" i="4" s="1"/>
  <c r="O231" i="4" s="1"/>
  <c r="N222" i="4"/>
  <c r="N223" i="4" s="1"/>
  <c r="N231" i="4" s="1"/>
  <c r="M222" i="4"/>
  <c r="M223" i="4" s="1"/>
  <c r="M231" i="4" s="1"/>
  <c r="K222" i="4"/>
  <c r="K223" i="4" s="1"/>
  <c r="K231" i="4" s="1"/>
  <c r="J222" i="4"/>
  <c r="J223" i="4" s="1"/>
  <c r="J231" i="4" s="1"/>
  <c r="I222" i="4"/>
  <c r="I223" i="4" s="1"/>
  <c r="I231" i="4" s="1"/>
  <c r="H222" i="4"/>
  <c r="H223" i="4" s="1"/>
  <c r="H231" i="4" s="1"/>
  <c r="C222" i="4"/>
  <c r="L221" i="4"/>
  <c r="L222" i="4" s="1"/>
  <c r="L223" i="4" s="1"/>
  <c r="L231" i="4" s="1"/>
  <c r="F221" i="4"/>
  <c r="F222" i="4" s="1"/>
  <c r="F223" i="4" s="1"/>
  <c r="F231" i="4" s="1"/>
  <c r="E221" i="4"/>
  <c r="E222" i="4" s="1"/>
  <c r="E223" i="4" s="1"/>
  <c r="E231" i="4" s="1"/>
  <c r="D221" i="4"/>
  <c r="D222" i="4" s="1"/>
  <c r="D223" i="4" s="1"/>
  <c r="D231" i="4" s="1"/>
  <c r="G220" i="4"/>
  <c r="G219" i="4"/>
  <c r="G218" i="4"/>
  <c r="G217" i="4"/>
  <c r="G216" i="4"/>
  <c r="G215" i="4"/>
  <c r="R211" i="4"/>
  <c r="Q211" i="4"/>
  <c r="P211" i="4"/>
  <c r="O211" i="4"/>
  <c r="N211" i="4"/>
  <c r="M211" i="4"/>
  <c r="L211" i="4"/>
  <c r="K211" i="4"/>
  <c r="J211" i="4"/>
  <c r="I211" i="4"/>
  <c r="H211" i="4"/>
  <c r="C211" i="4"/>
  <c r="F208" i="4"/>
  <c r="E208" i="4"/>
  <c r="E211" i="4" s="1"/>
  <c r="D208" i="4"/>
  <c r="D211" i="4" s="1"/>
  <c r="G207" i="4"/>
  <c r="G206" i="4"/>
  <c r="G205" i="4"/>
  <c r="G204" i="4"/>
  <c r="G203" i="4"/>
  <c r="R199" i="4"/>
  <c r="R201" i="4" s="1"/>
  <c r="Q199" i="4"/>
  <c r="Q201" i="4" s="1"/>
  <c r="P199" i="4"/>
  <c r="P201" i="4" s="1"/>
  <c r="O199" i="4"/>
  <c r="O201" i="4" s="1"/>
  <c r="N199" i="4"/>
  <c r="N201" i="4" s="1"/>
  <c r="M199" i="4"/>
  <c r="M201" i="4" s="1"/>
  <c r="L199" i="4"/>
  <c r="L201" i="4" s="1"/>
  <c r="K199" i="4"/>
  <c r="K201" i="4" s="1"/>
  <c r="J199" i="4"/>
  <c r="J201" i="4" s="1"/>
  <c r="I199" i="4"/>
  <c r="I201" i="4" s="1"/>
  <c r="H199" i="4"/>
  <c r="H201" i="4" s="1"/>
  <c r="F199" i="4"/>
  <c r="F201" i="4" s="1"/>
  <c r="D199" i="4"/>
  <c r="D201" i="4" s="1"/>
  <c r="C199" i="4"/>
  <c r="E199" i="4"/>
  <c r="E201" i="4" s="1"/>
  <c r="G198" i="4"/>
  <c r="G196" i="4"/>
  <c r="G195" i="4"/>
  <c r="G194" i="4"/>
  <c r="G193" i="4"/>
  <c r="F186" i="4"/>
  <c r="E186" i="4"/>
  <c r="D186" i="4"/>
  <c r="H185" i="4"/>
  <c r="G185" i="4"/>
  <c r="G184" i="4"/>
  <c r="G183" i="4"/>
  <c r="R177" i="4"/>
  <c r="R178" i="4" s="1"/>
  <c r="R189" i="4" s="1"/>
  <c r="Q177" i="4"/>
  <c r="Q178" i="4" s="1"/>
  <c r="Q189" i="4" s="1"/>
  <c r="P177" i="4"/>
  <c r="P178" i="4" s="1"/>
  <c r="P189" i="4" s="1"/>
  <c r="O177" i="4"/>
  <c r="O178" i="4" s="1"/>
  <c r="O189" i="4" s="1"/>
  <c r="N177" i="4"/>
  <c r="N178" i="4" s="1"/>
  <c r="N189" i="4" s="1"/>
  <c r="M177" i="4"/>
  <c r="M178" i="4" s="1"/>
  <c r="M189" i="4" s="1"/>
  <c r="L177" i="4"/>
  <c r="L178" i="4" s="1"/>
  <c r="L189" i="4" s="1"/>
  <c r="K177" i="4"/>
  <c r="K178" i="4" s="1"/>
  <c r="K189" i="4" s="1"/>
  <c r="J177" i="4"/>
  <c r="J178" i="4" s="1"/>
  <c r="I177" i="4"/>
  <c r="I178" i="4" s="1"/>
  <c r="I189" i="4" s="1"/>
  <c r="H177" i="4"/>
  <c r="H178" i="4" s="1"/>
  <c r="F177" i="4"/>
  <c r="F178" i="4" s="1"/>
  <c r="E177" i="4"/>
  <c r="E178" i="4" s="1"/>
  <c r="D177" i="4"/>
  <c r="D178" i="4" s="1"/>
  <c r="C177" i="4"/>
  <c r="G176" i="4"/>
  <c r="G187" i="4" s="1"/>
  <c r="G175" i="4"/>
  <c r="G174" i="4"/>
  <c r="G173" i="4"/>
  <c r="G172" i="4"/>
  <c r="G171" i="4"/>
  <c r="G170" i="4"/>
  <c r="R167" i="4"/>
  <c r="Q167" i="4"/>
  <c r="P167" i="4"/>
  <c r="O167" i="4"/>
  <c r="N167" i="4"/>
  <c r="M167" i="4"/>
  <c r="L167" i="4"/>
  <c r="K167" i="4"/>
  <c r="J167" i="4"/>
  <c r="I167" i="4"/>
  <c r="H167" i="4"/>
  <c r="C167" i="4"/>
  <c r="F164" i="4"/>
  <c r="E164" i="4"/>
  <c r="D164" i="4"/>
  <c r="G163" i="4"/>
  <c r="G162" i="4"/>
  <c r="G161" i="4"/>
  <c r="G160" i="4"/>
  <c r="G159" i="4"/>
  <c r="G158" i="4"/>
  <c r="G138" i="4" s="1"/>
  <c r="Q156" i="4"/>
  <c r="R155" i="4"/>
  <c r="R156" i="4" s="1"/>
  <c r="P155" i="4"/>
  <c r="P156" i="4" s="1"/>
  <c r="O155" i="4"/>
  <c r="O156" i="4" s="1"/>
  <c r="N155" i="4"/>
  <c r="N156" i="4" s="1"/>
  <c r="M155" i="4"/>
  <c r="M156" i="4" s="1"/>
  <c r="L155" i="4"/>
  <c r="L156" i="4" s="1"/>
  <c r="K155" i="4"/>
  <c r="K156" i="4" s="1"/>
  <c r="J155" i="4"/>
  <c r="J156" i="4" s="1"/>
  <c r="I155" i="4"/>
  <c r="I156" i="4" s="1"/>
  <c r="H155" i="4"/>
  <c r="H156" i="4" s="1"/>
  <c r="F155" i="4"/>
  <c r="F156" i="4" s="1"/>
  <c r="E155" i="4"/>
  <c r="E156" i="4" s="1"/>
  <c r="D155" i="4"/>
  <c r="D156" i="4" s="1"/>
  <c r="C155" i="4"/>
  <c r="G153" i="4"/>
  <c r="G152" i="4"/>
  <c r="G151" i="4"/>
  <c r="G150" i="4"/>
  <c r="G149" i="4"/>
  <c r="R146" i="4"/>
  <c r="Q146" i="4"/>
  <c r="P146" i="4"/>
  <c r="O146" i="4"/>
  <c r="N146" i="4"/>
  <c r="M146" i="4"/>
  <c r="L146" i="4"/>
  <c r="K146" i="4"/>
  <c r="J146" i="4"/>
  <c r="C146" i="4"/>
  <c r="G144" i="4"/>
  <c r="G143" i="4"/>
  <c r="F142" i="4"/>
  <c r="F146" i="4" s="1"/>
  <c r="E142" i="4"/>
  <c r="E146" i="4" s="1"/>
  <c r="D142" i="4"/>
  <c r="D146" i="4" s="1"/>
  <c r="G141" i="4"/>
  <c r="G140" i="4"/>
  <c r="I139" i="4"/>
  <c r="I146" i="4" s="1"/>
  <c r="H139" i="4"/>
  <c r="H146" i="4" s="1"/>
  <c r="G139" i="4"/>
  <c r="R133" i="4"/>
  <c r="R134" i="4" s="1"/>
  <c r="Q133" i="4"/>
  <c r="Q134" i="4" s="1"/>
  <c r="P133" i="4"/>
  <c r="P134" i="4" s="1"/>
  <c r="O133" i="4"/>
  <c r="O134" i="4" s="1"/>
  <c r="N133" i="4"/>
  <c r="N134" i="4" s="1"/>
  <c r="M133" i="4"/>
  <c r="M134" i="4" s="1"/>
  <c r="K133" i="4"/>
  <c r="K134" i="4" s="1"/>
  <c r="J133" i="4"/>
  <c r="J134" i="4" s="1"/>
  <c r="I133" i="4"/>
  <c r="I134" i="4" s="1"/>
  <c r="H133" i="4"/>
  <c r="H134" i="4" s="1"/>
  <c r="F133" i="4"/>
  <c r="F134" i="4" s="1"/>
  <c r="D133" i="4"/>
  <c r="D134" i="4" s="1"/>
  <c r="C133" i="4"/>
  <c r="G132" i="4"/>
  <c r="G131" i="4"/>
  <c r="G130" i="4"/>
  <c r="L133" i="4"/>
  <c r="L134" i="4" s="1"/>
  <c r="G127" i="4"/>
  <c r="R124" i="4"/>
  <c r="Q124" i="4"/>
  <c r="P124" i="4"/>
  <c r="O124" i="4"/>
  <c r="N124" i="4"/>
  <c r="M124" i="4"/>
  <c r="K124" i="4"/>
  <c r="J124" i="4"/>
  <c r="I124" i="4"/>
  <c r="H124" i="4"/>
  <c r="C124" i="4"/>
  <c r="F122" i="4"/>
  <c r="F124" i="4" s="1"/>
  <c r="E122" i="4"/>
  <c r="E124" i="4" s="1"/>
  <c r="D122" i="4"/>
  <c r="D124" i="4" s="1"/>
  <c r="R106" i="4"/>
  <c r="R107" i="4" s="1"/>
  <c r="Q106" i="4"/>
  <c r="Q107" i="4" s="1"/>
  <c r="P106" i="4"/>
  <c r="P107" i="4" s="1"/>
  <c r="O106" i="4"/>
  <c r="O107" i="4" s="1"/>
  <c r="N106" i="4"/>
  <c r="N107" i="4" s="1"/>
  <c r="M106" i="4"/>
  <c r="M107" i="4" s="1"/>
  <c r="L106" i="4"/>
  <c r="L107" i="4" s="1"/>
  <c r="K106" i="4"/>
  <c r="K107" i="4" s="1"/>
  <c r="J106" i="4"/>
  <c r="J107" i="4" s="1"/>
  <c r="I106" i="4"/>
  <c r="I107" i="4" s="1"/>
  <c r="H106" i="4"/>
  <c r="H107" i="4" s="1"/>
  <c r="F106" i="4"/>
  <c r="F107" i="4" s="1"/>
  <c r="E106" i="4"/>
  <c r="E107" i="4" s="1"/>
  <c r="D106" i="4"/>
  <c r="D107" i="4" s="1"/>
  <c r="C106" i="4"/>
  <c r="G105" i="4"/>
  <c r="G104" i="4"/>
  <c r="G92" i="4" s="1"/>
  <c r="G103" i="4"/>
  <c r="G102" i="4"/>
  <c r="G100" i="4"/>
  <c r="G99" i="4"/>
  <c r="R95" i="4"/>
  <c r="Q95" i="4"/>
  <c r="P95" i="4"/>
  <c r="O95" i="4"/>
  <c r="N95" i="4"/>
  <c r="M95" i="4"/>
  <c r="L95" i="4"/>
  <c r="K95" i="4"/>
  <c r="J95" i="4"/>
  <c r="I95" i="4"/>
  <c r="H95" i="4"/>
  <c r="C95" i="4"/>
  <c r="F91" i="4"/>
  <c r="E91" i="4"/>
  <c r="E95" i="4" s="1"/>
  <c r="D91" i="4"/>
  <c r="D95" i="4" s="1"/>
  <c r="R83" i="4"/>
  <c r="R84" i="4" s="1"/>
  <c r="Q83" i="4"/>
  <c r="Q84" i="4" s="1"/>
  <c r="P83" i="4"/>
  <c r="P84" i="4" s="1"/>
  <c r="O83" i="4"/>
  <c r="O84" i="4" s="1"/>
  <c r="N83" i="4"/>
  <c r="N84" i="4" s="1"/>
  <c r="M83" i="4"/>
  <c r="M84" i="4" s="1"/>
  <c r="L83" i="4"/>
  <c r="L84" i="4" s="1"/>
  <c r="K83" i="4"/>
  <c r="K84" i="4" s="1"/>
  <c r="J83" i="4"/>
  <c r="J84" i="4" s="1"/>
  <c r="I83" i="4"/>
  <c r="I84" i="4" s="1"/>
  <c r="H83" i="4"/>
  <c r="H84" i="4" s="1"/>
  <c r="F83" i="4"/>
  <c r="F84" i="4" s="1"/>
  <c r="E83" i="4"/>
  <c r="E84" i="4" s="1"/>
  <c r="D83" i="4"/>
  <c r="D84" i="4" s="1"/>
  <c r="C83" i="4"/>
  <c r="G82" i="4"/>
  <c r="G81" i="4"/>
  <c r="G80" i="4"/>
  <c r="G79" i="4"/>
  <c r="G78" i="4"/>
  <c r="G77" i="4"/>
  <c r="R73" i="4"/>
  <c r="L73" i="4"/>
  <c r="K73" i="4"/>
  <c r="I73" i="4"/>
  <c r="H73" i="4"/>
  <c r="C73" i="4"/>
  <c r="F69" i="4"/>
  <c r="G69" i="4" s="1"/>
  <c r="Q67" i="4"/>
  <c r="Q73" i="4" s="1"/>
  <c r="P67" i="4"/>
  <c r="P73" i="4" s="1"/>
  <c r="O67" i="4"/>
  <c r="O73" i="4" s="1"/>
  <c r="N67" i="4"/>
  <c r="N73" i="4" s="1"/>
  <c r="M67" i="4"/>
  <c r="M73" i="4" s="1"/>
  <c r="J67" i="4"/>
  <c r="J73" i="4" s="1"/>
  <c r="F67" i="4"/>
  <c r="E67" i="4"/>
  <c r="E73" i="4" s="1"/>
  <c r="D67" i="4"/>
  <c r="D73" i="4" s="1"/>
  <c r="R63" i="4"/>
  <c r="R64" i="4" s="1"/>
  <c r="Q63" i="4"/>
  <c r="Q64" i="4" s="1"/>
  <c r="O63" i="4"/>
  <c r="O64" i="4" s="1"/>
  <c r="N63" i="4"/>
  <c r="N64" i="4" s="1"/>
  <c r="L63" i="4"/>
  <c r="L64" i="4" s="1"/>
  <c r="K63" i="4"/>
  <c r="K64" i="4" s="1"/>
  <c r="J63" i="4"/>
  <c r="J64" i="4" s="1"/>
  <c r="I63" i="4"/>
  <c r="I64" i="4" s="1"/>
  <c r="H63" i="4"/>
  <c r="H64" i="4" s="1"/>
  <c r="C63" i="4"/>
  <c r="C64" i="4" s="1"/>
  <c r="G61" i="4"/>
  <c r="G60" i="4"/>
  <c r="G59" i="4"/>
  <c r="P58" i="4"/>
  <c r="P63" i="4" s="1"/>
  <c r="P64" i="4" s="1"/>
  <c r="M58" i="4"/>
  <c r="M63" i="4" s="1"/>
  <c r="M64" i="4" s="1"/>
  <c r="F58" i="4"/>
  <c r="G58" i="4" s="1"/>
  <c r="G57" i="4"/>
  <c r="F56" i="4"/>
  <c r="E56" i="4"/>
  <c r="E63" i="4" s="1"/>
  <c r="E64" i="4" s="1"/>
  <c r="D56" i="4"/>
  <c r="D63" i="4" s="1"/>
  <c r="D64" i="4" s="1"/>
  <c r="R53" i="4"/>
  <c r="Q53" i="4"/>
  <c r="P53" i="4"/>
  <c r="O53" i="4"/>
  <c r="N53" i="4"/>
  <c r="M53" i="4"/>
  <c r="L53" i="4"/>
  <c r="K53" i="4"/>
  <c r="J53" i="4"/>
  <c r="I53" i="4"/>
  <c r="H53" i="4"/>
  <c r="F53" i="4"/>
  <c r="E53" i="4"/>
  <c r="D53" i="4"/>
  <c r="C53" i="4"/>
  <c r="R41" i="4"/>
  <c r="R42" i="4" s="1"/>
  <c r="Q41" i="4"/>
  <c r="Q42" i="4" s="1"/>
  <c r="P41" i="4"/>
  <c r="P42" i="4" s="1"/>
  <c r="O41" i="4"/>
  <c r="O42" i="4" s="1"/>
  <c r="N41" i="4"/>
  <c r="N42" i="4" s="1"/>
  <c r="M41" i="4"/>
  <c r="M42" i="4" s="1"/>
  <c r="L41" i="4"/>
  <c r="L42" i="4" s="1"/>
  <c r="K41" i="4"/>
  <c r="K42" i="4" s="1"/>
  <c r="J41" i="4"/>
  <c r="J42" i="4" s="1"/>
  <c r="I41" i="4"/>
  <c r="I42" i="4" s="1"/>
  <c r="H41" i="4"/>
  <c r="H42" i="4" s="1"/>
  <c r="F41" i="4"/>
  <c r="F42" i="4" s="1"/>
  <c r="E41" i="4"/>
  <c r="E42" i="4" s="1"/>
  <c r="D41" i="4"/>
  <c r="D42" i="4" s="1"/>
  <c r="C41" i="4"/>
  <c r="C42" i="4" s="1"/>
  <c r="G40" i="4"/>
  <c r="G39" i="4"/>
  <c r="G38" i="4"/>
  <c r="G37" i="4"/>
  <c r="G36" i="4"/>
  <c r="G35" i="4"/>
  <c r="R31" i="4"/>
  <c r="Q31" i="4"/>
  <c r="P31" i="4"/>
  <c r="O31" i="4"/>
  <c r="N31" i="4"/>
  <c r="M31" i="4"/>
  <c r="L31" i="4"/>
  <c r="K31" i="4"/>
  <c r="J31" i="4"/>
  <c r="I31" i="4"/>
  <c r="F31" i="4"/>
  <c r="C31" i="4"/>
  <c r="H31" i="4"/>
  <c r="G31" i="4"/>
  <c r="E31" i="4"/>
  <c r="D31" i="4"/>
  <c r="G29" i="4"/>
  <c r="G28" i="4"/>
  <c r="G27" i="4"/>
  <c r="G26" i="4"/>
  <c r="G25" i="4"/>
  <c r="R22" i="4"/>
  <c r="R23" i="4" s="1"/>
  <c r="Q22" i="4"/>
  <c r="Q23" i="4" s="1"/>
  <c r="K22" i="4"/>
  <c r="K23" i="4" s="1"/>
  <c r="J22" i="4"/>
  <c r="J23" i="4" s="1"/>
  <c r="C22" i="4"/>
  <c r="C11" i="4" s="1"/>
  <c r="C23" i="4" s="1"/>
  <c r="G21" i="4"/>
  <c r="G20" i="4"/>
  <c r="P19" i="4"/>
  <c r="P22" i="4" s="1"/>
  <c r="P23" i="4" s="1"/>
  <c r="O19" i="4"/>
  <c r="O22" i="4" s="1"/>
  <c r="O23" i="4" s="1"/>
  <c r="N19" i="4"/>
  <c r="N22" i="4" s="1"/>
  <c r="N23" i="4" s="1"/>
  <c r="M19" i="4"/>
  <c r="M22" i="4" s="1"/>
  <c r="M23" i="4" s="1"/>
  <c r="L19" i="4"/>
  <c r="I19" i="4"/>
  <c r="I22" i="4" s="1"/>
  <c r="I23" i="4" s="1"/>
  <c r="H19" i="4"/>
  <c r="H22" i="4" s="1"/>
  <c r="H23" i="4" s="1"/>
  <c r="F19" i="4"/>
  <c r="F22" i="4" s="1"/>
  <c r="F23" i="4" s="1"/>
  <c r="E19" i="4"/>
  <c r="E22" i="4" s="1"/>
  <c r="E23" i="4" s="1"/>
  <c r="D19" i="4"/>
  <c r="D22" i="4" s="1"/>
  <c r="D23" i="4" s="1"/>
  <c r="L17" i="4"/>
  <c r="G17" i="4"/>
  <c r="R11" i="4"/>
  <c r="Q11" i="4"/>
  <c r="P11" i="4"/>
  <c r="O11" i="4"/>
  <c r="N11" i="4"/>
  <c r="M11" i="4"/>
  <c r="L11" i="4"/>
  <c r="K11" i="4"/>
  <c r="J11" i="4"/>
  <c r="I11" i="4"/>
  <c r="H11" i="4"/>
  <c r="F11" i="4"/>
  <c r="E11" i="4"/>
  <c r="D11" i="4"/>
  <c r="G10" i="4"/>
  <c r="G11" i="4" s="1"/>
  <c r="C152" i="2"/>
  <c r="G147" i="2"/>
  <c r="G207" i="2"/>
  <c r="G174" i="2"/>
  <c r="G128" i="2"/>
  <c r="G96" i="2"/>
  <c r="G85" i="2"/>
  <c r="R11" i="2"/>
  <c r="Q11" i="2"/>
  <c r="P11" i="2"/>
  <c r="O11" i="2"/>
  <c r="N11" i="2"/>
  <c r="M11" i="2"/>
  <c r="L11" i="2"/>
  <c r="K11" i="2"/>
  <c r="J11" i="2"/>
  <c r="I11" i="2"/>
  <c r="H11" i="2"/>
  <c r="F11" i="2"/>
  <c r="E11" i="2"/>
  <c r="D11" i="2"/>
  <c r="G42" i="2"/>
  <c r="C43" i="2"/>
  <c r="C44" i="2" s="1"/>
  <c r="R43" i="2"/>
  <c r="R44" i="2" s="1"/>
  <c r="Q43" i="2"/>
  <c r="Q44" i="2" s="1"/>
  <c r="P43" i="2"/>
  <c r="P44" i="2" s="1"/>
  <c r="O43" i="2"/>
  <c r="O44" i="2" s="1"/>
  <c r="N43" i="2"/>
  <c r="N44" i="2" s="1"/>
  <c r="M43" i="2"/>
  <c r="M44" i="2" s="1"/>
  <c r="L43" i="2"/>
  <c r="L44" i="2" s="1"/>
  <c r="K43" i="2"/>
  <c r="K44" i="2" s="1"/>
  <c r="J43" i="2"/>
  <c r="J44" i="2" s="1"/>
  <c r="I43" i="2"/>
  <c r="I44" i="2" s="1"/>
  <c r="H43" i="2"/>
  <c r="H44" i="2" s="1"/>
  <c r="F43" i="2"/>
  <c r="F44" i="2" s="1"/>
  <c r="E43" i="2"/>
  <c r="E44" i="2" s="1"/>
  <c r="D43" i="2"/>
  <c r="D44" i="2" s="1"/>
  <c r="R209" i="2"/>
  <c r="Q209" i="2"/>
  <c r="P209" i="2"/>
  <c r="O209" i="2"/>
  <c r="N209" i="2"/>
  <c r="M209" i="2"/>
  <c r="L209" i="2"/>
  <c r="K209" i="2"/>
  <c r="J209" i="2"/>
  <c r="I209" i="2"/>
  <c r="H209" i="2"/>
  <c r="C209" i="2"/>
  <c r="C197" i="2"/>
  <c r="R220" i="2"/>
  <c r="R221" i="2" s="1"/>
  <c r="Q220" i="2"/>
  <c r="Q221" i="2" s="1"/>
  <c r="P220" i="2"/>
  <c r="P221" i="2" s="1"/>
  <c r="O220" i="2"/>
  <c r="O221" i="2" s="1"/>
  <c r="N220" i="2"/>
  <c r="N221" i="2" s="1"/>
  <c r="M220" i="2"/>
  <c r="M221" i="2" s="1"/>
  <c r="K220" i="2"/>
  <c r="K221" i="2" s="1"/>
  <c r="J220" i="2"/>
  <c r="J221" i="2" s="1"/>
  <c r="I220" i="2"/>
  <c r="I221" i="2" s="1"/>
  <c r="H220" i="2"/>
  <c r="H221" i="2" s="1"/>
  <c r="C220" i="2"/>
  <c r="L219" i="2"/>
  <c r="L220" i="2" s="1"/>
  <c r="L221" i="2" s="1"/>
  <c r="F219" i="2"/>
  <c r="F220" i="2" s="1"/>
  <c r="F221" i="2" s="1"/>
  <c r="E219" i="2"/>
  <c r="E220" i="2" s="1"/>
  <c r="E221" i="2" s="1"/>
  <c r="D219" i="2"/>
  <c r="D220" i="2" s="1"/>
  <c r="D221" i="2" s="1"/>
  <c r="G218" i="2"/>
  <c r="G217" i="2"/>
  <c r="G216" i="2"/>
  <c r="G215" i="2"/>
  <c r="G214" i="2"/>
  <c r="G213" i="2"/>
  <c r="R197" i="2"/>
  <c r="R199" i="2" s="1"/>
  <c r="Q197" i="2"/>
  <c r="Q199" i="2" s="1"/>
  <c r="P197" i="2"/>
  <c r="P199" i="2" s="1"/>
  <c r="O197" i="2"/>
  <c r="O199" i="2" s="1"/>
  <c r="N197" i="2"/>
  <c r="N199" i="2" s="1"/>
  <c r="M197" i="2"/>
  <c r="M199" i="2" s="1"/>
  <c r="L197" i="2"/>
  <c r="L199" i="2" s="1"/>
  <c r="K197" i="2"/>
  <c r="K199" i="2" s="1"/>
  <c r="J197" i="2"/>
  <c r="J199" i="2" s="1"/>
  <c r="I197" i="2"/>
  <c r="I199" i="2" s="1"/>
  <c r="H197" i="2"/>
  <c r="H199" i="2" s="1"/>
  <c r="F197" i="2"/>
  <c r="F199" i="2" s="1"/>
  <c r="D197" i="2"/>
  <c r="D199" i="2" s="1"/>
  <c r="E196" i="2"/>
  <c r="G196" i="2" s="1"/>
  <c r="G195" i="2"/>
  <c r="G193" i="2"/>
  <c r="G192" i="2"/>
  <c r="G191" i="2"/>
  <c r="G190" i="2"/>
  <c r="R175" i="2"/>
  <c r="R176" i="2" s="1"/>
  <c r="R187" i="2" s="1"/>
  <c r="Q175" i="2"/>
  <c r="Q176" i="2" s="1"/>
  <c r="Q187" i="2" s="1"/>
  <c r="P175" i="2"/>
  <c r="P176" i="2" s="1"/>
  <c r="P187" i="2" s="1"/>
  <c r="O175" i="2"/>
  <c r="O176" i="2" s="1"/>
  <c r="O187" i="2" s="1"/>
  <c r="N175" i="2"/>
  <c r="N176" i="2" s="1"/>
  <c r="N187" i="2" s="1"/>
  <c r="M175" i="2"/>
  <c r="M176" i="2" s="1"/>
  <c r="M187" i="2" s="1"/>
  <c r="L175" i="2"/>
  <c r="L176" i="2" s="1"/>
  <c r="L187" i="2" s="1"/>
  <c r="K175" i="2"/>
  <c r="K176" i="2" s="1"/>
  <c r="K187" i="2" s="1"/>
  <c r="J175" i="2"/>
  <c r="J176" i="2" s="1"/>
  <c r="J187" i="2" s="1"/>
  <c r="I175" i="2"/>
  <c r="I176" i="2" s="1"/>
  <c r="I187" i="2" s="1"/>
  <c r="H175" i="2"/>
  <c r="H176" i="2" s="1"/>
  <c r="F175" i="2"/>
  <c r="F176" i="2" s="1"/>
  <c r="E175" i="2"/>
  <c r="E176" i="2" s="1"/>
  <c r="D175" i="2"/>
  <c r="D176" i="2" s="1"/>
  <c r="C175" i="2"/>
  <c r="G173" i="2"/>
  <c r="G172" i="2"/>
  <c r="G171" i="2"/>
  <c r="G170" i="2"/>
  <c r="G169" i="2"/>
  <c r="G168" i="2"/>
  <c r="G167" i="2"/>
  <c r="R152" i="2"/>
  <c r="R153" i="2" s="1"/>
  <c r="Q153" i="2"/>
  <c r="P152" i="2"/>
  <c r="P153" i="2" s="1"/>
  <c r="O152" i="2"/>
  <c r="O153" i="2" s="1"/>
  <c r="N152" i="2"/>
  <c r="N153" i="2" s="1"/>
  <c r="M152" i="2"/>
  <c r="M153" i="2" s="1"/>
  <c r="L152" i="2"/>
  <c r="L153" i="2" s="1"/>
  <c r="K152" i="2"/>
  <c r="K153" i="2" s="1"/>
  <c r="J152" i="2"/>
  <c r="J153" i="2" s="1"/>
  <c r="I152" i="2"/>
  <c r="I153" i="2" s="1"/>
  <c r="H152" i="2"/>
  <c r="H153" i="2" s="1"/>
  <c r="G150" i="2"/>
  <c r="G149" i="2"/>
  <c r="G148" i="2"/>
  <c r="G146" i="2"/>
  <c r="R130" i="2"/>
  <c r="R131" i="2" s="1"/>
  <c r="Q130" i="2"/>
  <c r="Q131" i="2" s="1"/>
  <c r="P130" i="2"/>
  <c r="P131" i="2" s="1"/>
  <c r="O130" i="2"/>
  <c r="O131" i="2" s="1"/>
  <c r="N130" i="2"/>
  <c r="N131" i="2" s="1"/>
  <c r="M130" i="2"/>
  <c r="M131" i="2" s="1"/>
  <c r="K130" i="2"/>
  <c r="K131" i="2" s="1"/>
  <c r="J130" i="2"/>
  <c r="J131" i="2" s="1"/>
  <c r="I130" i="2"/>
  <c r="I131" i="2" s="1"/>
  <c r="H130" i="2"/>
  <c r="H131" i="2" s="1"/>
  <c r="F130" i="2"/>
  <c r="F131" i="2" s="1"/>
  <c r="D130" i="2"/>
  <c r="D131" i="2" s="1"/>
  <c r="C130" i="2"/>
  <c r="E129" i="2"/>
  <c r="E130" i="2" s="1"/>
  <c r="E131" i="2" s="1"/>
  <c r="G127" i="2"/>
  <c r="G126" i="2"/>
  <c r="G125" i="2"/>
  <c r="L130" i="2"/>
  <c r="L131" i="2" s="1"/>
  <c r="G122" i="2"/>
  <c r="R109" i="2"/>
  <c r="R110" i="2" s="1"/>
  <c r="Q109" i="2"/>
  <c r="Q110" i="2" s="1"/>
  <c r="P109" i="2"/>
  <c r="P110" i="2" s="1"/>
  <c r="O109" i="2"/>
  <c r="O110" i="2" s="1"/>
  <c r="N109" i="2"/>
  <c r="N110" i="2" s="1"/>
  <c r="M109" i="2"/>
  <c r="M110" i="2" s="1"/>
  <c r="L109" i="2"/>
  <c r="L110" i="2" s="1"/>
  <c r="K109" i="2"/>
  <c r="K110" i="2" s="1"/>
  <c r="J109" i="2"/>
  <c r="J110" i="2" s="1"/>
  <c r="I109" i="2"/>
  <c r="I110" i="2" s="1"/>
  <c r="H109" i="2"/>
  <c r="H110" i="2" s="1"/>
  <c r="F109" i="2"/>
  <c r="F110" i="2" s="1"/>
  <c r="E109" i="2"/>
  <c r="E110" i="2" s="1"/>
  <c r="D109" i="2"/>
  <c r="D110" i="2" s="1"/>
  <c r="C109" i="2"/>
  <c r="G108" i="2"/>
  <c r="G107" i="2"/>
  <c r="G106" i="2"/>
  <c r="G103" i="2"/>
  <c r="G102" i="2"/>
  <c r="R86" i="2"/>
  <c r="R87" i="2" s="1"/>
  <c r="Q86" i="2"/>
  <c r="Q87" i="2" s="1"/>
  <c r="P86" i="2"/>
  <c r="P87" i="2" s="1"/>
  <c r="O86" i="2"/>
  <c r="O87" i="2" s="1"/>
  <c r="N86" i="2"/>
  <c r="N87" i="2" s="1"/>
  <c r="M86" i="2"/>
  <c r="M87" i="2" s="1"/>
  <c r="L86" i="2"/>
  <c r="L87" i="2" s="1"/>
  <c r="K86" i="2"/>
  <c r="K87" i="2" s="1"/>
  <c r="J86" i="2"/>
  <c r="J87" i="2" s="1"/>
  <c r="I86" i="2"/>
  <c r="I87" i="2" s="1"/>
  <c r="H86" i="2"/>
  <c r="H87" i="2" s="1"/>
  <c r="F86" i="2"/>
  <c r="F87" i="2" s="1"/>
  <c r="E86" i="2"/>
  <c r="E87" i="2" s="1"/>
  <c r="D86" i="2"/>
  <c r="D87" i="2" s="1"/>
  <c r="C86" i="2"/>
  <c r="G84" i="2"/>
  <c r="G83" i="2"/>
  <c r="G82" i="2"/>
  <c r="G81" i="2"/>
  <c r="G80" i="2"/>
  <c r="G79" i="2"/>
  <c r="R65" i="2"/>
  <c r="R66" i="2" s="1"/>
  <c r="Q65" i="2"/>
  <c r="Q66" i="2" s="1"/>
  <c r="O65" i="2"/>
  <c r="O66" i="2" s="1"/>
  <c r="N65" i="2"/>
  <c r="N66" i="2" s="1"/>
  <c r="L65" i="2"/>
  <c r="L66" i="2" s="1"/>
  <c r="K65" i="2"/>
  <c r="K66" i="2" s="1"/>
  <c r="J65" i="2"/>
  <c r="J66" i="2" s="1"/>
  <c r="I65" i="2"/>
  <c r="I66" i="2" s="1"/>
  <c r="H65" i="2"/>
  <c r="H66" i="2" s="1"/>
  <c r="C65" i="2"/>
  <c r="C66" i="2" s="1"/>
  <c r="E64" i="2"/>
  <c r="G64" i="2" s="1"/>
  <c r="G63" i="2"/>
  <c r="G62" i="2"/>
  <c r="G61" i="2"/>
  <c r="P60" i="2"/>
  <c r="P65" i="2" s="1"/>
  <c r="P66" i="2" s="1"/>
  <c r="M60" i="2"/>
  <c r="M65" i="2" s="1"/>
  <c r="M66" i="2" s="1"/>
  <c r="F60" i="2"/>
  <c r="G60" i="2" s="1"/>
  <c r="G59" i="2"/>
  <c r="F58" i="2"/>
  <c r="E58" i="2"/>
  <c r="D58" i="2"/>
  <c r="D65" i="2" s="1"/>
  <c r="D66" i="2" s="1"/>
  <c r="R31" i="2"/>
  <c r="Q31" i="2"/>
  <c r="P31" i="2"/>
  <c r="O31" i="2"/>
  <c r="N31" i="2"/>
  <c r="M31" i="2"/>
  <c r="L31" i="2"/>
  <c r="K31" i="2"/>
  <c r="J31" i="2"/>
  <c r="I31" i="2"/>
  <c r="C31" i="2"/>
  <c r="G41" i="2"/>
  <c r="G40" i="2"/>
  <c r="G39" i="2"/>
  <c r="G38" i="2"/>
  <c r="G37" i="2"/>
  <c r="G36" i="2"/>
  <c r="G35" i="2"/>
  <c r="R22" i="2"/>
  <c r="R23" i="2" s="1"/>
  <c r="Q22" i="2"/>
  <c r="Q23" i="2" s="1"/>
  <c r="K22" i="2"/>
  <c r="K23" i="2" s="1"/>
  <c r="J22" i="2"/>
  <c r="J23" i="2" s="1"/>
  <c r="C22" i="2"/>
  <c r="C11" i="2" s="1"/>
  <c r="C23" i="2" s="1"/>
  <c r="G21" i="2"/>
  <c r="G20" i="2"/>
  <c r="P19" i="2"/>
  <c r="P22" i="2" s="1"/>
  <c r="P23" i="2" s="1"/>
  <c r="O19" i="2"/>
  <c r="O22" i="2" s="1"/>
  <c r="O23" i="2" s="1"/>
  <c r="N19" i="2"/>
  <c r="N22" i="2" s="1"/>
  <c r="N23" i="2" s="1"/>
  <c r="M19" i="2"/>
  <c r="M22" i="2" s="1"/>
  <c r="M23" i="2" s="1"/>
  <c r="L19" i="2"/>
  <c r="I19" i="2"/>
  <c r="I22" i="2" s="1"/>
  <c r="I23" i="2" s="1"/>
  <c r="H19" i="2"/>
  <c r="H22" i="2" s="1"/>
  <c r="H23" i="2" s="1"/>
  <c r="F19" i="2"/>
  <c r="F22" i="2" s="1"/>
  <c r="F23" i="2" s="1"/>
  <c r="E19" i="2"/>
  <c r="E22" i="2" s="1"/>
  <c r="E23" i="2" s="1"/>
  <c r="D19" i="2"/>
  <c r="D22" i="2" s="1"/>
  <c r="D23" i="2" s="1"/>
  <c r="L17" i="2"/>
  <c r="G17" i="2"/>
  <c r="G25" i="2"/>
  <c r="G26" i="2"/>
  <c r="G27" i="2"/>
  <c r="G28" i="2"/>
  <c r="G29" i="2"/>
  <c r="D30" i="2"/>
  <c r="D31" i="2" s="1"/>
  <c r="E30" i="2"/>
  <c r="E31" i="2" s="1"/>
  <c r="F30" i="2"/>
  <c r="F31" i="2" s="1"/>
  <c r="H30" i="2"/>
  <c r="H31" i="2" s="1"/>
  <c r="G67" i="4" l="1"/>
  <c r="G73" i="4" s="1"/>
  <c r="G91" i="4"/>
  <c r="G230" i="4"/>
  <c r="D115" i="4"/>
  <c r="E115" i="4"/>
  <c r="G113" i="4"/>
  <c r="F115" i="4"/>
  <c r="D189" i="4"/>
  <c r="F167" i="4"/>
  <c r="L22" i="4"/>
  <c r="L23" i="4" s="1"/>
  <c r="L237" i="4" s="1"/>
  <c r="C107" i="4"/>
  <c r="E189" i="4"/>
  <c r="E167" i="4"/>
  <c r="E237" i="4" s="1"/>
  <c r="G155" i="4"/>
  <c r="G156" i="4" s="1"/>
  <c r="D167" i="4"/>
  <c r="D237" i="4" s="1"/>
  <c r="G208" i="4"/>
  <c r="G211" i="4" s="1"/>
  <c r="C134" i="4"/>
  <c r="G199" i="4"/>
  <c r="G201" i="4" s="1"/>
  <c r="G19" i="4"/>
  <c r="G22" i="4" s="1"/>
  <c r="G23" i="4" s="1"/>
  <c r="G41" i="4"/>
  <c r="G42" i="4" s="1"/>
  <c r="G83" i="4"/>
  <c r="G84" i="4" s="1"/>
  <c r="G95" i="4"/>
  <c r="F95" i="4"/>
  <c r="F189" i="4"/>
  <c r="G221" i="4"/>
  <c r="G222" i="4" s="1"/>
  <c r="G223" i="4" s="1"/>
  <c r="G231" i="4" s="1"/>
  <c r="G106" i="4"/>
  <c r="G107" i="4" s="1"/>
  <c r="G133" i="4"/>
  <c r="G134" i="4" s="1"/>
  <c r="E133" i="4"/>
  <c r="E134" i="4" s="1"/>
  <c r="G142" i="4"/>
  <c r="G146" i="4" s="1"/>
  <c r="G177" i="4"/>
  <c r="G178" i="4" s="1"/>
  <c r="G189" i="4" s="1"/>
  <c r="H189" i="4"/>
  <c r="G186" i="4"/>
  <c r="G53" i="4"/>
  <c r="C84" i="4"/>
  <c r="Q237" i="4"/>
  <c r="H237" i="4"/>
  <c r="C223" i="4"/>
  <c r="C231" i="4" s="1"/>
  <c r="C178" i="4"/>
  <c r="C189" i="4" s="1"/>
  <c r="C201" i="4" s="1"/>
  <c r="K237" i="4"/>
  <c r="O237" i="4"/>
  <c r="J237" i="4"/>
  <c r="N237" i="4"/>
  <c r="R237" i="4"/>
  <c r="K190" i="4"/>
  <c r="J189" i="4"/>
  <c r="I237" i="4"/>
  <c r="M237" i="4"/>
  <c r="P237" i="4"/>
  <c r="F73" i="4"/>
  <c r="G122" i="4"/>
  <c r="G124" i="4" s="1"/>
  <c r="G164" i="4"/>
  <c r="G56" i="4"/>
  <c r="G63" i="4" s="1"/>
  <c r="G64" i="4" s="1"/>
  <c r="F211" i="4"/>
  <c r="F63" i="4"/>
  <c r="F64" i="4" s="1"/>
  <c r="G43" i="2"/>
  <c r="G44" i="2" s="1"/>
  <c r="K188" i="2"/>
  <c r="C221" i="2"/>
  <c r="G219" i="2"/>
  <c r="G220" i="2" s="1"/>
  <c r="G221" i="2" s="1"/>
  <c r="G197" i="2"/>
  <c r="G199" i="2" s="1"/>
  <c r="E197" i="2"/>
  <c r="E199" i="2" s="1"/>
  <c r="G175" i="2"/>
  <c r="G176" i="2" s="1"/>
  <c r="E152" i="2"/>
  <c r="E153" i="2" s="1"/>
  <c r="D152" i="2"/>
  <c r="D153" i="2" s="1"/>
  <c r="F152" i="2"/>
  <c r="F153" i="2" s="1"/>
  <c r="G129" i="2"/>
  <c r="G130" i="2" s="1"/>
  <c r="G131" i="2" s="1"/>
  <c r="G109" i="2"/>
  <c r="G110" i="2" s="1"/>
  <c r="G86" i="2"/>
  <c r="G87" i="2" s="1"/>
  <c r="F65" i="2"/>
  <c r="F66" i="2" s="1"/>
  <c r="E65" i="2"/>
  <c r="E66" i="2" s="1"/>
  <c r="G58" i="2"/>
  <c r="G65" i="2" s="1"/>
  <c r="G66" i="2" s="1"/>
  <c r="L22" i="2"/>
  <c r="L23" i="2" s="1"/>
  <c r="G30" i="2"/>
  <c r="G31" i="2" s="1"/>
  <c r="G19" i="2"/>
  <c r="G22" i="2" s="1"/>
  <c r="G23" i="2" s="1"/>
  <c r="G115" i="4" l="1"/>
  <c r="C156" i="4"/>
  <c r="F237" i="4"/>
  <c r="G167" i="4"/>
  <c r="G237" i="4" s="1"/>
  <c r="G152" i="2"/>
  <c r="G153" i="2" s="1"/>
  <c r="C153" i="2" l="1"/>
  <c r="F206" i="2"/>
  <c r="E206" i="2"/>
  <c r="D206" i="2"/>
  <c r="F184" i="2"/>
  <c r="F187" i="2" s="1"/>
  <c r="E184" i="2"/>
  <c r="D184" i="2"/>
  <c r="D187" i="2" s="1"/>
  <c r="F161" i="2"/>
  <c r="E161" i="2"/>
  <c r="D161" i="2"/>
  <c r="F139" i="2"/>
  <c r="E139" i="2"/>
  <c r="D139" i="2"/>
  <c r="F117" i="2"/>
  <c r="E117" i="2"/>
  <c r="D117" i="2"/>
  <c r="F94" i="2"/>
  <c r="E94" i="2"/>
  <c r="D94" i="2"/>
  <c r="K112" i="3"/>
  <c r="F185" i="2"/>
  <c r="E185" i="2"/>
  <c r="D185" i="2"/>
  <c r="F162" i="2"/>
  <c r="E162" i="2"/>
  <c r="D162" i="2"/>
  <c r="E209" i="2" l="1"/>
  <c r="F209" i="2"/>
  <c r="D209" i="2"/>
  <c r="E187" i="2"/>
  <c r="G161" i="2"/>
  <c r="G117" i="2"/>
  <c r="G139" i="2"/>
  <c r="G184" i="2"/>
  <c r="G206" i="2"/>
  <c r="Q69" i="2"/>
  <c r="P69" i="2"/>
  <c r="O69" i="2"/>
  <c r="N69" i="2"/>
  <c r="M69" i="2"/>
  <c r="J69" i="2"/>
  <c r="F69" i="2"/>
  <c r="E69" i="2"/>
  <c r="D69" i="2"/>
  <c r="W40" i="3"/>
  <c r="R40" i="3"/>
  <c r="I40" i="3"/>
  <c r="G29" i="3"/>
  <c r="G202" i="2" l="1"/>
  <c r="G203" i="2"/>
  <c r="G204" i="2"/>
  <c r="G205" i="2"/>
  <c r="G201" i="2"/>
  <c r="G182" i="2"/>
  <c r="G183" i="2"/>
  <c r="G185" i="2"/>
  <c r="G181" i="2"/>
  <c r="G156" i="2"/>
  <c r="G157" i="2"/>
  <c r="G158" i="2"/>
  <c r="G159" i="2"/>
  <c r="G160" i="2"/>
  <c r="G162" i="2"/>
  <c r="G155" i="2"/>
  <c r="G136" i="2"/>
  <c r="G137" i="2"/>
  <c r="G138" i="2"/>
  <c r="G140" i="2"/>
  <c r="G141" i="2"/>
  <c r="G135" i="2"/>
  <c r="G112" i="2"/>
  <c r="G92" i="2"/>
  <c r="G93" i="2"/>
  <c r="G94" i="2"/>
  <c r="G95" i="2"/>
  <c r="G91" i="2"/>
  <c r="G69" i="2"/>
  <c r="G70" i="2"/>
  <c r="G73" i="2"/>
  <c r="G74" i="2"/>
  <c r="G68" i="2"/>
  <c r="G49" i="2"/>
  <c r="G50" i="2"/>
  <c r="G51" i="2"/>
  <c r="G52" i="2"/>
  <c r="G53" i="2"/>
  <c r="G54" i="2"/>
  <c r="G48" i="2"/>
  <c r="G10" i="2"/>
  <c r="G11" i="2" s="1"/>
  <c r="G209" i="2" l="1"/>
  <c r="G187" i="2"/>
  <c r="F151" i="3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E11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14" i="3"/>
  <c r="G14" i="3"/>
  <c r="U112" i="3" l="1"/>
  <c r="H112" i="3"/>
  <c r="Y112" i="3"/>
  <c r="AC112" i="3"/>
  <c r="AG112" i="3"/>
  <c r="M112" i="3"/>
  <c r="D112" i="3"/>
  <c r="I112" i="3"/>
  <c r="I115" i="3" s="1"/>
  <c r="N112" i="3"/>
  <c r="N115" i="3" s="1"/>
  <c r="R112" i="3"/>
  <c r="R115" i="3" s="1"/>
  <c r="Z112" i="3"/>
  <c r="Z115" i="3" s="1"/>
  <c r="AD112" i="3"/>
  <c r="G112" i="3"/>
  <c r="G115" i="3" s="1"/>
  <c r="F112" i="3"/>
  <c r="F115" i="3" s="1"/>
  <c r="L112" i="3"/>
  <c r="L115" i="3" s="1"/>
  <c r="P112" i="3"/>
  <c r="P115" i="3" s="1"/>
  <c r="T112" i="3"/>
  <c r="X112" i="3"/>
  <c r="X115" i="3" s="1"/>
  <c r="AB112" i="3"/>
  <c r="AB115" i="3" s="1"/>
  <c r="AF112" i="3"/>
  <c r="Q112" i="3"/>
  <c r="J112" i="3"/>
  <c r="O112" i="3"/>
  <c r="O115" i="3" s="1"/>
  <c r="S112" i="3"/>
  <c r="S115" i="3" s="1"/>
  <c r="W112" i="3"/>
  <c r="AA112" i="3"/>
  <c r="AA115" i="3" s="1"/>
  <c r="AE112" i="3"/>
  <c r="AE115" i="3" s="1"/>
  <c r="V112" i="3"/>
  <c r="V115" i="3" s="1"/>
  <c r="E112" i="3"/>
  <c r="T115" i="3"/>
  <c r="D115" i="3"/>
  <c r="AD115" i="3"/>
  <c r="AF115" i="3"/>
  <c r="H115" i="3"/>
  <c r="Q115" i="3"/>
  <c r="Y115" i="3"/>
  <c r="AG115" i="3"/>
  <c r="M115" i="3"/>
  <c r="U115" i="3"/>
  <c r="AC115" i="3"/>
  <c r="W115" i="3"/>
  <c r="K115" i="3"/>
  <c r="J115" i="3"/>
  <c r="E115" i="3"/>
  <c r="P119" i="2"/>
  <c r="F119" i="2"/>
  <c r="D164" i="2"/>
  <c r="E164" i="2"/>
  <c r="F164" i="2"/>
  <c r="H164" i="2"/>
  <c r="I164" i="2"/>
  <c r="J164" i="2"/>
  <c r="K164" i="2"/>
  <c r="L164" i="2"/>
  <c r="M164" i="2"/>
  <c r="N164" i="2"/>
  <c r="O164" i="2"/>
  <c r="P164" i="2"/>
  <c r="Q164" i="2"/>
  <c r="R164" i="2"/>
  <c r="C164" i="2"/>
  <c r="C176" i="2" s="1"/>
  <c r="C187" i="2" s="1"/>
  <c r="C199" i="2" s="1"/>
  <c r="D143" i="2"/>
  <c r="E143" i="2"/>
  <c r="F143" i="2"/>
  <c r="G143" i="2"/>
  <c r="J143" i="2"/>
  <c r="K143" i="2"/>
  <c r="L143" i="2"/>
  <c r="M143" i="2"/>
  <c r="N143" i="2"/>
  <c r="O143" i="2"/>
  <c r="P143" i="2"/>
  <c r="Q143" i="2"/>
  <c r="R143" i="2"/>
  <c r="C143" i="2"/>
  <c r="D119" i="2"/>
  <c r="E119" i="2"/>
  <c r="G119" i="2"/>
  <c r="H119" i="2"/>
  <c r="I119" i="2"/>
  <c r="J119" i="2"/>
  <c r="K119" i="2"/>
  <c r="L119" i="2"/>
  <c r="M119" i="2"/>
  <c r="N119" i="2"/>
  <c r="O119" i="2"/>
  <c r="Q119" i="2"/>
  <c r="R119" i="2"/>
  <c r="D98" i="2"/>
  <c r="E98" i="2"/>
  <c r="F98" i="2"/>
  <c r="H98" i="2"/>
  <c r="I98" i="2"/>
  <c r="J98" i="2"/>
  <c r="K98" i="2"/>
  <c r="L98" i="2"/>
  <c r="M98" i="2"/>
  <c r="N98" i="2"/>
  <c r="O98" i="2"/>
  <c r="P98" i="2"/>
  <c r="Q98" i="2"/>
  <c r="R98" i="2"/>
  <c r="C98" i="2"/>
  <c r="C110" i="2" s="1"/>
  <c r="D75" i="2"/>
  <c r="E75" i="2"/>
  <c r="H75" i="2"/>
  <c r="I75" i="2"/>
  <c r="J75" i="2"/>
  <c r="K75" i="2"/>
  <c r="L75" i="2"/>
  <c r="M75" i="2"/>
  <c r="N75" i="2"/>
  <c r="O75" i="2"/>
  <c r="P75" i="2"/>
  <c r="Q75" i="2"/>
  <c r="R75" i="2"/>
  <c r="C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D55" i="2"/>
  <c r="K230" i="2" l="1"/>
  <c r="E230" i="2"/>
  <c r="N230" i="2"/>
  <c r="J230" i="2"/>
  <c r="Q230" i="2"/>
  <c r="M230" i="2"/>
  <c r="D230" i="2"/>
  <c r="O230" i="2"/>
  <c r="P230" i="2"/>
  <c r="L230" i="2"/>
  <c r="R230" i="2"/>
  <c r="F75" i="2"/>
  <c r="F230" i="2" s="1"/>
  <c r="G75" i="2"/>
  <c r="H183" i="2"/>
  <c r="H187" i="2" s="1"/>
  <c r="G164" i="2" l="1"/>
  <c r="I136" i="2"/>
  <c r="I143" i="2" s="1"/>
  <c r="I230" i="2" s="1"/>
  <c r="H136" i="2"/>
  <c r="H143" i="2" s="1"/>
  <c r="H185" i="2"/>
  <c r="G98" i="2"/>
  <c r="C119" i="2"/>
  <c r="C131" i="2" s="1"/>
  <c r="C75" i="2"/>
  <c r="C87" i="2" s="1"/>
  <c r="H230" i="2" l="1"/>
  <c r="G230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D228" i="2"/>
  <c r="AH66" i="3" l="1"/>
</calcChain>
</file>

<file path=xl/sharedStrings.xml><?xml version="1.0" encoding="utf-8"?>
<sst xmlns="http://schemas.openxmlformats.org/spreadsheetml/2006/main" count="963" uniqueCount="302">
  <si>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</si>
  <si>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</si>
  <si>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</si>
  <si>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</si>
  <si>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</si>
  <si>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</si>
  <si>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</si>
  <si>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</si>
  <si>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</si>
  <si>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</si>
  <si>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</si>
  <si>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</si>
  <si>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</si>
  <si>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</si>
  <si>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</si>
  <si>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</si>
  <si>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</si>
  <si>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</si>
  <si>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</si>
  <si>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</si>
  <si>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</si>
  <si>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</si>
  <si>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</si>
  <si>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</si>
  <si>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</si>
  <si>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</si>
  <si>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</si>
  <si>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</si>
  <si>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</si>
  <si>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</si>
  <si>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</si>
  <si>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</si>
  <si>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</si>
  <si>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</si>
  <si>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</si>
  <si>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</si>
  <si>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</si>
  <si>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</si>
  <si>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</si>
  <si>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</si>
  <si>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</si>
  <si>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</si>
  <si>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</si>
  <si>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</si>
  <si>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</si>
  <si>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</si>
  <si>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</si>
  <si>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</si>
  <si>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</si>
  <si>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</si>
  <si>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</si>
  <si>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</si>
  <si>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</si>
  <si>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</si>
  <si>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</si>
  <si>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</si>
  <si>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</si>
  <si>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</si>
  <si>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</si>
  <si>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</si>
  <si>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</si>
  <si>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</si>
  <si>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</si>
  <si>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</si>
  <si>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</si>
  <si>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</si>
  <si>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</si>
  <si>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</si>
  <si>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</si>
  <si>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</si>
  <si>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</si>
  <si>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</si>
  <si>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</si>
  <si>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</si>
  <si>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</si>
  <si>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</si>
  <si>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</si>
  <si>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</si>
  <si>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</si>
  <si>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</si>
  <si>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</si>
  <si>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</si>
  <si>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</si>
  <si>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</si>
  <si>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</si>
  <si>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</si>
  <si>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</si>
  <si>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</si>
  <si>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</si>
  <si>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</si>
  <si>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</si>
  <si>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</si>
  <si>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</si>
  <si>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</si>
  <si>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</si>
  <si>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</si>
  <si>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</si>
  <si>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</si>
  <si>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</si>
  <si>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</si>
  <si>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</si>
  <si>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</si>
  <si>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</si>
  <si>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</si>
  <si>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</si>
  <si>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</si>
  <si>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</si>
  <si>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</si>
  <si>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</si>
  <si>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</si>
  <si>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</si>
  <si>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</si>
  <si>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</si>
  <si>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</si>
  <si>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</si>
  <si>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</si>
  <si>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</si>
  <si>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</si>
  <si>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</si>
  <si>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</si>
  <si>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</si>
  <si>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</si>
  <si>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</si>
  <si>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</si>
  <si>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</si>
  <si>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</si>
  <si>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</si>
  <si>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</si>
  <si>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</si>
  <si>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</si>
  <si>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</si>
  <si>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</si>
  <si>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</si>
  <si>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</si>
  <si>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</si>
  <si>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</si>
  <si>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</si>
  <si>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</si>
  <si>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</si>
  <si>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</si>
  <si>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</si>
  <si>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</si>
  <si>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</si>
  <si>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</si>
  <si>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</si>
  <si>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</si>
  <si>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</si>
  <si>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</si>
  <si>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</si>
  <si>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</si>
  <si>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</si>
  <si>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</si>
  <si>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</si>
  <si>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</si>
  <si>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</si>
  <si>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</si>
  <si>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Фрукты свежие (поштучно)</t>
  </si>
  <si>
    <t>Кисломолочный продукт  2,5 % жирности</t>
  </si>
  <si>
    <t>108пром</t>
  </si>
  <si>
    <t>109 пром</t>
  </si>
  <si>
    <t>Овощи свежие (огурцы или помидоры)</t>
  </si>
  <si>
    <t>293 пром</t>
  </si>
  <si>
    <t>Сок фруктовый натуральный</t>
  </si>
  <si>
    <t>Салат из белокачанной капусты с морковью</t>
  </si>
  <si>
    <t>*пром</t>
  </si>
  <si>
    <t>Булочка с повидлом</t>
  </si>
  <si>
    <t>Овощи свежие (помидоры или огурцы)</t>
  </si>
  <si>
    <t>Омлет с сыром</t>
  </si>
  <si>
    <t xml:space="preserve">Сок фруктовый  натуральный </t>
  </si>
  <si>
    <t xml:space="preserve"> Компот  из сухофруктов</t>
  </si>
  <si>
    <t xml:space="preserve">Сок  фруктовый натуральный </t>
  </si>
  <si>
    <t>Тефтели из говядины  с соусом</t>
  </si>
  <si>
    <t>Соус томатный</t>
  </si>
  <si>
    <t xml:space="preserve">Кондитерское изделие </t>
  </si>
  <si>
    <t>Запеканка из творога</t>
  </si>
  <si>
    <t>Фрикадельки из филе кур или грудки кур</t>
  </si>
  <si>
    <t>Щи из свежей капусты с картофелем</t>
  </si>
  <si>
    <t>Выход, г</t>
  </si>
  <si>
    <t>Обед</t>
  </si>
  <si>
    <t xml:space="preserve">Рыба припущенная </t>
  </si>
  <si>
    <t>Компот из сухофруктов</t>
  </si>
  <si>
    <t>ВСЕГО:</t>
  </si>
  <si>
    <t xml:space="preserve">Кисломолочный продукт </t>
  </si>
  <si>
    <t>Рассольник по-ленинградски</t>
  </si>
  <si>
    <t xml:space="preserve">Птица запеченная </t>
  </si>
  <si>
    <t>0.01</t>
  </si>
  <si>
    <t xml:space="preserve">Рыба тушенная в томате с овощами </t>
  </si>
  <si>
    <t>Меню завтраков  и обедов для обучающихся 1-4 классов (сезон лето-осень)</t>
  </si>
  <si>
    <t>Возрастная категория: 7-11 лет</t>
  </si>
  <si>
    <t>Наименованияе блюда</t>
  </si>
  <si>
    <t>Л135</t>
  </si>
  <si>
    <t>Суп из овощей</t>
  </si>
  <si>
    <t>Зеленый горошек консервированный</t>
  </si>
  <si>
    <t>0.015</t>
  </si>
  <si>
    <t xml:space="preserve"> Неделя 1                  День 4 (четверг)   Завтрак</t>
  </si>
  <si>
    <t xml:space="preserve"> Неделя 2               День 7 (вторник)  Завтрак</t>
  </si>
  <si>
    <t xml:space="preserve"> Неделя 2 День 8 (среда)   Завтрак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</si>
  <si>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</si>
  <si>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</si>
  <si>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</si>
  <si>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</si>
  <si>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Л 145</t>
  </si>
  <si>
    <t>Суп летний овощной</t>
  </si>
  <si>
    <t>Шницель натуральный рубленный</t>
  </si>
  <si>
    <t xml:space="preserve"> Неделя 2   День 9 (четверг)  Завтрак</t>
  </si>
  <si>
    <t xml:space="preserve"> Неделя 2   День  10 (пятница)  Завтрак</t>
  </si>
  <si>
    <t>Борщ с капустой и картофелем</t>
  </si>
  <si>
    <t>Неделя 1    День 1 (понедельник) Завтрак</t>
  </si>
  <si>
    <t xml:space="preserve"> Неделя 1       День  3 (среда) Завтрак</t>
  </si>
  <si>
    <t xml:space="preserve"> Неделя 1            День 2 (вторник) Завтрак</t>
  </si>
  <si>
    <t>Фрукты свежие  (поштучно)</t>
  </si>
  <si>
    <t>Овощи свежие  (огурцы или помидоры)</t>
  </si>
  <si>
    <t>Каша вязкая ячневая</t>
  </si>
  <si>
    <t>Каша вязкая гречневая</t>
  </si>
  <si>
    <t>сгущённое молоко</t>
  </si>
  <si>
    <t>108 пром</t>
  </si>
  <si>
    <t>Кондитерское изделие</t>
  </si>
  <si>
    <t>Овощи свежие(солёные)</t>
  </si>
  <si>
    <t>Куры запечённые</t>
  </si>
  <si>
    <t xml:space="preserve"> Неделя 1  День 5 (пятница) Завтрак</t>
  </si>
  <si>
    <t xml:space="preserve">       Неделя 2 День 6 (понедельник)   Завтрак</t>
  </si>
  <si>
    <t>Хлеб пшеничный (норма 20-25%) от сут.норм</t>
  </si>
  <si>
    <t>Хлеб ржаной (норма 20-25%) от сут.норм</t>
  </si>
  <si>
    <t>Хлеб пшеничный (норма 30-35%) от сут. норм</t>
  </si>
  <si>
    <t>Хлеб ржаной (норма 30-35%) от сут. норм</t>
  </si>
  <si>
    <t>Каша вязкая пшеничная</t>
  </si>
  <si>
    <t>Фрукты свежие(поштучно)</t>
  </si>
  <si>
    <t>12 пром</t>
  </si>
  <si>
    <t>Сыр сычужный твёрдых сортов</t>
  </si>
  <si>
    <t>Каша рисовая молочная жидкая</t>
  </si>
  <si>
    <t>Салат из белокочанной капусты с морковью</t>
  </si>
  <si>
    <t>Гуляш из  говядины</t>
  </si>
  <si>
    <t xml:space="preserve">Хлеб ржаной </t>
  </si>
  <si>
    <t>Икра кабачковая</t>
  </si>
  <si>
    <t>Чай с сахаром</t>
  </si>
  <si>
    <t>Сыр сычужных твёрдых сортов</t>
  </si>
  <si>
    <t>Пудинг из творога</t>
  </si>
  <si>
    <t>Масло сливочное</t>
  </si>
  <si>
    <t>Кисель фруктовый</t>
  </si>
  <si>
    <t xml:space="preserve">Суп с крупой и томатом </t>
  </si>
  <si>
    <t>Суп с клёцками</t>
  </si>
  <si>
    <t>Компот из свежих фруктов</t>
  </si>
  <si>
    <t>Борщ с картофелем и капустой</t>
  </si>
  <si>
    <t>Рис отварной</t>
  </si>
  <si>
    <t>Рассольник Ленинградский</t>
  </si>
  <si>
    <t xml:space="preserve">Компот из свежих фруктов </t>
  </si>
  <si>
    <t xml:space="preserve">Макароны отварные </t>
  </si>
  <si>
    <t>Рыба тушённая с овощами</t>
  </si>
  <si>
    <t>Возрастная категория: 12-18 лет</t>
  </si>
  <si>
    <t>Меню завтраков  и обедов для обучающихся 5-11 классов (сезон лето-осень)</t>
  </si>
  <si>
    <t xml:space="preserve">       Неделя 1 День 6 (суббота)   Завтрак</t>
  </si>
  <si>
    <t>Салат из овощей</t>
  </si>
  <si>
    <t>246/247</t>
  </si>
  <si>
    <t>Овощи свежие или солёные</t>
  </si>
  <si>
    <t>Яйцо отварное</t>
  </si>
  <si>
    <t xml:space="preserve">       Неделя 2 День 7 (понедельник)   Завтрак</t>
  </si>
  <si>
    <t xml:space="preserve"> Неделя 2               День 8 (вторник)  Завтрак</t>
  </si>
  <si>
    <t xml:space="preserve"> Неделя 2 День 9 (среда)   Завтрак</t>
  </si>
  <si>
    <t xml:space="preserve"> Неделя 2   День 10 (четверг)  Завтрак</t>
  </si>
  <si>
    <t xml:space="preserve"> Неделя 2   День  11 (пятница)  Завтрак</t>
  </si>
  <si>
    <t xml:space="preserve"> Неделя 2   День  12 (суббота)  Завтрак</t>
  </si>
  <si>
    <t>Овощи свежие</t>
  </si>
  <si>
    <t>Плов из филе кур</t>
  </si>
  <si>
    <t>Овощи свежие (солёные)</t>
  </si>
  <si>
    <t>Каша манная жидкая</t>
  </si>
  <si>
    <t>Кабачковая икра</t>
  </si>
  <si>
    <t>Компот из смеси сухофруктов</t>
  </si>
  <si>
    <t>кндиерские изделия</t>
  </si>
  <si>
    <t>200/20</t>
  </si>
  <si>
    <t xml:space="preserve">Котлеты  рубленные  из птицы </t>
  </si>
  <si>
    <t xml:space="preserve">Хлеб пшеничный </t>
  </si>
  <si>
    <t>Зеленый горошек</t>
  </si>
  <si>
    <t>Шницель рыбный</t>
  </si>
  <si>
    <t>Салат из белокачаной капусты</t>
  </si>
  <si>
    <t>Кисель из сока фруктовый</t>
  </si>
  <si>
    <t>Кефир</t>
  </si>
  <si>
    <t>Сок фруктовый</t>
  </si>
  <si>
    <t>Пирог с повидлом</t>
  </si>
  <si>
    <t>Яблоко свежее</t>
  </si>
  <si>
    <t>Салат из квашеной капусты</t>
  </si>
  <si>
    <t>Котлета руцбленная из птицы</t>
  </si>
  <si>
    <t>каша вязкая пшеничная</t>
  </si>
  <si>
    <t>чай с сахаром</t>
  </si>
  <si>
    <t>кефир</t>
  </si>
  <si>
    <t>Салат из свеклы с соленым огурцом</t>
  </si>
  <si>
    <t>Сливочное масло</t>
  </si>
  <si>
    <t>Каша манная молочная жидкая</t>
  </si>
  <si>
    <t>Плов из птицы</t>
  </si>
  <si>
    <t>Рыба тушеная с овощами</t>
  </si>
  <si>
    <t>Картофель отварной</t>
  </si>
  <si>
    <t>Салатиз моркови с яблоком</t>
  </si>
  <si>
    <t>Пудинг из творога со сгущ молоком</t>
  </si>
  <si>
    <t>Кофейный напиток с молоком</t>
  </si>
  <si>
    <t>Шницель мясной рубленный</t>
  </si>
  <si>
    <t>Мокороны отварные</t>
  </si>
  <si>
    <t>Чай с молоком</t>
  </si>
  <si>
    <t>Шницель рыбный натуральный</t>
  </si>
  <si>
    <t xml:space="preserve">Свинина в кислосладком сорусе </t>
  </si>
  <si>
    <t>Каша гречневая вязкая</t>
  </si>
  <si>
    <t>Птица запеченая</t>
  </si>
  <si>
    <t>Каша рисовая</t>
  </si>
  <si>
    <t>Кисель из сока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</si>
</sst>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4" fillId="0" borderId="1" xfId="0" applyNumberFormat="1" applyFont="1" applyFill="1" applyBorder="1"/>
    <xf numFmtId="2" fontId="4" fillId="0" borderId="1" xfId="0" applyNumberFormat="1" applyFont="1" applyBorder="1"/>
    <xf numFmtId="2" fontId="5" fillId="9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5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0" borderId="3" xfId="0" applyNumberFormat="1" applyFont="1" applyBorder="1"/>
    <xf numFmtId="2" fontId="8" fillId="0" borderId="3" xfId="0" applyNumberFormat="1" applyFont="1" applyBorder="1"/>
    <xf numFmtId="2" fontId="8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2" fontId="7" fillId="4" borderId="0" xfId="0" applyNumberFormat="1" applyFont="1" applyFill="1"/>
    <xf numFmtId="0" fontId="9" fillId="6" borderId="1" xfId="0" applyFont="1" applyFill="1" applyBorder="1" applyAlignment="1">
      <alignment horizontal="center" wrapText="1"/>
    </xf>
    <xf numFmtId="2" fontId="9" fillId="6" borderId="1" xfId="0" applyNumberFormat="1" applyFont="1" applyFill="1" applyBorder="1" applyAlignment="1">
      <alignment horizontal="center" wrapText="1"/>
    </xf>
    <xf numFmtId="2" fontId="9" fillId="4" borderId="0" xfId="0" applyNumberFormat="1" applyFont="1" applyFill="1" applyAlignment="1">
      <alignment horizontal="center" wrapText="1"/>
    </xf>
    <xf numFmtId="2" fontId="9" fillId="6" borderId="0" xfId="0" applyNumberFormat="1" applyFont="1" applyFill="1" applyAlignment="1">
      <alignment horizontal="center" wrapText="1"/>
    </xf>
    <xf numFmtId="2" fontId="9" fillId="6" borderId="1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Border="1"/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8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164" fontId="1" fillId="4" borderId="1" xfId="0" applyNumberFormat="1" applyFont="1" applyFill="1" applyBorder="1"/>
    <xf numFmtId="0" fontId="7" fillId="4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2" fontId="10" fillId="4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/>
    <xf numFmtId="2" fontId="10" fillId="4" borderId="2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wrapText="1"/>
    </xf>
    <xf numFmtId="0" fontId="7" fillId="4" borderId="6" xfId="0" applyNumberFormat="1" applyFont="1" applyFill="1" applyBorder="1" applyAlignment="1">
      <alignment horizontal="center" wrapText="1"/>
    </xf>
    <xf numFmtId="0" fontId="11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1" xfId="0" applyFont="1" applyFill="1" applyBorder="1" applyAlignment="1">
      <alignment horizontal="right"/>
    </xf>
    <xf numFmtId="2" fontId="10" fillId="0" borderId="1" xfId="0" applyNumberFormat="1" applyFont="1" applyBorder="1"/>
    <xf numFmtId="0" fontId="7" fillId="2" borderId="1" xfId="0" applyFont="1" applyFill="1" applyBorder="1" applyAlignment="1">
      <alignment horizontal="right"/>
    </xf>
    <xf numFmtId="0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wrapText="1"/>
    </xf>
    <xf numFmtId="0" fontId="10" fillId="4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right" wrapText="1"/>
    </xf>
    <xf numFmtId="0" fontId="7" fillId="4" borderId="4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left" indent="1"/>
    </xf>
    <xf numFmtId="0" fontId="7" fillId="2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right" wrapText="1"/>
    </xf>
    <xf numFmtId="2" fontId="7" fillId="4" borderId="1" xfId="0" applyNumberFormat="1" applyFont="1" applyFill="1" applyBorder="1" applyAlignment="1">
      <alignment wrapText="1"/>
    </xf>
    <xf numFmtId="2" fontId="7" fillId="4" borderId="4" xfId="0" applyNumberFormat="1" applyFont="1" applyFill="1" applyBorder="1"/>
    <xf numFmtId="2" fontId="7" fillId="4" borderId="4" xfId="0" applyNumberFormat="1" applyFont="1" applyFill="1" applyBorder="1" applyAlignment="1">
      <alignment wrapText="1"/>
    </xf>
    <xf numFmtId="2" fontId="8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4" fillId="0" borderId="0" xfId="0" applyNumberFormat="1" applyFont="1" applyFill="1" applyBorder="1"/>
    <xf numFmtId="2" fontId="4" fillId="3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/>
    <xf numFmtId="0" fontId="10" fillId="4" borderId="1" xfId="0" applyFont="1" applyFill="1" applyBorder="1"/>
    <xf numFmtId="1" fontId="10" fillId="2" borderId="1" xfId="0" applyNumberFormat="1" applyFont="1" applyFill="1" applyBorder="1"/>
    <xf numFmtId="2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4" borderId="2" xfId="0" applyFont="1" applyFill="1" applyBorder="1"/>
    <xf numFmtId="0" fontId="10" fillId="4" borderId="4" xfId="0" applyFont="1" applyFill="1" applyBorder="1"/>
    <xf numFmtId="0" fontId="10" fillId="0" borderId="4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 wrapText="1"/>
    </xf>
    <xf numFmtId="2" fontId="5" fillId="0" borderId="11" xfId="0" applyNumberFormat="1" applyFont="1" applyBorder="1"/>
    <xf numFmtId="0" fontId="10" fillId="0" borderId="0" xfId="0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/>
    <xf numFmtId="2" fontId="7" fillId="4" borderId="8" xfId="0" applyNumberFormat="1" applyFont="1" applyFill="1" applyBorder="1"/>
    <xf numFmtId="2" fontId="7" fillId="0" borderId="3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/>
    <xf numFmtId="0" fontId="10" fillId="0" borderId="0" xfId="0" applyNumberFormat="1" applyFont="1" applyFill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2" fontId="10" fillId="4" borderId="1" xfId="0" applyNumberFormat="1" applyFont="1" applyFill="1" applyBorder="1" applyAlignment="1"/>
    <xf numFmtId="0" fontId="10" fillId="0" borderId="5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/>
    </xf>
    <xf numFmtId="2" fontId="10" fillId="9" borderId="1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/>
    <xf numFmtId="2" fontId="7" fillId="9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/>
    <xf numFmtId="2" fontId="7" fillId="10" borderId="1" xfId="0" applyNumberFormat="1" applyFont="1" applyFill="1" applyBorder="1"/>
    <xf numFmtId="2" fontId="10" fillId="9" borderId="1" xfId="0" applyNumberFormat="1" applyFont="1" applyFill="1" applyBorder="1" applyAlignment="1"/>
    <xf numFmtId="2" fontId="10" fillId="0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wrapText="1"/>
    </xf>
    <xf numFmtId="0" fontId="7" fillId="4" borderId="1" xfId="0" applyNumberFormat="1" applyFont="1" applyFill="1" applyBorder="1"/>
    <xf numFmtId="0" fontId="7" fillId="4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/>
    <xf numFmtId="0" fontId="7" fillId="4" borderId="2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/>
    </xf>
    <xf numFmtId="0" fontId="12" fillId="4" borderId="1" xfId="0" applyNumberFormat="1" applyFont="1" applyFill="1" applyBorder="1"/>
    <xf numFmtId="2" fontId="12" fillId="4" borderId="1" xfId="0" applyNumberFormat="1" applyFont="1" applyFill="1" applyBorder="1"/>
    <xf numFmtId="0" fontId="7" fillId="0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 vertical="center"/>
    </xf>
    <xf numFmtId="2" fontId="7" fillId="4" borderId="4" xfId="0" applyNumberFormat="1" applyFont="1" applyFill="1" applyBorder="1" applyAlignment="1">
      <alignment horizontal="right"/>
    </xf>
    <xf numFmtId="0" fontId="13" fillId="0" borderId="1" xfId="0" applyFont="1" applyBorder="1"/>
    <xf numFmtId="2" fontId="7" fillId="4" borderId="4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/>
    <xf numFmtId="2" fontId="7" fillId="4" borderId="1" xfId="0" applyNumberFormat="1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wrapText="1"/>
    </xf>
    <xf numFmtId="2" fontId="7" fillId="0" borderId="1" xfId="0" applyNumberFormat="1" applyFont="1" applyBorder="1"/>
    <xf numFmtId="0" fontId="7" fillId="4" borderId="2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4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wrapText="1"/>
    </xf>
    <xf numFmtId="164" fontId="7" fillId="0" borderId="1" xfId="0" applyNumberFormat="1" applyFont="1" applyFill="1" applyBorder="1"/>
    <xf numFmtId="0" fontId="12" fillId="4" borderId="1" xfId="0" applyFont="1" applyFill="1" applyBorder="1"/>
    <xf numFmtId="2" fontId="9" fillId="4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NumberFormat="1" applyFont="1" applyFill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/>
    <xf numFmtId="2" fontId="7" fillId="0" borderId="2" xfId="0" applyNumberFormat="1" applyFont="1" applyBorder="1" applyAlignment="1">
      <alignment horizontal="center" vertical="center"/>
    </xf>
    <xf numFmtId="2" fontId="7" fillId="4" borderId="0" xfId="0" applyNumberFormat="1" applyFont="1" applyFill="1" applyBorder="1"/>
    <xf numFmtId="0" fontId="7" fillId="4" borderId="9" xfId="0" applyNumberFormat="1" applyFont="1" applyFill="1" applyBorder="1" applyAlignment="1">
      <alignment horizontal="center" wrapText="1"/>
    </xf>
    <xf numFmtId="2" fontId="7" fillId="4" borderId="13" xfId="0" applyNumberFormat="1" applyFont="1" applyFill="1" applyBorder="1"/>
    <xf numFmtId="2" fontId="7" fillId="4" borderId="12" xfId="0" applyNumberFormat="1" applyFont="1" applyFill="1" applyBorder="1"/>
    <xf numFmtId="0" fontId="7" fillId="4" borderId="8" xfId="0" applyNumberFormat="1" applyFont="1" applyFill="1" applyBorder="1"/>
    <xf numFmtId="0" fontId="7" fillId="4" borderId="8" xfId="0" applyFont="1" applyFill="1" applyBorder="1" applyAlignment="1">
      <alignment horizontal="right"/>
    </xf>
    <xf numFmtId="0" fontId="10" fillId="0" borderId="15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wrapText="1"/>
    </xf>
    <xf numFmtId="0" fontId="12" fillId="4" borderId="0" xfId="0" applyNumberFormat="1" applyFont="1" applyFill="1" applyBorder="1"/>
    <xf numFmtId="2" fontId="12" fillId="4" borderId="0" xfId="0" applyNumberFormat="1" applyFont="1" applyFill="1" applyBorder="1"/>
    <xf numFmtId="2" fontId="9" fillId="4" borderId="1" xfId="0" applyNumberFormat="1" applyFont="1" applyFill="1" applyBorder="1" applyAlignment="1">
      <alignment horizontal="center" wrapText="1"/>
    </xf>
    <xf numFmtId="0" fontId="11" fillId="4" borderId="0" xfId="0" applyFont="1" applyFill="1" applyBorder="1"/>
    <xf numFmtId="1" fontId="10" fillId="4" borderId="13" xfId="0" applyNumberFormat="1" applyFont="1" applyFill="1" applyBorder="1"/>
    <xf numFmtId="2" fontId="10" fillId="4" borderId="13" xfId="0" applyNumberFormat="1" applyFont="1" applyFill="1" applyBorder="1" applyAlignment="1"/>
    <xf numFmtId="0" fontId="7" fillId="4" borderId="13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10" fillId="4" borderId="11" xfId="0" applyFont="1" applyFill="1" applyBorder="1"/>
    <xf numFmtId="2" fontId="12" fillId="4" borderId="4" xfId="0" applyNumberFormat="1" applyFont="1" applyFill="1" applyBorder="1"/>
    <xf numFmtId="0" fontId="12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/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7" fillId="4" borderId="1" xfId="0" applyNumberFormat="1" applyFont="1" applyFill="1" applyBorder="1" applyAlignment="1">
      <alignment horizontal="right"/>
    </xf>
    <xf numFmtId="2" fontId="7" fillId="4" borderId="4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left" wrapText="1"/>
    </xf>
    <xf numFmtId="0" fontId="7" fillId="4" borderId="2" xfId="0" applyNumberFormat="1" applyFont="1" applyFill="1" applyBorder="1" applyAlignment="1">
      <alignment horizontal="center" vertical="center" textRotation="255" wrapText="1"/>
    </xf>
    <xf numFmtId="0" fontId="13" fillId="4" borderId="1" xfId="0" applyFont="1" applyFill="1" applyBorder="1"/>
    <xf numFmtId="0" fontId="7" fillId="4" borderId="1" xfId="0" applyFont="1" applyFill="1" applyBorder="1"/>
    <xf numFmtId="2" fontId="7" fillId="5" borderId="4" xfId="0" applyNumberFormat="1" applyFont="1" applyFill="1" applyBorder="1" applyAlignment="1">
      <alignment horizontal="center" wrapText="1"/>
    </xf>
    <xf numFmtId="2" fontId="10" fillId="4" borderId="3" xfId="0" applyNumberFormat="1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 vertical="center" textRotation="90" wrapText="1"/>
    </xf>
    <xf numFmtId="2" fontId="7" fillId="4" borderId="4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 wrapText="1"/>
    </xf>
    <xf numFmtId="2" fontId="7" fillId="5" borderId="3" xfId="0" applyNumberFormat="1" applyFont="1" applyFill="1" applyBorder="1" applyAlignment="1">
      <alignment horizontal="center" wrapText="1"/>
    </xf>
    <xf numFmtId="0" fontId="7" fillId="3" borderId="5" xfId="0" applyNumberFormat="1" applyFont="1" applyFill="1" applyBorder="1" applyAlignment="1">
      <alignment horizontal="center" vertical="center" textRotation="90" wrapText="1"/>
    </xf>
    <xf numFmtId="0" fontId="7" fillId="3" borderId="2" xfId="0" applyNumberFormat="1" applyFont="1" applyFill="1" applyBorder="1" applyAlignment="1">
      <alignment horizontal="center" vertical="center" textRotation="90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wrapText="1"/>
    </xf>
    <xf numFmtId="2" fontId="7" fillId="5" borderId="3" xfId="0" applyNumberFormat="1" applyFont="1" applyFill="1" applyBorder="1" applyAlignment="1">
      <alignment horizontal="right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 textRotation="90" wrapText="1"/>
    </xf>
    <xf numFmtId="2" fontId="9" fillId="3" borderId="1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3"/>
  <sheetViews>
    <sheetView topLeftCell="A223" zoomScale="70" zoomScaleNormal="70" workbookViewId="0">
      <selection activeCell="C181" sqref="C181"/>
    </sheetView>
  </sheetViews>
  <sheetFormatPr defaultColWidth="9.140625" defaultRowHeight="15.75" customHeight="1" x14ac:dyDescent="0.25"/>
  <cols>
    <col min="1" max="1" width="10.28515625" style="65" customWidth="1"/>
    <col min="2" max="2" width="42" style="42" customWidth="1"/>
    <col min="3" max="3" width="7.85546875" style="41" customWidth="1"/>
    <col min="4" max="4" width="8.85546875" style="41" customWidth="1"/>
    <col min="5" max="5" width="8.28515625" style="41" customWidth="1"/>
    <col min="6" max="6" width="8.140625" style="41" customWidth="1"/>
    <col min="7" max="7" width="7" style="41" customWidth="1"/>
    <col min="8" max="8" width="7.5703125" style="41" customWidth="1"/>
    <col min="9" max="10" width="9.140625" style="41"/>
    <col min="11" max="11" width="7.140625" style="41" customWidth="1"/>
    <col min="12" max="12" width="9" style="41" customWidth="1"/>
    <col min="13" max="13" width="10.28515625" style="41" customWidth="1"/>
    <col min="14" max="14" width="9.7109375" style="41" customWidth="1"/>
    <col min="15" max="15" width="7.28515625" style="41" customWidth="1"/>
    <col min="16" max="16" width="9" style="41" customWidth="1"/>
    <col min="17" max="17" width="9.140625" style="41" customWidth="1"/>
    <col min="18" max="18" width="9.28515625" style="43" customWidth="1"/>
    <col min="19" max="19" width="9.140625" style="93"/>
    <col min="20" max="37" width="9.140625" style="99"/>
    <col min="38" max="38" width="9.140625" style="67"/>
    <col min="39" max="16384" width="9.140625" style="43"/>
  </cols>
  <sheetData>
    <row r="1" spans="1:38" s="82" customFormat="1" ht="15.75" customHeight="1" x14ac:dyDescent="0.3">
      <c r="A1" s="165"/>
      <c r="B1" s="279" t="s">
        <v>187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67"/>
      <c r="R1" s="168"/>
      <c r="S1" s="147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81"/>
    </row>
    <row r="2" spans="1:38" ht="15.75" customHeight="1" x14ac:dyDescent="0.25">
      <c r="A2" s="156"/>
      <c r="B2" s="166" t="s">
        <v>188</v>
      </c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  <c r="S2" s="148"/>
    </row>
    <row r="3" spans="1:38" ht="25.5" customHeight="1" x14ac:dyDescent="0.25">
      <c r="A3" s="218"/>
      <c r="B3" s="169" t="s">
        <v>189</v>
      </c>
      <c r="C3" s="286" t="s">
        <v>177</v>
      </c>
      <c r="D3" s="291" t="s">
        <v>148</v>
      </c>
      <c r="E3" s="291"/>
      <c r="F3" s="291"/>
      <c r="G3" s="292" t="s">
        <v>149</v>
      </c>
      <c r="H3" s="291" t="s">
        <v>150</v>
      </c>
      <c r="I3" s="291"/>
      <c r="J3" s="291"/>
      <c r="K3" s="291"/>
      <c r="L3" s="291"/>
      <c r="M3" s="288" t="s">
        <v>151</v>
      </c>
      <c r="N3" s="289"/>
      <c r="O3" s="289"/>
      <c r="P3" s="289"/>
      <c r="Q3" s="289"/>
      <c r="R3" s="290"/>
      <c r="S3" s="99"/>
    </row>
    <row r="4" spans="1:38" ht="33.75" customHeight="1" x14ac:dyDescent="0.25">
      <c r="A4" s="294" t="s">
        <v>207</v>
      </c>
      <c r="B4" s="295"/>
      <c r="C4" s="287"/>
      <c r="D4" s="170" t="s">
        <v>0</v>
      </c>
      <c r="E4" s="170" t="s">
        <v>1</v>
      </c>
      <c r="F4" s="170" t="s">
        <v>2</v>
      </c>
      <c r="G4" s="293"/>
      <c r="H4" s="170" t="s">
        <v>41</v>
      </c>
      <c r="I4" s="170" t="s">
        <v>45</v>
      </c>
      <c r="J4" s="170" t="s">
        <v>42</v>
      </c>
      <c r="K4" s="170" t="s">
        <v>43</v>
      </c>
      <c r="L4" s="170" t="s">
        <v>44</v>
      </c>
      <c r="M4" s="170" t="s">
        <v>46</v>
      </c>
      <c r="N4" s="170" t="s">
        <v>47</v>
      </c>
      <c r="O4" s="170" t="s">
        <v>48</v>
      </c>
      <c r="P4" s="170" t="s">
        <v>49</v>
      </c>
      <c r="Q4" s="170" t="s">
        <v>100</v>
      </c>
      <c r="R4" s="170" t="s">
        <v>99</v>
      </c>
      <c r="S4" s="99"/>
    </row>
    <row r="5" spans="1:38" s="45" customFormat="1" ht="15.75" customHeight="1" x14ac:dyDescent="0.25">
      <c r="A5" s="222">
        <v>100</v>
      </c>
      <c r="B5" s="187" t="s">
        <v>228</v>
      </c>
      <c r="C5" s="191">
        <v>15</v>
      </c>
      <c r="D5" s="192">
        <v>3.84</v>
      </c>
      <c r="E5" s="192">
        <v>3.92</v>
      </c>
      <c r="F5" s="192">
        <v>0</v>
      </c>
      <c r="G5" s="192">
        <v>51.45</v>
      </c>
      <c r="H5" s="259">
        <v>5.0000000000000001E-3</v>
      </c>
      <c r="I5" s="192">
        <v>0.01</v>
      </c>
      <c r="J5" s="192">
        <v>0.11</v>
      </c>
      <c r="K5" s="259">
        <v>3.5000000000000003E-2</v>
      </c>
      <c r="L5" s="259">
        <v>7.4999999999999997E-2</v>
      </c>
      <c r="M5" s="216">
        <v>135</v>
      </c>
      <c r="N5" s="216">
        <v>88.5</v>
      </c>
      <c r="O5" s="216">
        <v>7.5</v>
      </c>
      <c r="P5" s="259">
        <v>0.13500000000000001</v>
      </c>
      <c r="Q5" s="192">
        <v>1.32</v>
      </c>
      <c r="R5" s="192">
        <v>0</v>
      </c>
      <c r="S5" s="14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4"/>
    </row>
    <row r="6" spans="1:38" ht="15.75" customHeight="1" x14ac:dyDescent="0.25">
      <c r="A6" s="220">
        <v>268</v>
      </c>
      <c r="B6" s="121" t="s">
        <v>229</v>
      </c>
      <c r="C6" s="193">
        <v>230</v>
      </c>
      <c r="D6" s="216">
        <v>5.5</v>
      </c>
      <c r="E6" s="192">
        <v>8.6199999999999992</v>
      </c>
      <c r="F6" s="216">
        <v>32.4</v>
      </c>
      <c r="G6" s="216">
        <v>229.4</v>
      </c>
      <c r="H6" s="259">
        <v>6.4000000000000001E-2</v>
      </c>
      <c r="I6" s="259">
        <v>2.1000000000000001E-2</v>
      </c>
      <c r="J6" s="192">
        <v>1.54</v>
      </c>
      <c r="K6" s="259">
        <v>5.3999999999999999E-2</v>
      </c>
      <c r="L6" s="192">
        <v>0.18</v>
      </c>
      <c r="M6" s="216">
        <v>143.4</v>
      </c>
      <c r="N6" s="216">
        <v>151.80000000000001</v>
      </c>
      <c r="O6" s="216">
        <v>31.6</v>
      </c>
      <c r="P6" s="192">
        <v>0.44</v>
      </c>
      <c r="Q6" s="216">
        <v>1.1000000000000001</v>
      </c>
      <c r="R6" s="192">
        <v>0</v>
      </c>
      <c r="S6" s="149"/>
    </row>
    <row r="7" spans="1:38" s="45" customFormat="1" ht="15.75" customHeight="1" x14ac:dyDescent="0.25">
      <c r="A7" s="222">
        <v>496</v>
      </c>
      <c r="B7" s="119" t="s">
        <v>6</v>
      </c>
      <c r="C7" s="191">
        <v>200</v>
      </c>
      <c r="D7" s="262">
        <v>3.6</v>
      </c>
      <c r="E7" s="262">
        <v>3.3</v>
      </c>
      <c r="F7" s="266">
        <v>25</v>
      </c>
      <c r="G7" s="265">
        <v>144</v>
      </c>
      <c r="H7" s="194">
        <v>0.04</v>
      </c>
      <c r="I7" s="194">
        <v>0.18</v>
      </c>
      <c r="J7" s="262">
        <v>1.3</v>
      </c>
      <c r="K7" s="194">
        <v>0.02</v>
      </c>
      <c r="L7" s="194">
        <v>0</v>
      </c>
      <c r="M7" s="262">
        <v>124</v>
      </c>
      <c r="N7" s="266">
        <v>110</v>
      </c>
      <c r="O7" s="266">
        <v>27</v>
      </c>
      <c r="P7" s="262">
        <v>0.8</v>
      </c>
      <c r="Q7" s="216">
        <v>0.5</v>
      </c>
      <c r="R7" s="192">
        <v>0</v>
      </c>
      <c r="S7" s="14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4"/>
    </row>
    <row r="8" spans="1:38" s="45" customFormat="1" ht="15.75" customHeight="1" x14ac:dyDescent="0.25">
      <c r="A8" s="222" t="s">
        <v>215</v>
      </c>
      <c r="B8" s="119" t="s">
        <v>221</v>
      </c>
      <c r="C8" s="191">
        <v>30</v>
      </c>
      <c r="D8" s="192">
        <v>2.2799999999999998</v>
      </c>
      <c r="E8" s="192">
        <v>0.24</v>
      </c>
      <c r="F8" s="192">
        <v>14.76</v>
      </c>
      <c r="G8" s="216">
        <v>70.5</v>
      </c>
      <c r="H8" s="259">
        <v>3.3000000000000002E-2</v>
      </c>
      <c r="I8" s="259">
        <v>5.0000000000000001E-3</v>
      </c>
      <c r="J8" s="192">
        <v>0</v>
      </c>
      <c r="K8" s="192">
        <v>0</v>
      </c>
      <c r="L8" s="192">
        <v>0.33</v>
      </c>
      <c r="M8" s="265">
        <v>6</v>
      </c>
      <c r="N8" s="216">
        <v>19.5</v>
      </c>
      <c r="O8" s="216">
        <v>4.2</v>
      </c>
      <c r="P8" s="192">
        <v>0.33</v>
      </c>
      <c r="Q8" s="259">
        <v>0.14699999999999999</v>
      </c>
      <c r="R8" s="192">
        <v>0</v>
      </c>
      <c r="S8" s="14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4"/>
    </row>
    <row r="9" spans="1:38" s="44" customFormat="1" ht="15.75" customHeight="1" x14ac:dyDescent="0.25">
      <c r="A9" s="251" t="s">
        <v>159</v>
      </c>
      <c r="B9" s="116" t="s">
        <v>222</v>
      </c>
      <c r="C9" s="197">
        <v>20</v>
      </c>
      <c r="D9" s="199">
        <v>1.32</v>
      </c>
      <c r="E9" s="199">
        <v>0.24</v>
      </c>
      <c r="F9" s="199">
        <v>6.68</v>
      </c>
      <c r="G9" s="199">
        <v>34.799999999999997</v>
      </c>
      <c r="H9" s="199">
        <v>3.5999999999999997E-2</v>
      </c>
      <c r="I9" s="199">
        <v>7.0000000000000007E-2</v>
      </c>
      <c r="J9" s="199">
        <v>0</v>
      </c>
      <c r="K9" s="199">
        <v>0</v>
      </c>
      <c r="L9" s="199">
        <v>0.28000000000000003</v>
      </c>
      <c r="M9" s="199">
        <v>7</v>
      </c>
      <c r="N9" s="263">
        <v>31.6</v>
      </c>
      <c r="O9" s="263">
        <v>9.4</v>
      </c>
      <c r="P9" s="202">
        <v>0.78</v>
      </c>
      <c r="Q9" s="199">
        <v>0</v>
      </c>
      <c r="R9" s="264">
        <v>0.02</v>
      </c>
      <c r="S9" s="14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5"/>
    </row>
    <row r="10" spans="1:38" s="44" customFormat="1" ht="15.75" customHeight="1" x14ac:dyDescent="0.25">
      <c r="A10" s="222">
        <v>112</v>
      </c>
      <c r="B10" s="119" t="s">
        <v>156</v>
      </c>
      <c r="C10" s="191">
        <v>120</v>
      </c>
      <c r="D10" s="262">
        <v>0.5</v>
      </c>
      <c r="E10" s="262">
        <v>0.5</v>
      </c>
      <c r="F10" s="262">
        <v>12.8</v>
      </c>
      <c r="G10" s="216">
        <f t="shared" ref="G10" si="0">F10*4+E10*9+D10*4</f>
        <v>57.7</v>
      </c>
      <c r="H10" s="194">
        <v>0.04</v>
      </c>
      <c r="I10" s="194">
        <v>0.01</v>
      </c>
      <c r="J10" s="266">
        <v>5</v>
      </c>
      <c r="K10" s="194">
        <v>0</v>
      </c>
      <c r="L10" s="194">
        <v>0.33</v>
      </c>
      <c r="M10" s="266">
        <v>25</v>
      </c>
      <c r="N10" s="262">
        <v>18.3</v>
      </c>
      <c r="O10" s="260">
        <v>14.16</v>
      </c>
      <c r="P10" s="262">
        <v>0.5</v>
      </c>
      <c r="Q10" s="192">
        <v>0.48</v>
      </c>
      <c r="R10" s="192">
        <v>1.0000000000000001E-5</v>
      </c>
      <c r="S10" s="14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5"/>
    </row>
    <row r="11" spans="1:38" s="44" customFormat="1" ht="15.75" customHeight="1" x14ac:dyDescent="0.25">
      <c r="A11" s="122"/>
      <c r="B11" s="123" t="s">
        <v>21</v>
      </c>
      <c r="C11" s="188">
        <f>+C22:R22</f>
        <v>829</v>
      </c>
      <c r="D11" s="124">
        <f t="shared" ref="D11:R11" si="1">SUM(D5:D10)</f>
        <v>17.04</v>
      </c>
      <c r="E11" s="124">
        <f t="shared" si="1"/>
        <v>16.819999999999997</v>
      </c>
      <c r="F11" s="124">
        <f t="shared" si="1"/>
        <v>91.64</v>
      </c>
      <c r="G11" s="124">
        <f t="shared" si="1"/>
        <v>587.85</v>
      </c>
      <c r="H11" s="124">
        <f t="shared" si="1"/>
        <v>0.21800000000000003</v>
      </c>
      <c r="I11" s="124">
        <f t="shared" si="1"/>
        <v>0.29600000000000004</v>
      </c>
      <c r="J11" s="124">
        <f t="shared" si="1"/>
        <v>7.95</v>
      </c>
      <c r="K11" s="124">
        <f t="shared" si="1"/>
        <v>0.109</v>
      </c>
      <c r="L11" s="124">
        <f t="shared" si="1"/>
        <v>1.1950000000000001</v>
      </c>
      <c r="M11" s="124">
        <f t="shared" si="1"/>
        <v>440.4</v>
      </c>
      <c r="N11" s="124">
        <f t="shared" si="1"/>
        <v>419.70000000000005</v>
      </c>
      <c r="O11" s="124">
        <f t="shared" si="1"/>
        <v>93.86</v>
      </c>
      <c r="P11" s="124">
        <f t="shared" si="1"/>
        <v>2.9850000000000003</v>
      </c>
      <c r="Q11" s="124">
        <f t="shared" si="1"/>
        <v>3.5469999999999997</v>
      </c>
      <c r="R11" s="124">
        <f t="shared" si="1"/>
        <v>2.001E-2</v>
      </c>
      <c r="S11" s="14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5"/>
    </row>
    <row r="12" spans="1:38" s="44" customFormat="1" ht="15.75" customHeight="1" x14ac:dyDescent="0.25">
      <c r="A12" s="125"/>
      <c r="B12" s="126" t="s">
        <v>98</v>
      </c>
      <c r="C12" s="195"/>
      <c r="D12" s="196">
        <v>19.25</v>
      </c>
      <c r="E12" s="196">
        <v>19.75</v>
      </c>
      <c r="F12" s="196">
        <v>83.75</v>
      </c>
      <c r="G12" s="196">
        <v>587.5</v>
      </c>
      <c r="H12" s="196">
        <v>0.3</v>
      </c>
      <c r="I12" s="196">
        <v>0.35</v>
      </c>
      <c r="J12" s="196">
        <v>15</v>
      </c>
      <c r="K12" s="196">
        <v>0.17499999999999999</v>
      </c>
      <c r="L12" s="196">
        <v>2.5</v>
      </c>
      <c r="M12" s="196">
        <v>275</v>
      </c>
      <c r="N12" s="196">
        <v>412.5</v>
      </c>
      <c r="O12" s="196">
        <v>62.5</v>
      </c>
      <c r="P12" s="196">
        <v>3</v>
      </c>
      <c r="Q12" s="196">
        <v>2.5</v>
      </c>
      <c r="R12" s="196">
        <v>2.5000000000000001E-2</v>
      </c>
      <c r="S12" s="14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5"/>
    </row>
    <row r="13" spans="1:38" ht="15.75" customHeight="1" x14ac:dyDescent="0.25">
      <c r="A13" s="125"/>
      <c r="B13" s="127" t="s">
        <v>178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50"/>
    </row>
    <row r="14" spans="1:38" ht="15.75" customHeight="1" x14ac:dyDescent="0.25">
      <c r="A14" s="125">
        <v>4</v>
      </c>
      <c r="B14" s="250" t="s">
        <v>230</v>
      </c>
      <c r="C14" s="249">
        <v>60</v>
      </c>
      <c r="D14" s="196">
        <v>0.96</v>
      </c>
      <c r="E14" s="196">
        <v>6.06</v>
      </c>
      <c r="F14" s="196">
        <v>5.76</v>
      </c>
      <c r="G14" s="196">
        <v>81.599999999999994</v>
      </c>
      <c r="H14" s="267">
        <v>2.4E-2</v>
      </c>
      <c r="I14" s="196">
        <v>0.03</v>
      </c>
      <c r="J14" s="196">
        <v>16.68</v>
      </c>
      <c r="K14" s="196">
        <v>0</v>
      </c>
      <c r="L14" s="196">
        <v>2.7</v>
      </c>
      <c r="M14" s="196">
        <v>26.4</v>
      </c>
      <c r="N14" s="196">
        <v>19.2</v>
      </c>
      <c r="O14" s="196">
        <v>10.199999999999999</v>
      </c>
      <c r="P14" s="248">
        <v>0.36</v>
      </c>
      <c r="Q14" s="196">
        <v>0</v>
      </c>
      <c r="R14" s="196">
        <v>0</v>
      </c>
      <c r="S14" s="150"/>
    </row>
    <row r="15" spans="1:38" ht="15.75" customHeight="1" x14ac:dyDescent="0.25">
      <c r="A15" s="251">
        <v>141</v>
      </c>
      <c r="B15" s="116" t="s">
        <v>176</v>
      </c>
      <c r="C15" s="197">
        <v>200</v>
      </c>
      <c r="D15" s="198">
        <v>1.4</v>
      </c>
      <c r="E15" s="198">
        <v>3.98</v>
      </c>
      <c r="F15" s="198">
        <v>6.22</v>
      </c>
      <c r="G15" s="199">
        <v>66.400000000000006</v>
      </c>
      <c r="H15" s="268">
        <v>4.5999999999999999E-2</v>
      </c>
      <c r="I15" s="198">
        <v>0.05</v>
      </c>
      <c r="J15" s="198">
        <v>14.78</v>
      </c>
      <c r="K15" s="198">
        <v>0</v>
      </c>
      <c r="L15" s="198">
        <v>1.9</v>
      </c>
      <c r="M15" s="198">
        <v>27.2</v>
      </c>
      <c r="N15" s="198">
        <v>38</v>
      </c>
      <c r="O15" s="198">
        <v>17.8</v>
      </c>
      <c r="P15" s="200">
        <v>0.64</v>
      </c>
      <c r="Q15" s="198">
        <v>0.56000000000000005</v>
      </c>
      <c r="R15" s="201">
        <v>0.01</v>
      </c>
      <c r="S15" s="148"/>
    </row>
    <row r="16" spans="1:38" s="46" customFormat="1" ht="15.75" customHeight="1" x14ac:dyDescent="0.25">
      <c r="A16" s="251">
        <v>368</v>
      </c>
      <c r="B16" s="116" t="s">
        <v>231</v>
      </c>
      <c r="C16" s="197">
        <v>90</v>
      </c>
      <c r="D16" s="199">
        <v>13.2</v>
      </c>
      <c r="E16" s="199">
        <v>14.52</v>
      </c>
      <c r="F16" s="199">
        <v>3.3</v>
      </c>
      <c r="G16" s="199">
        <v>196.8</v>
      </c>
      <c r="H16" s="199">
        <v>0.05</v>
      </c>
      <c r="I16" s="199">
        <v>0.08</v>
      </c>
      <c r="J16" s="199">
        <v>0.96</v>
      </c>
      <c r="K16" s="261">
        <v>3.5999999999999997E-2</v>
      </c>
      <c r="L16" s="198">
        <v>0.48</v>
      </c>
      <c r="M16" s="199">
        <v>13.8</v>
      </c>
      <c r="N16" s="199">
        <v>142.80000000000001</v>
      </c>
      <c r="O16" s="199">
        <v>22.2</v>
      </c>
      <c r="P16" s="202">
        <v>1.98</v>
      </c>
      <c r="Q16" s="199">
        <v>3.26</v>
      </c>
      <c r="R16" s="201">
        <v>0.03</v>
      </c>
      <c r="S16" s="148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6"/>
    </row>
    <row r="17" spans="1:38" s="47" customFormat="1" ht="15.75" customHeight="1" x14ac:dyDescent="0.25">
      <c r="A17" s="253">
        <v>302</v>
      </c>
      <c r="B17" s="116" t="s">
        <v>213</v>
      </c>
      <c r="C17" s="203">
        <v>150</v>
      </c>
      <c r="D17" s="194">
        <v>3.2</v>
      </c>
      <c r="E17" s="194">
        <v>5.2</v>
      </c>
      <c r="F17" s="194">
        <v>20.8</v>
      </c>
      <c r="G17" s="199">
        <f>D17*4+E17*9+F17*4</f>
        <v>142.80000000000001</v>
      </c>
      <c r="H17" s="194">
        <v>0.06</v>
      </c>
      <c r="I17" s="194">
        <v>0.02</v>
      </c>
      <c r="J17" s="194">
        <v>0</v>
      </c>
      <c r="K17" s="194">
        <v>0</v>
      </c>
      <c r="L17" s="198">
        <f>0.68*0.46</f>
        <v>0.31280000000000002</v>
      </c>
      <c r="M17" s="194">
        <v>26.82</v>
      </c>
      <c r="N17" s="194">
        <v>111.2</v>
      </c>
      <c r="O17" s="194">
        <v>15.99</v>
      </c>
      <c r="P17" s="194">
        <v>0.57999999999999996</v>
      </c>
      <c r="Q17" s="194">
        <v>0</v>
      </c>
      <c r="R17" s="201">
        <v>0</v>
      </c>
      <c r="S17" s="151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80"/>
    </row>
    <row r="18" spans="1:38" s="46" customFormat="1" ht="15.75" customHeight="1" x14ac:dyDescent="0.25">
      <c r="A18" s="251">
        <v>518</v>
      </c>
      <c r="B18" s="130" t="s">
        <v>238</v>
      </c>
      <c r="C18" s="206">
        <v>200</v>
      </c>
      <c r="D18" s="207">
        <v>1</v>
      </c>
      <c r="E18" s="207">
        <v>0.2</v>
      </c>
      <c r="F18" s="207">
        <v>0.2</v>
      </c>
      <c r="G18" s="207">
        <v>92</v>
      </c>
      <c r="H18" s="194">
        <v>1.4999999999999999E-2</v>
      </c>
      <c r="I18" s="194">
        <v>1.4999999999999999E-2</v>
      </c>
      <c r="J18" s="194">
        <v>4</v>
      </c>
      <c r="K18" s="194">
        <v>0</v>
      </c>
      <c r="L18" s="194">
        <v>0</v>
      </c>
      <c r="M18" s="194">
        <v>14</v>
      </c>
      <c r="N18" s="194">
        <v>0</v>
      </c>
      <c r="O18" s="194">
        <v>0</v>
      </c>
      <c r="P18" s="194">
        <v>2.8</v>
      </c>
      <c r="Q18" s="194">
        <v>0</v>
      </c>
      <c r="R18" s="201">
        <v>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6"/>
    </row>
    <row r="19" spans="1:38" s="44" customFormat="1" ht="15.75" customHeight="1" x14ac:dyDescent="0.25">
      <c r="A19" s="222" t="s">
        <v>215</v>
      </c>
      <c r="B19" s="119" t="s">
        <v>223</v>
      </c>
      <c r="C19" s="197">
        <v>45</v>
      </c>
      <c r="D19" s="194">
        <f>2.7*60/40</f>
        <v>4.05</v>
      </c>
      <c r="E19" s="194">
        <f>0.34*60/40</f>
        <v>0.51</v>
      </c>
      <c r="F19" s="194">
        <f>20.06*60/40</f>
        <v>30.089999999999996</v>
      </c>
      <c r="G19" s="199">
        <f t="shared" ref="G19:G20" si="2">D19*4+E19*9+F19*4</f>
        <v>141.14999999999998</v>
      </c>
      <c r="H19" s="194">
        <f>0.11*0.6</f>
        <v>6.6000000000000003E-2</v>
      </c>
      <c r="I19" s="194">
        <f>0.03*0.6</f>
        <v>1.7999999999999999E-2</v>
      </c>
      <c r="J19" s="194">
        <v>0</v>
      </c>
      <c r="K19" s="194">
        <v>0</v>
      </c>
      <c r="L19" s="194">
        <f>1.1*0.6</f>
        <v>0.66</v>
      </c>
      <c r="M19" s="194">
        <f>20*0.6</f>
        <v>12</v>
      </c>
      <c r="N19" s="194">
        <f>65*0.6</f>
        <v>39</v>
      </c>
      <c r="O19" s="194">
        <f>14*0.6</f>
        <v>8.4</v>
      </c>
      <c r="P19" s="194">
        <f>1.1*0.6</f>
        <v>0.66</v>
      </c>
      <c r="Q19" s="194">
        <v>0</v>
      </c>
      <c r="R19" s="201">
        <v>0</v>
      </c>
      <c r="S19" s="151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5"/>
    </row>
    <row r="20" spans="1:38" s="44" customFormat="1" ht="15.75" customHeight="1" x14ac:dyDescent="0.25">
      <c r="A20" s="251" t="s">
        <v>159</v>
      </c>
      <c r="B20" s="116" t="s">
        <v>224</v>
      </c>
      <c r="C20" s="197">
        <v>24</v>
      </c>
      <c r="D20" s="199">
        <v>1.33</v>
      </c>
      <c r="E20" s="199">
        <v>0.24</v>
      </c>
      <c r="F20" s="199">
        <v>8.3699999999999992</v>
      </c>
      <c r="G20" s="199">
        <f t="shared" si="2"/>
        <v>40.959999999999994</v>
      </c>
      <c r="H20" s="199">
        <v>0.11</v>
      </c>
      <c r="I20" s="199">
        <v>7.0000000000000007E-2</v>
      </c>
      <c r="J20" s="199">
        <v>0.14000000000000001</v>
      </c>
      <c r="K20" s="199">
        <v>0</v>
      </c>
      <c r="L20" s="199">
        <v>0.11</v>
      </c>
      <c r="M20" s="199">
        <v>25.55</v>
      </c>
      <c r="N20" s="199">
        <v>43.75</v>
      </c>
      <c r="O20" s="199">
        <v>14</v>
      </c>
      <c r="P20" s="202">
        <v>0.98</v>
      </c>
      <c r="Q20" s="199">
        <v>0</v>
      </c>
      <c r="R20" s="201">
        <v>0.02</v>
      </c>
      <c r="S20" s="14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5"/>
    </row>
    <row r="21" spans="1:38" s="44" customFormat="1" ht="15.75" customHeight="1" x14ac:dyDescent="0.25">
      <c r="A21" s="251">
        <v>368</v>
      </c>
      <c r="B21" s="116" t="s">
        <v>210</v>
      </c>
      <c r="C21" s="197">
        <v>120</v>
      </c>
      <c r="D21" s="194">
        <v>1.08</v>
      </c>
      <c r="E21" s="194">
        <v>0.12</v>
      </c>
      <c r="F21" s="194">
        <v>10.8</v>
      </c>
      <c r="G21" s="199">
        <f>D21*4+E21*9+F21*4</f>
        <v>48.6</v>
      </c>
      <c r="H21" s="194">
        <v>0.03</v>
      </c>
      <c r="I21" s="194">
        <v>0.06</v>
      </c>
      <c r="J21" s="194">
        <v>12</v>
      </c>
      <c r="K21" s="194">
        <v>0</v>
      </c>
      <c r="L21" s="194">
        <v>1.32</v>
      </c>
      <c r="M21" s="194">
        <v>33.6</v>
      </c>
      <c r="N21" s="194">
        <v>31.2</v>
      </c>
      <c r="O21" s="194">
        <v>9.6</v>
      </c>
      <c r="P21" s="194">
        <v>0.84</v>
      </c>
      <c r="Q21" s="194">
        <v>0.09</v>
      </c>
      <c r="R21" s="201">
        <v>0</v>
      </c>
      <c r="S21" s="14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5"/>
    </row>
    <row r="22" spans="1:38" s="44" customFormat="1" ht="15.75" customHeight="1" x14ac:dyDescent="0.25">
      <c r="A22" s="254"/>
      <c r="B22" s="219" t="s">
        <v>21</v>
      </c>
      <c r="C22" s="132">
        <f t="shared" ref="C22:R22" si="3">SUM(C15:C21)</f>
        <v>829</v>
      </c>
      <c r="D22" s="133">
        <f t="shared" si="3"/>
        <v>25.259999999999998</v>
      </c>
      <c r="E22" s="133">
        <f t="shared" si="3"/>
        <v>24.77</v>
      </c>
      <c r="F22" s="133">
        <f t="shared" si="3"/>
        <v>79.78</v>
      </c>
      <c r="G22" s="133">
        <f t="shared" si="3"/>
        <v>728.71000000000015</v>
      </c>
      <c r="H22" s="133">
        <f t="shared" si="3"/>
        <v>0.377</v>
      </c>
      <c r="I22" s="133">
        <f t="shared" si="3"/>
        <v>0.313</v>
      </c>
      <c r="J22" s="133">
        <f t="shared" si="3"/>
        <v>31.88</v>
      </c>
      <c r="K22" s="133">
        <f t="shared" si="3"/>
        <v>3.5999999999999997E-2</v>
      </c>
      <c r="L22" s="133">
        <f t="shared" si="3"/>
        <v>4.7827999999999999</v>
      </c>
      <c r="M22" s="133">
        <f t="shared" si="3"/>
        <v>152.97</v>
      </c>
      <c r="N22" s="133">
        <f t="shared" si="3"/>
        <v>405.95</v>
      </c>
      <c r="O22" s="133">
        <f t="shared" si="3"/>
        <v>87.99</v>
      </c>
      <c r="P22" s="133">
        <f t="shared" si="3"/>
        <v>8.48</v>
      </c>
      <c r="Q22" s="133">
        <f t="shared" si="3"/>
        <v>3.9099999999999997</v>
      </c>
      <c r="R22" s="133">
        <f t="shared" si="3"/>
        <v>0.06</v>
      </c>
      <c r="S22" s="14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5"/>
    </row>
    <row r="23" spans="1:38" ht="15.75" customHeight="1" x14ac:dyDescent="0.25">
      <c r="A23" s="125"/>
      <c r="B23" s="131" t="s">
        <v>181</v>
      </c>
      <c r="C23" s="189">
        <f>SUM(C11:R11+C22:R22)</f>
        <v>1658</v>
      </c>
      <c r="D23" s="86">
        <f t="shared" ref="D23:R23" si="4">SUM(D22)</f>
        <v>25.259999999999998</v>
      </c>
      <c r="E23" s="86">
        <f t="shared" si="4"/>
        <v>24.77</v>
      </c>
      <c r="F23" s="86">
        <f t="shared" si="4"/>
        <v>79.78</v>
      </c>
      <c r="G23" s="86">
        <f t="shared" si="4"/>
        <v>728.71000000000015</v>
      </c>
      <c r="H23" s="86">
        <f t="shared" si="4"/>
        <v>0.377</v>
      </c>
      <c r="I23" s="86">
        <f t="shared" si="4"/>
        <v>0.313</v>
      </c>
      <c r="J23" s="86">
        <f t="shared" si="4"/>
        <v>31.88</v>
      </c>
      <c r="K23" s="86">
        <f t="shared" si="4"/>
        <v>3.5999999999999997E-2</v>
      </c>
      <c r="L23" s="86">
        <f t="shared" si="4"/>
        <v>4.7827999999999999</v>
      </c>
      <c r="M23" s="86">
        <f t="shared" si="4"/>
        <v>152.97</v>
      </c>
      <c r="N23" s="86">
        <f t="shared" si="4"/>
        <v>405.95</v>
      </c>
      <c r="O23" s="86">
        <f t="shared" si="4"/>
        <v>87.99</v>
      </c>
      <c r="P23" s="86">
        <f t="shared" si="4"/>
        <v>8.48</v>
      </c>
      <c r="Q23" s="86">
        <f t="shared" si="4"/>
        <v>3.9099999999999997</v>
      </c>
      <c r="R23" s="86">
        <f t="shared" si="4"/>
        <v>0.06</v>
      </c>
      <c r="S23" s="149"/>
    </row>
    <row r="24" spans="1:38" ht="15.75" customHeight="1" x14ac:dyDescent="0.25">
      <c r="A24" s="294" t="s">
        <v>209</v>
      </c>
      <c r="B24" s="295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48"/>
    </row>
    <row r="25" spans="1:38" ht="15.75" customHeight="1" x14ac:dyDescent="0.25">
      <c r="A25" s="255">
        <v>246</v>
      </c>
      <c r="B25" s="135" t="s">
        <v>160</v>
      </c>
      <c r="C25" s="210">
        <v>60</v>
      </c>
      <c r="D25" s="194">
        <v>0.79</v>
      </c>
      <c r="E25" s="194">
        <v>0.14399999999999999</v>
      </c>
      <c r="F25" s="194">
        <v>2.7360000000000002</v>
      </c>
      <c r="G25" s="194">
        <f>F25*4+E25*9+D25*4</f>
        <v>15.4</v>
      </c>
      <c r="H25" s="194">
        <v>4.8000000000000001E-2</v>
      </c>
      <c r="I25" s="194">
        <v>2.4E-2</v>
      </c>
      <c r="J25" s="194">
        <v>12.6</v>
      </c>
      <c r="K25" s="194">
        <v>0</v>
      </c>
      <c r="L25" s="194">
        <v>0.5</v>
      </c>
      <c r="M25" s="194">
        <v>10.08</v>
      </c>
      <c r="N25" s="194">
        <v>18.72</v>
      </c>
      <c r="O25" s="194">
        <v>14.4</v>
      </c>
      <c r="P25" s="194">
        <v>0.64800000000000002</v>
      </c>
      <c r="Q25" s="211">
        <v>0.10199999999999999</v>
      </c>
      <c r="R25" s="211">
        <v>0</v>
      </c>
      <c r="S25" s="149"/>
    </row>
    <row r="26" spans="1:38" s="45" customFormat="1" ht="15.75" customHeight="1" x14ac:dyDescent="0.25">
      <c r="A26" s="222">
        <v>259</v>
      </c>
      <c r="B26" s="119" t="s">
        <v>22</v>
      </c>
      <c r="C26" s="191">
        <v>175</v>
      </c>
      <c r="D26" s="86">
        <v>17.009708737864077</v>
      </c>
      <c r="E26" s="86">
        <v>15.679611650485436</v>
      </c>
      <c r="F26" s="86">
        <v>25.864077669902912</v>
      </c>
      <c r="G26" s="194">
        <f t="shared" ref="G26:G30" si="5">F26*4+E26*9+D26*4</f>
        <v>312.61165048543688</v>
      </c>
      <c r="H26" s="86">
        <v>0.13980582524271842</v>
      </c>
      <c r="I26" s="86">
        <v>0.19805825242718447</v>
      </c>
      <c r="J26" s="86">
        <v>8.0970873786407758</v>
      </c>
      <c r="K26" s="86">
        <v>0</v>
      </c>
      <c r="L26" s="86">
        <v>10.067961165048542</v>
      </c>
      <c r="M26" s="86">
        <v>36.504854368932037</v>
      </c>
      <c r="N26" s="86">
        <v>215.95145631067962</v>
      </c>
      <c r="O26" s="86">
        <v>50.902912621359221</v>
      </c>
      <c r="P26" s="86">
        <v>4.6213592233009706</v>
      </c>
      <c r="Q26" s="211">
        <v>3.38</v>
      </c>
      <c r="R26" s="211">
        <v>0</v>
      </c>
      <c r="S26" s="14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4"/>
    </row>
    <row r="27" spans="1:38" ht="15.75" customHeight="1" x14ac:dyDescent="0.25">
      <c r="A27" s="222" t="s">
        <v>39</v>
      </c>
      <c r="B27" s="119" t="s">
        <v>92</v>
      </c>
      <c r="C27" s="191">
        <v>200</v>
      </c>
      <c r="D27" s="192">
        <v>0.6</v>
      </c>
      <c r="E27" s="192">
        <v>0.4</v>
      </c>
      <c r="F27" s="192">
        <v>10.4</v>
      </c>
      <c r="G27" s="194">
        <f t="shared" si="5"/>
        <v>47.6</v>
      </c>
      <c r="H27" s="192">
        <v>0.02</v>
      </c>
      <c r="I27" s="192">
        <v>0.04</v>
      </c>
      <c r="J27" s="192">
        <v>3.4</v>
      </c>
      <c r="K27" s="192">
        <v>0</v>
      </c>
      <c r="L27" s="192">
        <v>0.4</v>
      </c>
      <c r="M27" s="192">
        <v>21.2</v>
      </c>
      <c r="N27" s="192">
        <v>22.6</v>
      </c>
      <c r="O27" s="192">
        <v>14.6</v>
      </c>
      <c r="P27" s="192">
        <v>3.2</v>
      </c>
      <c r="Q27" s="192">
        <v>0.12</v>
      </c>
      <c r="R27" s="192">
        <v>0</v>
      </c>
      <c r="S27" s="149"/>
    </row>
    <row r="28" spans="1:38" s="44" customFormat="1" ht="15.75" customHeight="1" x14ac:dyDescent="0.25">
      <c r="A28" s="222" t="s">
        <v>215</v>
      </c>
      <c r="B28" s="119" t="s">
        <v>221</v>
      </c>
      <c r="C28" s="191">
        <v>30</v>
      </c>
      <c r="D28" s="86">
        <v>1.6875</v>
      </c>
      <c r="E28" s="86">
        <v>0.21499999999999997</v>
      </c>
      <c r="F28" s="86">
        <v>12.5375</v>
      </c>
      <c r="G28" s="194">
        <f t="shared" si="5"/>
        <v>58.835000000000001</v>
      </c>
      <c r="H28" s="86">
        <v>0.03</v>
      </c>
      <c r="I28" s="86">
        <v>6.2500000000000003E-3</v>
      </c>
      <c r="J28" s="86">
        <v>0</v>
      </c>
      <c r="K28" s="86">
        <v>0</v>
      </c>
      <c r="L28" s="86">
        <v>0.27500000000000002</v>
      </c>
      <c r="M28" s="86">
        <v>5</v>
      </c>
      <c r="N28" s="86">
        <v>16.25</v>
      </c>
      <c r="O28" s="86">
        <v>3.5</v>
      </c>
      <c r="P28" s="86">
        <v>0.27500000000000002</v>
      </c>
      <c r="Q28" s="86">
        <v>0.19</v>
      </c>
      <c r="R28" s="86">
        <v>0</v>
      </c>
      <c r="S28" s="14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5"/>
    </row>
    <row r="29" spans="1:38" ht="15.75" customHeight="1" x14ac:dyDescent="0.25">
      <c r="A29" s="251" t="s">
        <v>159</v>
      </c>
      <c r="B29" s="116" t="s">
        <v>222</v>
      </c>
      <c r="C29" s="191">
        <v>20</v>
      </c>
      <c r="D29" s="192">
        <v>1.6625000000000001</v>
      </c>
      <c r="E29" s="192">
        <v>0.3</v>
      </c>
      <c r="F29" s="192">
        <v>10.462499999999999</v>
      </c>
      <c r="G29" s="194">
        <f t="shared" si="5"/>
        <v>51.199999999999996</v>
      </c>
      <c r="H29" s="192">
        <v>0.13124999999999998</v>
      </c>
      <c r="I29" s="192">
        <v>8.7499999999999981E-2</v>
      </c>
      <c r="J29" s="192">
        <v>0.17499999999999996</v>
      </c>
      <c r="K29" s="192">
        <v>0</v>
      </c>
      <c r="L29" s="192">
        <v>0.13124999999999998</v>
      </c>
      <c r="M29" s="192">
        <v>31.937499999999996</v>
      </c>
      <c r="N29" s="192">
        <v>54.6875</v>
      </c>
      <c r="O29" s="192">
        <v>17.5</v>
      </c>
      <c r="P29" s="192">
        <v>1.2249999999999999</v>
      </c>
      <c r="Q29" s="192">
        <v>0.3</v>
      </c>
      <c r="R29" s="192">
        <v>0.02</v>
      </c>
      <c r="S29" s="149"/>
    </row>
    <row r="30" spans="1:38" s="44" customFormat="1" ht="15.75" customHeight="1" x14ac:dyDescent="0.25">
      <c r="A30" s="142">
        <v>272</v>
      </c>
      <c r="B30" s="119" t="s">
        <v>157</v>
      </c>
      <c r="C30" s="191">
        <v>150</v>
      </c>
      <c r="D30" s="194">
        <f>2.9*2</f>
        <v>5.8</v>
      </c>
      <c r="E30" s="194">
        <f>2.5*2</f>
        <v>5</v>
      </c>
      <c r="F30" s="194">
        <f>4*2</f>
        <v>8</v>
      </c>
      <c r="G30" s="194">
        <f t="shared" si="5"/>
        <v>100.2</v>
      </c>
      <c r="H30" s="194">
        <f>0.04*0.75</f>
        <v>0.03</v>
      </c>
      <c r="I30" s="194">
        <v>0.26</v>
      </c>
      <c r="J30" s="194">
        <v>0.54</v>
      </c>
      <c r="K30" s="194">
        <v>0.36</v>
      </c>
      <c r="L30" s="194">
        <v>0</v>
      </c>
      <c r="M30" s="194">
        <v>223.2</v>
      </c>
      <c r="N30" s="194">
        <v>165.6</v>
      </c>
      <c r="O30" s="194">
        <v>25.2</v>
      </c>
      <c r="P30" s="194">
        <v>0.18</v>
      </c>
      <c r="Q30" s="192">
        <v>0.8</v>
      </c>
      <c r="R30" s="192">
        <v>0</v>
      </c>
      <c r="S30" s="14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5"/>
    </row>
    <row r="31" spans="1:38" s="44" customFormat="1" ht="15.75" customHeight="1" x14ac:dyDescent="0.25">
      <c r="A31" s="125"/>
      <c r="B31" s="219" t="s">
        <v>21</v>
      </c>
      <c r="C31" s="189">
        <f>SUM(C20:R20+C30:R30)</f>
        <v>174</v>
      </c>
      <c r="D31" s="86">
        <f t="shared" ref="D31" si="6">SUM(D30)</f>
        <v>5.8</v>
      </c>
      <c r="E31" s="86">
        <f t="shared" ref="E31" si="7">SUM(E30)</f>
        <v>5</v>
      </c>
      <c r="F31" s="86">
        <f t="shared" ref="F31" si="8">SUM(F30)</f>
        <v>8</v>
      </c>
      <c r="G31" s="86">
        <f t="shared" ref="G31" si="9">SUM(G30)</f>
        <v>100.2</v>
      </c>
      <c r="H31" s="86">
        <f t="shared" ref="H31" si="10">SUM(H30)</f>
        <v>0.03</v>
      </c>
      <c r="I31" s="86">
        <f t="shared" ref="I31" si="11">SUM(I30)</f>
        <v>0.26</v>
      </c>
      <c r="J31" s="86">
        <f t="shared" ref="J31" si="12">SUM(J30)</f>
        <v>0.54</v>
      </c>
      <c r="K31" s="86">
        <f t="shared" ref="K31" si="13">SUM(K30)</f>
        <v>0.36</v>
      </c>
      <c r="L31" s="86">
        <f t="shared" ref="L31" si="14">SUM(L30)</f>
        <v>0</v>
      </c>
      <c r="M31" s="86">
        <f t="shared" ref="M31" si="15">SUM(M30)</f>
        <v>223.2</v>
      </c>
      <c r="N31" s="86">
        <f t="shared" ref="N31" si="16">SUM(N30)</f>
        <v>165.6</v>
      </c>
      <c r="O31" s="86">
        <f t="shared" ref="O31" si="17">SUM(O30)</f>
        <v>25.2</v>
      </c>
      <c r="P31" s="86">
        <f t="shared" ref="P31" si="18">SUM(P30)</f>
        <v>0.18</v>
      </c>
      <c r="Q31" s="86">
        <f t="shared" ref="Q31" si="19">SUM(Q30)</f>
        <v>0.8</v>
      </c>
      <c r="R31" s="86">
        <f t="shared" ref="R31" si="20">SUM(R30)</f>
        <v>0</v>
      </c>
      <c r="S31" s="14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5"/>
    </row>
    <row r="32" spans="1:38" s="44" customFormat="1" ht="15.75" customHeight="1" x14ac:dyDescent="0.25">
      <c r="A32" s="142"/>
      <c r="B32" s="143"/>
      <c r="C32" s="190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5"/>
    </row>
    <row r="33" spans="1:38" s="47" customFormat="1" ht="15.75" customHeight="1" x14ac:dyDescent="0.25">
      <c r="A33" s="138"/>
      <c r="B33" s="126" t="s">
        <v>98</v>
      </c>
      <c r="C33" s="195"/>
      <c r="D33" s="196">
        <v>19.25</v>
      </c>
      <c r="E33" s="196">
        <v>19.75</v>
      </c>
      <c r="F33" s="196">
        <v>83.75</v>
      </c>
      <c r="G33" s="196">
        <v>587.5</v>
      </c>
      <c r="H33" s="196">
        <v>0.3</v>
      </c>
      <c r="I33" s="196">
        <v>0.35</v>
      </c>
      <c r="J33" s="196">
        <v>15</v>
      </c>
      <c r="K33" s="196">
        <v>0.17499999999999999</v>
      </c>
      <c r="L33" s="196">
        <v>2.5</v>
      </c>
      <c r="M33" s="196">
        <v>275</v>
      </c>
      <c r="N33" s="196">
        <v>412.5</v>
      </c>
      <c r="O33" s="196">
        <v>62.5</v>
      </c>
      <c r="P33" s="196">
        <v>3</v>
      </c>
      <c r="Q33" s="196">
        <v>2.5</v>
      </c>
      <c r="R33" s="196">
        <v>2.5000000000000001E-2</v>
      </c>
      <c r="S33" s="149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80"/>
    </row>
    <row r="34" spans="1:38" ht="15.75" customHeight="1" x14ac:dyDescent="0.25">
      <c r="A34" s="138"/>
      <c r="B34" s="127" t="s">
        <v>178</v>
      </c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51"/>
    </row>
    <row r="35" spans="1:38" s="45" customFormat="1" ht="15.75" customHeight="1" x14ac:dyDescent="0.25">
      <c r="A35" s="115">
        <v>246</v>
      </c>
      <c r="B35" s="116" t="s">
        <v>211</v>
      </c>
      <c r="C35" s="197">
        <v>60</v>
      </c>
      <c r="D35" s="194">
        <v>0.42</v>
      </c>
      <c r="E35" s="194">
        <v>0.06</v>
      </c>
      <c r="F35" s="194">
        <v>1.1399999999999999</v>
      </c>
      <c r="G35" s="194">
        <f>D35*4+E35*9+F35*4</f>
        <v>6.7799999999999994</v>
      </c>
      <c r="H35" s="194">
        <v>2.4E-2</v>
      </c>
      <c r="I35" s="194">
        <v>1.2E-2</v>
      </c>
      <c r="J35" s="194">
        <v>2.94</v>
      </c>
      <c r="K35" s="194">
        <v>0</v>
      </c>
      <c r="L35" s="194">
        <v>0</v>
      </c>
      <c r="M35" s="194">
        <v>10.199999999999999</v>
      </c>
      <c r="N35" s="194">
        <v>18</v>
      </c>
      <c r="O35" s="194">
        <v>8.4</v>
      </c>
      <c r="P35" s="194">
        <v>0.3</v>
      </c>
      <c r="Q35" s="194">
        <v>0.12</v>
      </c>
      <c r="R35" s="201">
        <v>0</v>
      </c>
      <c r="S35" s="14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4"/>
    </row>
    <row r="36" spans="1:38" ht="15.75" customHeight="1" x14ac:dyDescent="0.25">
      <c r="A36" s="251"/>
      <c r="B36" s="116" t="s">
        <v>239</v>
      </c>
      <c r="C36" s="197">
        <v>200</v>
      </c>
      <c r="D36" s="199">
        <v>1.48</v>
      </c>
      <c r="E36" s="199">
        <v>4.92</v>
      </c>
      <c r="F36" s="199">
        <v>6.09</v>
      </c>
      <c r="G36" s="194">
        <f t="shared" ref="G36:G41" si="21">D36*4+E36*9+F36*4</f>
        <v>74.56</v>
      </c>
      <c r="H36" s="199">
        <v>0.04</v>
      </c>
      <c r="I36" s="199">
        <v>0.03</v>
      </c>
      <c r="J36" s="199">
        <v>9.8800000000000008</v>
      </c>
      <c r="K36" s="199">
        <v>0</v>
      </c>
      <c r="L36" s="199">
        <v>0.6</v>
      </c>
      <c r="M36" s="199">
        <v>35.880000000000003</v>
      </c>
      <c r="N36" s="199">
        <v>33.630000000000003</v>
      </c>
      <c r="O36" s="199">
        <v>14.18</v>
      </c>
      <c r="P36" s="202">
        <v>0.57999999999999996</v>
      </c>
      <c r="Q36" s="199">
        <v>0.85</v>
      </c>
      <c r="R36" s="201">
        <v>0.03</v>
      </c>
      <c r="S36" s="149"/>
    </row>
    <row r="37" spans="1:38" s="44" customFormat="1" ht="15.75" customHeight="1" x14ac:dyDescent="0.25">
      <c r="A37" s="251">
        <v>227</v>
      </c>
      <c r="B37" s="116" t="s">
        <v>179</v>
      </c>
      <c r="C37" s="197">
        <v>70</v>
      </c>
      <c r="D37" s="194">
        <v>12.27</v>
      </c>
      <c r="E37" s="194">
        <v>5.32</v>
      </c>
      <c r="F37" s="194">
        <v>0.56999999999999995</v>
      </c>
      <c r="G37" s="194">
        <f t="shared" si="21"/>
        <v>99.240000000000009</v>
      </c>
      <c r="H37" s="194">
        <v>0.04</v>
      </c>
      <c r="I37" s="194">
        <v>7.0000000000000007E-2</v>
      </c>
      <c r="J37" s="194">
        <v>1.2</v>
      </c>
      <c r="K37" s="194">
        <v>0.31</v>
      </c>
      <c r="L37" s="194">
        <v>1.45</v>
      </c>
      <c r="M37" s="194">
        <v>27.6</v>
      </c>
      <c r="N37" s="194">
        <v>116.5</v>
      </c>
      <c r="O37" s="194">
        <v>13.44</v>
      </c>
      <c r="P37" s="194">
        <v>0.378</v>
      </c>
      <c r="Q37" s="194">
        <v>0.26</v>
      </c>
      <c r="R37" s="201">
        <v>0.17</v>
      </c>
      <c r="S37" s="14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5"/>
    </row>
    <row r="38" spans="1:38" s="44" customFormat="1" ht="15.75" customHeight="1" x14ac:dyDescent="0.25">
      <c r="A38" s="251">
        <v>312</v>
      </c>
      <c r="B38" s="116" t="s">
        <v>75</v>
      </c>
      <c r="C38" s="197">
        <v>150</v>
      </c>
      <c r="D38" s="198">
        <v>3.07</v>
      </c>
      <c r="E38" s="198">
        <v>4.8</v>
      </c>
      <c r="F38" s="198">
        <v>20.440000000000001</v>
      </c>
      <c r="G38" s="194">
        <f t="shared" si="21"/>
        <v>137.24</v>
      </c>
      <c r="H38" s="198">
        <v>0.14000000000000001</v>
      </c>
      <c r="I38" s="198">
        <v>0.11</v>
      </c>
      <c r="J38" s="198">
        <v>18.16</v>
      </c>
      <c r="K38" s="198">
        <v>0</v>
      </c>
      <c r="L38" s="198">
        <v>0.09</v>
      </c>
      <c r="M38" s="198">
        <v>36.97</v>
      </c>
      <c r="N38" s="198">
        <v>86.59</v>
      </c>
      <c r="O38" s="198">
        <v>27.75</v>
      </c>
      <c r="P38" s="200">
        <v>1.01</v>
      </c>
      <c r="Q38" s="198">
        <v>0.45</v>
      </c>
      <c r="R38" s="201">
        <v>7.0000000000000001E-3</v>
      </c>
      <c r="S38" s="14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5"/>
    </row>
    <row r="39" spans="1:38" s="44" customFormat="1" ht="15.75" customHeight="1" x14ac:dyDescent="0.25">
      <c r="A39" s="251">
        <v>349</v>
      </c>
      <c r="B39" s="116" t="s">
        <v>180</v>
      </c>
      <c r="C39" s="197">
        <v>200</v>
      </c>
      <c r="D39" s="199">
        <v>0.66</v>
      </c>
      <c r="E39" s="199">
        <v>0.09</v>
      </c>
      <c r="F39" s="199">
        <v>32.01</v>
      </c>
      <c r="G39" s="194">
        <f t="shared" si="21"/>
        <v>131.48999999999998</v>
      </c>
      <c r="H39" s="199">
        <v>0.02</v>
      </c>
      <c r="I39" s="199">
        <v>0.02</v>
      </c>
      <c r="J39" s="199">
        <v>0.73</v>
      </c>
      <c r="K39" s="199">
        <v>0</v>
      </c>
      <c r="L39" s="199">
        <v>0</v>
      </c>
      <c r="M39" s="199">
        <v>32.479999999999997</v>
      </c>
      <c r="N39" s="199">
        <v>23.44</v>
      </c>
      <c r="O39" s="199">
        <v>17.46</v>
      </c>
      <c r="P39" s="202">
        <v>0.69</v>
      </c>
      <c r="Q39" s="199">
        <v>0</v>
      </c>
      <c r="R39" s="201">
        <v>0</v>
      </c>
      <c r="S39" s="14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5"/>
    </row>
    <row r="40" spans="1:38" s="44" customFormat="1" ht="15.75" customHeight="1" x14ac:dyDescent="0.25">
      <c r="A40" s="222" t="s">
        <v>215</v>
      </c>
      <c r="B40" s="119" t="s">
        <v>223</v>
      </c>
      <c r="C40" s="197">
        <v>45</v>
      </c>
      <c r="D40" s="194">
        <v>2.7</v>
      </c>
      <c r="E40" s="194">
        <v>0.34</v>
      </c>
      <c r="F40" s="194">
        <v>20.059999999999999</v>
      </c>
      <c r="G40" s="194">
        <f t="shared" si="21"/>
        <v>94.1</v>
      </c>
      <c r="H40" s="194">
        <v>0.04</v>
      </c>
      <c r="I40" s="194">
        <v>0.01</v>
      </c>
      <c r="J40" s="194">
        <v>0</v>
      </c>
      <c r="K40" s="194">
        <v>0</v>
      </c>
      <c r="L40" s="194">
        <v>0.44</v>
      </c>
      <c r="M40" s="194">
        <v>8</v>
      </c>
      <c r="N40" s="194">
        <v>26</v>
      </c>
      <c r="O40" s="194">
        <v>5.6</v>
      </c>
      <c r="P40" s="194">
        <v>0.44</v>
      </c>
      <c r="Q40" s="194">
        <v>0</v>
      </c>
      <c r="R40" s="201">
        <v>0</v>
      </c>
      <c r="S40" s="14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5"/>
    </row>
    <row r="41" spans="1:38" ht="15.75" customHeight="1" x14ac:dyDescent="0.25">
      <c r="A41" s="251" t="s">
        <v>159</v>
      </c>
      <c r="B41" s="116" t="s">
        <v>224</v>
      </c>
      <c r="C41" s="197">
        <v>24</v>
      </c>
      <c r="D41" s="198">
        <v>2.66</v>
      </c>
      <c r="E41" s="198">
        <v>0.48</v>
      </c>
      <c r="F41" s="198">
        <v>16.739999999999998</v>
      </c>
      <c r="G41" s="194">
        <f t="shared" si="21"/>
        <v>81.919999999999987</v>
      </c>
      <c r="H41" s="198">
        <v>0.22</v>
      </c>
      <c r="I41" s="198">
        <v>0.14000000000000001</v>
      </c>
      <c r="J41" s="198">
        <v>0.28000000000000003</v>
      </c>
      <c r="K41" s="198">
        <v>0</v>
      </c>
      <c r="L41" s="198">
        <v>0.22</v>
      </c>
      <c r="M41" s="198">
        <v>51.1</v>
      </c>
      <c r="N41" s="198">
        <v>87.5</v>
      </c>
      <c r="O41" s="198">
        <v>28</v>
      </c>
      <c r="P41" s="200">
        <v>1.96</v>
      </c>
      <c r="Q41" s="198">
        <v>0</v>
      </c>
      <c r="R41" s="201">
        <v>0.04</v>
      </c>
      <c r="S41" s="149"/>
    </row>
    <row r="42" spans="1:38" ht="15.75" customHeight="1" x14ac:dyDescent="0.25">
      <c r="A42" s="251"/>
      <c r="B42" s="116" t="s">
        <v>226</v>
      </c>
      <c r="C42" s="197">
        <v>120</v>
      </c>
      <c r="D42" s="194">
        <v>1.08</v>
      </c>
      <c r="E42" s="194">
        <v>0.12</v>
      </c>
      <c r="F42" s="194">
        <v>10.8</v>
      </c>
      <c r="G42" s="199">
        <f>D42*4+E42*9+F42*4</f>
        <v>48.6</v>
      </c>
      <c r="H42" s="194">
        <v>0.03</v>
      </c>
      <c r="I42" s="194">
        <v>0.06</v>
      </c>
      <c r="J42" s="194">
        <v>12</v>
      </c>
      <c r="K42" s="194">
        <v>0</v>
      </c>
      <c r="L42" s="194">
        <v>1.32</v>
      </c>
      <c r="M42" s="194">
        <v>33.6</v>
      </c>
      <c r="N42" s="194">
        <v>31.2</v>
      </c>
      <c r="O42" s="194">
        <v>9.6</v>
      </c>
      <c r="P42" s="194">
        <v>0.84</v>
      </c>
      <c r="Q42" s="194">
        <v>0.09</v>
      </c>
      <c r="R42" s="201">
        <v>0</v>
      </c>
      <c r="S42" s="149"/>
    </row>
    <row r="43" spans="1:38" ht="15.75" customHeight="1" x14ac:dyDescent="0.25">
      <c r="A43" s="139"/>
      <c r="B43" s="140" t="s">
        <v>21</v>
      </c>
      <c r="C43" s="141">
        <f>SUM(C34:C42)</f>
        <v>869</v>
      </c>
      <c r="D43" s="133">
        <f t="shared" ref="D43:R43" si="22">SUM(D34:D41)</f>
        <v>23.259999999999998</v>
      </c>
      <c r="E43" s="133">
        <f t="shared" si="22"/>
        <v>16.010000000000002</v>
      </c>
      <c r="F43" s="133">
        <f t="shared" si="22"/>
        <v>97.05</v>
      </c>
      <c r="G43" s="133">
        <f t="shared" si="22"/>
        <v>625.33000000000004</v>
      </c>
      <c r="H43" s="133">
        <f t="shared" si="22"/>
        <v>0.52400000000000002</v>
      </c>
      <c r="I43" s="133">
        <f t="shared" si="22"/>
        <v>0.39200000000000002</v>
      </c>
      <c r="J43" s="133">
        <f t="shared" si="22"/>
        <v>33.19</v>
      </c>
      <c r="K43" s="133">
        <f t="shared" si="22"/>
        <v>0.31</v>
      </c>
      <c r="L43" s="133">
        <f t="shared" si="22"/>
        <v>2.8</v>
      </c>
      <c r="M43" s="133">
        <f t="shared" si="22"/>
        <v>202.23</v>
      </c>
      <c r="N43" s="133">
        <f t="shared" si="22"/>
        <v>391.66</v>
      </c>
      <c r="O43" s="133">
        <f t="shared" si="22"/>
        <v>114.82999999999998</v>
      </c>
      <c r="P43" s="133">
        <f t="shared" si="22"/>
        <v>5.3579999999999997</v>
      </c>
      <c r="Q43" s="133">
        <f t="shared" si="22"/>
        <v>1.68</v>
      </c>
      <c r="R43" s="133">
        <f t="shared" si="22"/>
        <v>0.24700000000000003</v>
      </c>
      <c r="S43" s="149"/>
    </row>
    <row r="44" spans="1:38" ht="15.75" customHeight="1" x14ac:dyDescent="0.25">
      <c r="A44" s="139"/>
      <c r="B44" s="131" t="s">
        <v>181</v>
      </c>
      <c r="C44" s="189">
        <f>SUM(C30:R30+C43:R43)</f>
        <v>1019</v>
      </c>
      <c r="D44" s="86">
        <f t="shared" ref="D44" si="23">SUM(D43)</f>
        <v>23.259999999999998</v>
      </c>
      <c r="E44" s="86">
        <f t="shared" ref="E44" si="24">SUM(E43)</f>
        <v>16.010000000000002</v>
      </c>
      <c r="F44" s="86">
        <f t="shared" ref="F44" si="25">SUM(F43)</f>
        <v>97.05</v>
      </c>
      <c r="G44" s="86">
        <f t="shared" ref="G44" si="26">SUM(G43)</f>
        <v>625.33000000000004</v>
      </c>
      <c r="H44" s="227">
        <f t="shared" ref="H44" si="27">SUM(H43)</f>
        <v>0.52400000000000002</v>
      </c>
      <c r="I44" s="86">
        <f t="shared" ref="I44" si="28">SUM(I43)</f>
        <v>0.39200000000000002</v>
      </c>
      <c r="J44" s="86">
        <f t="shared" ref="J44" si="29">SUM(J43)</f>
        <v>33.19</v>
      </c>
      <c r="K44" s="86">
        <f t="shared" ref="K44" si="30">SUM(K43)</f>
        <v>0.31</v>
      </c>
      <c r="L44" s="86">
        <f t="shared" ref="L44" si="31">SUM(L43)</f>
        <v>2.8</v>
      </c>
      <c r="M44" s="86">
        <f t="shared" ref="M44" si="32">SUM(M43)</f>
        <v>202.23</v>
      </c>
      <c r="N44" s="86">
        <f t="shared" ref="N44" si="33">SUM(N43)</f>
        <v>391.66</v>
      </c>
      <c r="O44" s="86">
        <f t="shared" ref="O44" si="34">SUM(O43)</f>
        <v>114.82999999999998</v>
      </c>
      <c r="P44" s="86">
        <f t="shared" ref="P44" si="35">SUM(P43)</f>
        <v>5.3579999999999997</v>
      </c>
      <c r="Q44" s="86">
        <f t="shared" ref="Q44" si="36">SUM(Q43)</f>
        <v>1.68</v>
      </c>
      <c r="R44" s="86">
        <f t="shared" ref="R44" si="37">SUM(R43)</f>
        <v>0.24700000000000003</v>
      </c>
      <c r="S44" s="149"/>
    </row>
    <row r="45" spans="1:38" s="44" customFormat="1" ht="39" customHeight="1" x14ac:dyDescent="0.25">
      <c r="A45" s="230"/>
      <c r="B45" s="234"/>
      <c r="C45" s="233"/>
      <c r="D45" s="231"/>
      <c r="E45" s="231"/>
      <c r="F45" s="231"/>
      <c r="G45" s="231"/>
      <c r="H45" s="232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14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5"/>
    </row>
    <row r="46" spans="1:38" s="45" customFormat="1" ht="23.25" customHeight="1" x14ac:dyDescent="0.25">
      <c r="A46" s="218"/>
      <c r="B46" s="228" t="s">
        <v>189</v>
      </c>
      <c r="C46" s="303" t="s">
        <v>177</v>
      </c>
      <c r="D46" s="301" t="s">
        <v>148</v>
      </c>
      <c r="E46" s="301"/>
      <c r="F46" s="301"/>
      <c r="G46" s="304" t="s">
        <v>149</v>
      </c>
      <c r="H46" s="301" t="s">
        <v>150</v>
      </c>
      <c r="I46" s="301"/>
      <c r="J46" s="301"/>
      <c r="K46" s="301"/>
      <c r="L46" s="301"/>
      <c r="M46" s="296" t="s">
        <v>151</v>
      </c>
      <c r="N46" s="297"/>
      <c r="O46" s="297"/>
      <c r="P46" s="297"/>
      <c r="Q46" s="297"/>
      <c r="R46" s="298"/>
      <c r="S46" s="14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4"/>
    </row>
    <row r="47" spans="1:38" s="44" customFormat="1" ht="26.25" customHeight="1" x14ac:dyDescent="0.25">
      <c r="A47" s="294" t="s">
        <v>208</v>
      </c>
      <c r="B47" s="299"/>
      <c r="C47" s="287"/>
      <c r="D47" s="170" t="s">
        <v>0</v>
      </c>
      <c r="E47" s="170" t="s">
        <v>1</v>
      </c>
      <c r="F47" s="170" t="s">
        <v>2</v>
      </c>
      <c r="G47" s="293"/>
      <c r="H47" s="170" t="s">
        <v>41</v>
      </c>
      <c r="I47" s="170" t="s">
        <v>45</v>
      </c>
      <c r="J47" s="170" t="s">
        <v>42</v>
      </c>
      <c r="K47" s="170" t="s">
        <v>43</v>
      </c>
      <c r="L47" s="170" t="s">
        <v>44</v>
      </c>
      <c r="M47" s="170" t="s">
        <v>46</v>
      </c>
      <c r="N47" s="170" t="s">
        <v>47</v>
      </c>
      <c r="O47" s="170" t="s">
        <v>48</v>
      </c>
      <c r="P47" s="170" t="s">
        <v>49</v>
      </c>
      <c r="Q47" s="170" t="s">
        <v>100</v>
      </c>
      <c r="R47" s="170" t="s">
        <v>99</v>
      </c>
      <c r="S47" s="14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5"/>
    </row>
    <row r="48" spans="1:38" s="44" customFormat="1" ht="15.75" customHeight="1" x14ac:dyDescent="0.25">
      <c r="A48" s="222">
        <v>18</v>
      </c>
      <c r="B48" s="119" t="s">
        <v>122</v>
      </c>
      <c r="C48" s="191">
        <v>80</v>
      </c>
      <c r="D48" s="86">
        <v>1.0507000000000002</v>
      </c>
      <c r="E48" s="86">
        <v>0.19152</v>
      </c>
      <c r="F48" s="86">
        <v>3.6388800000000003</v>
      </c>
      <c r="G48" s="86">
        <f>F48*4+E48*9+D48*4</f>
        <v>20.482000000000003</v>
      </c>
      <c r="H48" s="86">
        <v>6.3840000000000008E-2</v>
      </c>
      <c r="I48" s="86">
        <v>3.1920000000000004E-2</v>
      </c>
      <c r="J48" s="86">
        <v>16.757999999999999</v>
      </c>
      <c r="K48" s="86">
        <v>0</v>
      </c>
      <c r="L48" s="211">
        <v>0.66500000000000004</v>
      </c>
      <c r="M48" s="211">
        <v>13.406400000000001</v>
      </c>
      <c r="N48" s="211">
        <v>24.897600000000001</v>
      </c>
      <c r="O48" s="211">
        <v>19.152000000000001</v>
      </c>
      <c r="P48" s="211">
        <v>0.86184000000000005</v>
      </c>
      <c r="Q48" s="211">
        <v>0.13600000000000001</v>
      </c>
      <c r="R48" s="211">
        <v>0</v>
      </c>
      <c r="S48" s="14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5"/>
    </row>
    <row r="49" spans="1:38" s="44" customFormat="1" ht="15.75" customHeight="1" x14ac:dyDescent="0.25">
      <c r="A49" s="222">
        <v>296</v>
      </c>
      <c r="B49" s="187" t="s">
        <v>269</v>
      </c>
      <c r="C49" s="191">
        <v>90</v>
      </c>
      <c r="D49" s="194">
        <v>9.5</v>
      </c>
      <c r="E49" s="194">
        <v>12.64</v>
      </c>
      <c r="F49" s="194">
        <v>9.73</v>
      </c>
      <c r="G49" s="86">
        <f t="shared" ref="G49:G54" si="38">F49*4+E49*9+D49*4</f>
        <v>190.68</v>
      </c>
      <c r="H49" s="194">
        <v>7.0000000000000007E-2</v>
      </c>
      <c r="I49" s="194">
        <v>0.14000000000000001</v>
      </c>
      <c r="J49" s="194">
        <v>0.51</v>
      </c>
      <c r="K49" s="194">
        <v>0.81</v>
      </c>
      <c r="L49" s="194">
        <v>2.2999999999999998</v>
      </c>
      <c r="M49" s="194">
        <v>78.2</v>
      </c>
      <c r="N49" s="194">
        <v>78.52</v>
      </c>
      <c r="O49" s="194">
        <v>16.16</v>
      </c>
      <c r="P49" s="194">
        <v>28.97</v>
      </c>
      <c r="Q49" s="192">
        <v>2</v>
      </c>
      <c r="R49" s="192">
        <v>0.1</v>
      </c>
      <c r="S49" s="14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5"/>
    </row>
    <row r="50" spans="1:38" s="44" customFormat="1" ht="15.75" customHeight="1" x14ac:dyDescent="0.25">
      <c r="A50" s="224">
        <v>302</v>
      </c>
      <c r="B50" s="119" t="s">
        <v>212</v>
      </c>
      <c r="C50" s="191">
        <v>150</v>
      </c>
      <c r="D50" s="192">
        <v>6.97</v>
      </c>
      <c r="E50" s="192">
        <v>3.5994999999999995</v>
      </c>
      <c r="F50" s="192">
        <v>33.484999999999999</v>
      </c>
      <c r="G50" s="86">
        <f t="shared" si="38"/>
        <v>194.21549999999999</v>
      </c>
      <c r="H50" s="192">
        <v>0.20699999999999999</v>
      </c>
      <c r="I50" s="192">
        <v>0.11499999999999999</v>
      </c>
      <c r="J50" s="192">
        <v>0</v>
      </c>
      <c r="K50" s="192">
        <v>0.4</v>
      </c>
      <c r="L50" s="192">
        <v>0.50600000000000001</v>
      </c>
      <c r="M50" s="192">
        <v>27.0825</v>
      </c>
      <c r="N50" s="192">
        <v>213.43999999999997</v>
      </c>
      <c r="O50" s="192">
        <v>142.48499999999999</v>
      </c>
      <c r="P50" s="192">
        <v>4.83</v>
      </c>
      <c r="Q50" s="192">
        <v>1.1000000000000001</v>
      </c>
      <c r="R50" s="192">
        <v>0</v>
      </c>
      <c r="S50" s="14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5"/>
    </row>
    <row r="51" spans="1:38" ht="15.75" customHeight="1" x14ac:dyDescent="0.25">
      <c r="A51" s="222">
        <v>270</v>
      </c>
      <c r="B51" s="119" t="s">
        <v>38</v>
      </c>
      <c r="C51" s="191">
        <v>200</v>
      </c>
      <c r="D51" s="192">
        <v>2.9</v>
      </c>
      <c r="E51" s="192">
        <v>2.5</v>
      </c>
      <c r="F51" s="192">
        <v>14.7</v>
      </c>
      <c r="G51" s="86">
        <f t="shared" si="38"/>
        <v>92.899999999999991</v>
      </c>
      <c r="H51" s="192">
        <v>0.02</v>
      </c>
      <c r="I51" s="192">
        <v>0.13</v>
      </c>
      <c r="J51" s="192">
        <v>0.6</v>
      </c>
      <c r="K51" s="192">
        <v>0.1</v>
      </c>
      <c r="L51" s="192">
        <v>0.1</v>
      </c>
      <c r="M51" s="192">
        <v>120.3</v>
      </c>
      <c r="N51" s="192">
        <v>90</v>
      </c>
      <c r="O51" s="192">
        <v>14</v>
      </c>
      <c r="P51" s="192">
        <v>0.13</v>
      </c>
      <c r="Q51" s="192">
        <v>0.4</v>
      </c>
      <c r="R51" s="192">
        <v>0</v>
      </c>
      <c r="S51" s="149"/>
    </row>
    <row r="52" spans="1:38" s="44" customFormat="1" ht="15.75" customHeight="1" x14ac:dyDescent="0.25">
      <c r="A52" s="222" t="s">
        <v>158</v>
      </c>
      <c r="B52" s="119" t="s">
        <v>221</v>
      </c>
      <c r="C52" s="191">
        <v>30</v>
      </c>
      <c r="D52" s="86">
        <v>1.6875</v>
      </c>
      <c r="E52" s="86">
        <v>0.21499999999999997</v>
      </c>
      <c r="F52" s="86">
        <v>12.5375</v>
      </c>
      <c r="G52" s="86">
        <f t="shared" si="38"/>
        <v>58.835000000000001</v>
      </c>
      <c r="H52" s="86">
        <v>0.03</v>
      </c>
      <c r="I52" s="86">
        <v>6.2500000000000003E-3</v>
      </c>
      <c r="J52" s="86">
        <v>0</v>
      </c>
      <c r="K52" s="86">
        <v>0</v>
      </c>
      <c r="L52" s="86">
        <v>0.27500000000000002</v>
      </c>
      <c r="M52" s="86">
        <v>5</v>
      </c>
      <c r="N52" s="86">
        <v>16.25</v>
      </c>
      <c r="O52" s="86">
        <v>3.5</v>
      </c>
      <c r="P52" s="86">
        <v>0.27500000000000002</v>
      </c>
      <c r="Q52" s="86">
        <v>0.19</v>
      </c>
      <c r="R52" s="86">
        <v>0</v>
      </c>
      <c r="S52" s="14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5"/>
    </row>
    <row r="53" spans="1:38" s="45" customFormat="1" ht="15.75" customHeight="1" x14ac:dyDescent="0.25">
      <c r="A53" s="222" t="s">
        <v>159</v>
      </c>
      <c r="B53" s="116" t="s">
        <v>222</v>
      </c>
      <c r="C53" s="191">
        <v>20</v>
      </c>
      <c r="D53" s="192">
        <v>1.6625000000000001</v>
      </c>
      <c r="E53" s="192">
        <v>0.3</v>
      </c>
      <c r="F53" s="192">
        <v>10.462499999999999</v>
      </c>
      <c r="G53" s="86">
        <f t="shared" si="38"/>
        <v>51.199999999999996</v>
      </c>
      <c r="H53" s="192">
        <v>0.13124999999999998</v>
      </c>
      <c r="I53" s="192">
        <v>8.7499999999999981E-2</v>
      </c>
      <c r="J53" s="192">
        <v>0.17499999999999996</v>
      </c>
      <c r="K53" s="192">
        <v>0</v>
      </c>
      <c r="L53" s="192">
        <v>0.13124999999999998</v>
      </c>
      <c r="M53" s="192">
        <v>31.937499999999996</v>
      </c>
      <c r="N53" s="192">
        <v>54.6875</v>
      </c>
      <c r="O53" s="192">
        <v>17.5</v>
      </c>
      <c r="P53" s="192">
        <v>1.2249999999999999</v>
      </c>
      <c r="Q53" s="192">
        <v>0.3</v>
      </c>
      <c r="R53" s="192">
        <v>0.01</v>
      </c>
      <c r="S53" s="14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4"/>
    </row>
    <row r="54" spans="1:38" ht="15.75" customHeight="1" x14ac:dyDescent="0.25">
      <c r="A54" s="222" t="s">
        <v>161</v>
      </c>
      <c r="B54" s="119" t="s">
        <v>143</v>
      </c>
      <c r="C54" s="191">
        <v>20</v>
      </c>
      <c r="D54" s="192">
        <v>0.75301204819277112</v>
      </c>
      <c r="E54" s="192">
        <v>0</v>
      </c>
      <c r="F54" s="192">
        <v>15.210843373493976</v>
      </c>
      <c r="G54" s="86">
        <f t="shared" si="38"/>
        <v>63.855421686746986</v>
      </c>
      <c r="H54" s="192">
        <v>1.5060240963855423E-2</v>
      </c>
      <c r="I54" s="192">
        <v>1.5060240963855423E-2</v>
      </c>
      <c r="J54" s="192">
        <v>3.0120481927710845</v>
      </c>
      <c r="K54" s="192">
        <v>0</v>
      </c>
      <c r="L54" s="192">
        <v>0.15060240963855423</v>
      </c>
      <c r="M54" s="192">
        <v>10.542168674698795</v>
      </c>
      <c r="N54" s="192">
        <v>10.542168674698795</v>
      </c>
      <c r="O54" s="192">
        <v>6.024096385542169</v>
      </c>
      <c r="P54" s="192">
        <v>2.1084337349397591</v>
      </c>
      <c r="Q54" s="192">
        <v>0.03</v>
      </c>
      <c r="R54" s="192">
        <v>0</v>
      </c>
      <c r="S54" s="149"/>
    </row>
    <row r="55" spans="1:38" s="44" customFormat="1" ht="15.75" customHeight="1" x14ac:dyDescent="0.25">
      <c r="A55" s="122"/>
      <c r="B55" s="123" t="s">
        <v>21</v>
      </c>
      <c r="C55" s="188">
        <f>SUM(C48:C54)</f>
        <v>590</v>
      </c>
      <c r="D55" s="124">
        <f>SUM(D48:D54)</f>
        <v>24.523712048192774</v>
      </c>
      <c r="E55" s="124">
        <f t="shared" ref="E55:R55" si="39">SUM(E48:E54)</f>
        <v>19.446020000000001</v>
      </c>
      <c r="F55" s="124">
        <f t="shared" si="39"/>
        <v>99.764723373493965</v>
      </c>
      <c r="G55" s="124">
        <f t="shared" si="39"/>
        <v>672.16792168674704</v>
      </c>
      <c r="H55" s="124">
        <f t="shared" si="39"/>
        <v>0.53715024096385544</v>
      </c>
      <c r="I55" s="124">
        <f t="shared" si="39"/>
        <v>0.52573024096385534</v>
      </c>
      <c r="J55" s="124">
        <f t="shared" si="39"/>
        <v>21.055048192771089</v>
      </c>
      <c r="K55" s="124">
        <f t="shared" si="39"/>
        <v>1.31</v>
      </c>
      <c r="L55" s="124">
        <f t="shared" si="39"/>
        <v>4.127852409638554</v>
      </c>
      <c r="M55" s="124">
        <f t="shared" si="39"/>
        <v>286.46856867469882</v>
      </c>
      <c r="N55" s="124">
        <f t="shared" si="39"/>
        <v>488.33726867469875</v>
      </c>
      <c r="O55" s="124">
        <f t="shared" si="39"/>
        <v>218.82109638554215</v>
      </c>
      <c r="P55" s="124">
        <f t="shared" si="39"/>
        <v>38.400273734939759</v>
      </c>
      <c r="Q55" s="124">
        <f t="shared" si="39"/>
        <v>4.1560000000000006</v>
      </c>
      <c r="R55" s="124">
        <f t="shared" si="39"/>
        <v>0.11</v>
      </c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5"/>
    </row>
    <row r="56" spans="1:38" s="44" customFormat="1" ht="15.75" customHeight="1" x14ac:dyDescent="0.25">
      <c r="A56" s="138"/>
      <c r="B56" s="126" t="s">
        <v>98</v>
      </c>
      <c r="C56" s="195"/>
      <c r="D56" s="196">
        <v>19.25</v>
      </c>
      <c r="E56" s="196">
        <v>19.75</v>
      </c>
      <c r="F56" s="196">
        <v>83.75</v>
      </c>
      <c r="G56" s="196">
        <v>587.5</v>
      </c>
      <c r="H56" s="196">
        <v>0.3</v>
      </c>
      <c r="I56" s="196">
        <v>0.35</v>
      </c>
      <c r="J56" s="196">
        <v>15</v>
      </c>
      <c r="K56" s="196">
        <v>0.17499999999999999</v>
      </c>
      <c r="L56" s="196">
        <v>2.5</v>
      </c>
      <c r="M56" s="196">
        <v>275</v>
      </c>
      <c r="N56" s="196">
        <v>412.5</v>
      </c>
      <c r="O56" s="196">
        <v>62.5</v>
      </c>
      <c r="P56" s="196">
        <v>3</v>
      </c>
      <c r="Q56" s="196">
        <v>2.5</v>
      </c>
      <c r="R56" s="196">
        <v>2.5000000000000001E-2</v>
      </c>
      <c r="S56" s="14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5"/>
    </row>
    <row r="57" spans="1:38" s="44" customFormat="1" ht="15.75" customHeight="1" x14ac:dyDescent="0.25">
      <c r="A57" s="138"/>
      <c r="B57" s="127" t="s">
        <v>178</v>
      </c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4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5"/>
    </row>
    <row r="58" spans="1:38" s="44" customFormat="1" ht="15.75" customHeight="1" x14ac:dyDescent="0.25">
      <c r="A58" s="252">
        <v>104</v>
      </c>
      <c r="B58" s="158" t="s">
        <v>240</v>
      </c>
      <c r="C58" s="212" t="s">
        <v>268</v>
      </c>
      <c r="D58" s="198">
        <f>2.19+3.99</f>
        <v>6.18</v>
      </c>
      <c r="E58" s="198">
        <f>2.78+2.74</f>
        <v>5.52</v>
      </c>
      <c r="F58" s="198">
        <f>15.39+0.15</f>
        <v>15.540000000000001</v>
      </c>
      <c r="G58" s="198">
        <f>D58*4+E58*9+F58*4</f>
        <v>136.56</v>
      </c>
      <c r="H58" s="198">
        <v>0.12</v>
      </c>
      <c r="I58" s="198">
        <v>7.0000000000000007E-2</v>
      </c>
      <c r="J58" s="198">
        <v>11.07</v>
      </c>
      <c r="K58" s="198">
        <v>0</v>
      </c>
      <c r="L58" s="198">
        <v>0.5</v>
      </c>
      <c r="M58" s="198">
        <v>29.7</v>
      </c>
      <c r="N58" s="198">
        <v>72.22</v>
      </c>
      <c r="O58" s="198">
        <v>29.6</v>
      </c>
      <c r="P58" s="200">
        <v>1.1499999999999999</v>
      </c>
      <c r="Q58" s="198">
        <v>1.25</v>
      </c>
      <c r="R58" s="201">
        <v>7.0000000000000007E-2</v>
      </c>
      <c r="S58" s="14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5"/>
    </row>
    <row r="59" spans="1:38" s="44" customFormat="1" ht="15.75" customHeight="1" x14ac:dyDescent="0.25">
      <c r="A59" s="127">
        <v>141</v>
      </c>
      <c r="B59" s="154" t="s">
        <v>174</v>
      </c>
      <c r="C59" s="189">
        <v>150</v>
      </c>
      <c r="D59" s="204">
        <v>20.87</v>
      </c>
      <c r="E59" s="204">
        <v>14.36</v>
      </c>
      <c r="F59" s="204">
        <v>32.35</v>
      </c>
      <c r="G59" s="198">
        <f t="shared" ref="G59:G64" si="40">D59*4+E59*9+F59*4</f>
        <v>342.12</v>
      </c>
      <c r="H59" s="204">
        <v>7.0000000000000007E-2</v>
      </c>
      <c r="I59" s="204">
        <v>0.31</v>
      </c>
      <c r="J59" s="204">
        <v>0.94</v>
      </c>
      <c r="K59" s="204">
        <v>0.88</v>
      </c>
      <c r="L59" s="199">
        <v>0.4</v>
      </c>
      <c r="M59" s="204">
        <v>184.9</v>
      </c>
      <c r="N59" s="204">
        <v>256.20999999999998</v>
      </c>
      <c r="O59" s="204">
        <v>29.3</v>
      </c>
      <c r="P59" s="204">
        <v>1.34</v>
      </c>
      <c r="Q59" s="204">
        <v>1.08</v>
      </c>
      <c r="R59" s="201">
        <v>0.06</v>
      </c>
      <c r="S59" s="14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5"/>
    </row>
    <row r="60" spans="1:38" s="44" customFormat="1" ht="15.75" customHeight="1" x14ac:dyDescent="0.25">
      <c r="A60" s="127" t="s">
        <v>227</v>
      </c>
      <c r="B60" s="116" t="s">
        <v>214</v>
      </c>
      <c r="C60" s="197">
        <v>30</v>
      </c>
      <c r="D60" s="198">
        <v>0.49</v>
      </c>
      <c r="E60" s="198">
        <v>1.75</v>
      </c>
      <c r="F60" s="198">
        <f>2.05+9.98</f>
        <v>12.030000000000001</v>
      </c>
      <c r="G60" s="194">
        <f t="shared" si="40"/>
        <v>65.830000000000013</v>
      </c>
      <c r="H60" s="198">
        <v>0.01</v>
      </c>
      <c r="I60" s="198">
        <v>0.01</v>
      </c>
      <c r="J60" s="198">
        <v>0.01</v>
      </c>
      <c r="K60" s="198">
        <v>0.01</v>
      </c>
      <c r="L60" s="199">
        <v>0</v>
      </c>
      <c r="M60" s="198">
        <f>9.55+0.3</f>
        <v>9.8500000000000014</v>
      </c>
      <c r="N60" s="198">
        <v>7.95</v>
      </c>
      <c r="O60" s="198">
        <v>1.84</v>
      </c>
      <c r="P60" s="200">
        <f>0.07+0.03</f>
        <v>0.1</v>
      </c>
      <c r="Q60" s="198">
        <v>0.08</v>
      </c>
      <c r="R60" s="205">
        <v>0.02</v>
      </c>
      <c r="S60" s="14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5"/>
    </row>
    <row r="61" spans="1:38" ht="15.75" customHeight="1" x14ac:dyDescent="0.25">
      <c r="A61" s="127"/>
      <c r="B61" s="153" t="s">
        <v>241</v>
      </c>
      <c r="C61" s="203">
        <v>200</v>
      </c>
      <c r="D61" s="204">
        <v>0.52</v>
      </c>
      <c r="E61" s="204">
        <v>0.18</v>
      </c>
      <c r="F61" s="204">
        <v>28.86</v>
      </c>
      <c r="G61" s="198">
        <f t="shared" si="40"/>
        <v>119.14</v>
      </c>
      <c r="H61" s="204">
        <v>1.4E-2</v>
      </c>
      <c r="I61" s="204">
        <v>1.7999999999999999E-2</v>
      </c>
      <c r="J61" s="204">
        <v>27.6</v>
      </c>
      <c r="K61" s="204">
        <v>0</v>
      </c>
      <c r="L61" s="204">
        <v>0</v>
      </c>
      <c r="M61" s="204">
        <v>23.7</v>
      </c>
      <c r="N61" s="204">
        <v>18.399999999999999</v>
      </c>
      <c r="O61" s="204">
        <v>13.4</v>
      </c>
      <c r="P61" s="204">
        <v>0.71199999999999997</v>
      </c>
      <c r="Q61" s="204">
        <v>0.01</v>
      </c>
      <c r="R61" s="201">
        <v>0</v>
      </c>
      <c r="S61" s="149"/>
    </row>
    <row r="62" spans="1:38" ht="15.75" customHeight="1" x14ac:dyDescent="0.25">
      <c r="A62" s="222" t="s">
        <v>215</v>
      </c>
      <c r="B62" s="119" t="s">
        <v>223</v>
      </c>
      <c r="C62" s="197">
        <v>45</v>
      </c>
      <c r="D62" s="213">
        <v>2.7</v>
      </c>
      <c r="E62" s="213">
        <v>0.34</v>
      </c>
      <c r="F62" s="213">
        <v>20.059999999999999</v>
      </c>
      <c r="G62" s="198">
        <f t="shared" si="40"/>
        <v>94.1</v>
      </c>
      <c r="H62" s="213">
        <v>0.04</v>
      </c>
      <c r="I62" s="213">
        <v>0.01</v>
      </c>
      <c r="J62" s="213">
        <v>0</v>
      </c>
      <c r="K62" s="213">
        <v>0</v>
      </c>
      <c r="L62" s="213">
        <v>0.44</v>
      </c>
      <c r="M62" s="213">
        <v>8</v>
      </c>
      <c r="N62" s="213">
        <v>26</v>
      </c>
      <c r="O62" s="213">
        <v>5.6</v>
      </c>
      <c r="P62" s="213">
        <v>0.44</v>
      </c>
      <c r="Q62" s="213">
        <v>0</v>
      </c>
      <c r="R62" s="201">
        <v>0</v>
      </c>
      <c r="S62" s="149"/>
    </row>
    <row r="63" spans="1:38" s="45" customFormat="1" ht="15.75" customHeight="1" x14ac:dyDescent="0.25">
      <c r="A63" s="251" t="s">
        <v>159</v>
      </c>
      <c r="B63" s="116" t="s">
        <v>224</v>
      </c>
      <c r="C63" s="197">
        <v>24</v>
      </c>
      <c r="D63" s="198">
        <v>2.66</v>
      </c>
      <c r="E63" s="198">
        <v>0.48</v>
      </c>
      <c r="F63" s="198">
        <v>16.739999999999998</v>
      </c>
      <c r="G63" s="198">
        <f t="shared" si="40"/>
        <v>81.919999999999987</v>
      </c>
      <c r="H63" s="198">
        <v>0.22</v>
      </c>
      <c r="I63" s="198">
        <v>0.14000000000000001</v>
      </c>
      <c r="J63" s="198">
        <v>0.28000000000000003</v>
      </c>
      <c r="K63" s="198">
        <v>0</v>
      </c>
      <c r="L63" s="198">
        <v>0.22</v>
      </c>
      <c r="M63" s="198">
        <v>51.1</v>
      </c>
      <c r="N63" s="198">
        <v>87.5</v>
      </c>
      <c r="O63" s="198">
        <v>28</v>
      </c>
      <c r="P63" s="200">
        <v>1.96</v>
      </c>
      <c r="Q63" s="198">
        <v>0</v>
      </c>
      <c r="R63" s="201">
        <v>0.04</v>
      </c>
      <c r="S63" s="14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4"/>
    </row>
    <row r="64" spans="1:38" ht="15.75" customHeight="1" x14ac:dyDescent="0.25">
      <c r="A64" s="251">
        <v>272</v>
      </c>
      <c r="B64" s="116" t="s">
        <v>182</v>
      </c>
      <c r="C64" s="197">
        <v>150</v>
      </c>
      <c r="D64" s="198">
        <v>4.37</v>
      </c>
      <c r="E64" s="198">
        <f>2.7*1.8</f>
        <v>4.8600000000000003</v>
      </c>
      <c r="F64" s="198">
        <v>7.1749999999999998</v>
      </c>
      <c r="G64" s="198">
        <f t="shared" si="40"/>
        <v>89.92</v>
      </c>
      <c r="H64" s="198">
        <v>3.5000000000000003E-2</v>
      </c>
      <c r="I64" s="198">
        <v>0.245</v>
      </c>
      <c r="J64" s="198">
        <v>0.52</v>
      </c>
      <c r="K64" s="198">
        <v>0.35</v>
      </c>
      <c r="L64" s="198">
        <v>0</v>
      </c>
      <c r="M64" s="198">
        <v>217</v>
      </c>
      <c r="N64" s="198">
        <v>57.96</v>
      </c>
      <c r="O64" s="198">
        <v>24.5</v>
      </c>
      <c r="P64" s="198">
        <v>0.17499999999999999</v>
      </c>
      <c r="Q64" s="198">
        <v>0.7</v>
      </c>
      <c r="R64" s="201">
        <v>0</v>
      </c>
      <c r="S64" s="149"/>
    </row>
    <row r="65" spans="1:38" ht="15.75" customHeight="1" x14ac:dyDescent="0.25">
      <c r="A65" s="139"/>
      <c r="B65" s="140" t="s">
        <v>21</v>
      </c>
      <c r="C65" s="141">
        <f>SUM(C58:C64)+270</f>
        <v>869</v>
      </c>
      <c r="D65" s="133">
        <f t="shared" ref="D65:R65" si="41">SUM(D58:D64)</f>
        <v>37.79</v>
      </c>
      <c r="E65" s="133">
        <f t="shared" si="41"/>
        <v>27.49</v>
      </c>
      <c r="F65" s="133">
        <f t="shared" si="41"/>
        <v>132.755</v>
      </c>
      <c r="G65" s="133">
        <f t="shared" si="41"/>
        <v>929.58999999999992</v>
      </c>
      <c r="H65" s="133">
        <f t="shared" si="41"/>
        <v>0.50900000000000001</v>
      </c>
      <c r="I65" s="133">
        <f t="shared" si="41"/>
        <v>0.80300000000000005</v>
      </c>
      <c r="J65" s="133">
        <f t="shared" si="41"/>
        <v>40.420000000000009</v>
      </c>
      <c r="K65" s="133">
        <f t="shared" si="41"/>
        <v>1.24</v>
      </c>
      <c r="L65" s="133">
        <f t="shared" si="41"/>
        <v>1.56</v>
      </c>
      <c r="M65" s="133">
        <f t="shared" si="41"/>
        <v>524.25</v>
      </c>
      <c r="N65" s="133">
        <f t="shared" si="41"/>
        <v>526.2399999999999</v>
      </c>
      <c r="O65" s="133">
        <f t="shared" si="41"/>
        <v>132.24</v>
      </c>
      <c r="P65" s="133">
        <f t="shared" si="41"/>
        <v>5.8769999999999998</v>
      </c>
      <c r="Q65" s="133">
        <f t="shared" si="41"/>
        <v>3.12</v>
      </c>
      <c r="R65" s="133">
        <f t="shared" si="41"/>
        <v>0.19</v>
      </c>
      <c r="S65" s="149"/>
    </row>
    <row r="66" spans="1:38" s="44" customFormat="1" ht="15.75" customHeight="1" x14ac:dyDescent="0.25">
      <c r="A66" s="125"/>
      <c r="B66" s="131" t="s">
        <v>181</v>
      </c>
      <c r="C66" s="189">
        <f>SUM(C59:C65)</f>
        <v>1468</v>
      </c>
      <c r="D66" s="86">
        <f t="shared" ref="D66" si="42">SUM(D65)</f>
        <v>37.79</v>
      </c>
      <c r="E66" s="86">
        <f t="shared" ref="E66" si="43">SUM(E65)</f>
        <v>27.49</v>
      </c>
      <c r="F66" s="86">
        <f t="shared" ref="F66" si="44">SUM(F65)</f>
        <v>132.755</v>
      </c>
      <c r="G66" s="86">
        <f t="shared" ref="G66" si="45">SUM(G65)</f>
        <v>929.58999999999992</v>
      </c>
      <c r="H66" s="86">
        <f t="shared" ref="H66" si="46">SUM(H65)</f>
        <v>0.50900000000000001</v>
      </c>
      <c r="I66" s="86">
        <f t="shared" ref="I66" si="47">SUM(I65)</f>
        <v>0.80300000000000005</v>
      </c>
      <c r="J66" s="86">
        <f t="shared" ref="J66" si="48">SUM(J65)</f>
        <v>40.420000000000009</v>
      </c>
      <c r="K66" s="86">
        <f t="shared" ref="K66" si="49">SUM(K65)</f>
        <v>1.24</v>
      </c>
      <c r="L66" s="86">
        <f t="shared" ref="L66" si="50">SUM(L65)</f>
        <v>1.56</v>
      </c>
      <c r="M66" s="86">
        <f t="shared" ref="M66" si="51">SUM(M65)</f>
        <v>524.25</v>
      </c>
      <c r="N66" s="86">
        <f t="shared" ref="N66" si="52">SUM(N65)</f>
        <v>526.2399999999999</v>
      </c>
      <c r="O66" s="86">
        <f t="shared" ref="O66" si="53">SUM(O65)</f>
        <v>132.24</v>
      </c>
      <c r="P66" s="86">
        <f t="shared" ref="P66" si="54">SUM(P65)</f>
        <v>5.8769999999999998</v>
      </c>
      <c r="Q66" s="86">
        <f t="shared" ref="Q66" si="55">SUM(Q65)</f>
        <v>3.12</v>
      </c>
      <c r="R66" s="86">
        <f t="shared" ref="R66" si="56">SUM(R65)</f>
        <v>0.19</v>
      </c>
      <c r="S66" s="14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5"/>
    </row>
    <row r="67" spans="1:38" s="44" customFormat="1" ht="15.75" customHeight="1" x14ac:dyDescent="0.25">
      <c r="A67" s="284" t="s">
        <v>194</v>
      </c>
      <c r="B67" s="285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14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5"/>
    </row>
    <row r="68" spans="1:38" s="44" customFormat="1" ht="15.75" customHeight="1" x14ac:dyDescent="0.25">
      <c r="A68" s="222">
        <v>4</v>
      </c>
      <c r="B68" s="119" t="s">
        <v>163</v>
      </c>
      <c r="C68" s="191">
        <v>60</v>
      </c>
      <c r="D68" s="192">
        <v>1.0507000000000002</v>
      </c>
      <c r="E68" s="192">
        <v>0.19152</v>
      </c>
      <c r="F68" s="192">
        <v>3.6388800000000003</v>
      </c>
      <c r="G68" s="192">
        <f>F68*4+E68*9+D68*4</f>
        <v>20.482000000000003</v>
      </c>
      <c r="H68" s="192">
        <v>6.3840000000000008E-2</v>
      </c>
      <c r="I68" s="192">
        <v>3.1920000000000004E-2</v>
      </c>
      <c r="J68" s="192">
        <v>16.757999999999999</v>
      </c>
      <c r="K68" s="192">
        <v>0</v>
      </c>
      <c r="L68" s="192">
        <v>0.66500000000000004</v>
      </c>
      <c r="M68" s="192">
        <v>13.406400000000001</v>
      </c>
      <c r="N68" s="192">
        <v>24.897600000000001</v>
      </c>
      <c r="O68" s="192">
        <v>19.152000000000001</v>
      </c>
      <c r="P68" s="192">
        <v>0.86184000000000005</v>
      </c>
      <c r="Q68" s="211">
        <v>0.13600000000000001</v>
      </c>
      <c r="R68" s="211">
        <v>0</v>
      </c>
      <c r="S68" s="14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5"/>
    </row>
    <row r="69" spans="1:38" s="44" customFormat="1" ht="15.75" customHeight="1" x14ac:dyDescent="0.25">
      <c r="A69" s="222">
        <v>343</v>
      </c>
      <c r="B69" s="119" t="s">
        <v>247</v>
      </c>
      <c r="C69" s="191">
        <v>100</v>
      </c>
      <c r="D69" s="86">
        <f>6.4+1.33</f>
        <v>7.73</v>
      </c>
      <c r="E69" s="86">
        <f>4.08+4.61</f>
        <v>8.6900000000000013</v>
      </c>
      <c r="F69" s="86">
        <f>5.8+4.9</f>
        <v>10.7</v>
      </c>
      <c r="G69" s="192">
        <f t="shared" ref="G69:G74" si="57">F69*4+E69*9+D69*4</f>
        <v>151.93</v>
      </c>
      <c r="H69" s="86">
        <v>5.6000000000000001E-2</v>
      </c>
      <c r="I69" s="86">
        <v>0.08</v>
      </c>
      <c r="J69" s="86">
        <f>2.67+0.16</f>
        <v>2.83</v>
      </c>
      <c r="K69" s="86">
        <v>0.41</v>
      </c>
      <c r="L69" s="86">
        <v>0</v>
      </c>
      <c r="M69" s="86">
        <f>35.72+33.4</f>
        <v>69.12</v>
      </c>
      <c r="N69" s="86">
        <f>61.69+29.09</f>
        <v>90.78</v>
      </c>
      <c r="O69" s="86">
        <f>14.12+5.84</f>
        <v>19.96</v>
      </c>
      <c r="P69" s="86">
        <f>0.372+0.14</f>
        <v>0.51200000000000001</v>
      </c>
      <c r="Q69" s="192">
        <f>0.48+0.2</f>
        <v>0.67999999999999994</v>
      </c>
      <c r="R69" s="192">
        <v>0.1</v>
      </c>
      <c r="S69" s="14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5"/>
    </row>
    <row r="70" spans="1:38" s="44" customFormat="1" ht="15.75" customHeight="1" x14ac:dyDescent="0.25">
      <c r="A70" s="222">
        <v>312</v>
      </c>
      <c r="B70" s="119" t="s">
        <v>75</v>
      </c>
      <c r="C70" s="191">
        <v>150</v>
      </c>
      <c r="D70" s="192">
        <v>3.4577999999999998</v>
      </c>
      <c r="E70" s="192">
        <v>5.4239999999999995</v>
      </c>
      <c r="F70" s="192">
        <v>23.051999999999996</v>
      </c>
      <c r="G70" s="192">
        <f t="shared" si="57"/>
        <v>154.85519999999997</v>
      </c>
      <c r="H70" s="192">
        <v>0.15820000000000001</v>
      </c>
      <c r="I70" s="192">
        <v>0.12429999999999999</v>
      </c>
      <c r="J70" s="192">
        <v>20.452999999999999</v>
      </c>
      <c r="K70" s="192">
        <v>0</v>
      </c>
      <c r="L70" s="192">
        <v>0.20339999999999997</v>
      </c>
      <c r="M70" s="192">
        <v>41.696999999999996</v>
      </c>
      <c r="N70" s="192">
        <v>97.74499999999999</v>
      </c>
      <c r="O70" s="192">
        <v>31.357499999999998</v>
      </c>
      <c r="P70" s="192">
        <v>1.1413</v>
      </c>
      <c r="Q70" s="192">
        <v>0.64</v>
      </c>
      <c r="R70" s="192">
        <v>1E-3</v>
      </c>
      <c r="S70" s="14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5"/>
    </row>
    <row r="71" spans="1:38" s="44" customFormat="1" ht="15.75" customHeight="1" x14ac:dyDescent="0.25">
      <c r="A71" s="222">
        <v>377</v>
      </c>
      <c r="B71" s="119" t="s">
        <v>38</v>
      </c>
      <c r="C71" s="191">
        <v>200</v>
      </c>
      <c r="D71" s="194">
        <v>0.13</v>
      </c>
      <c r="E71" s="194">
        <v>1.8000000000000002E-2</v>
      </c>
      <c r="F71" s="194">
        <f>15.2-4.95</f>
        <v>10.25</v>
      </c>
      <c r="G71" s="192">
        <f t="shared" ref="G71" si="58">F71*4+E71*9+D71*4</f>
        <v>41.682000000000002</v>
      </c>
      <c r="H71" s="194">
        <v>0</v>
      </c>
      <c r="I71" s="194">
        <v>0</v>
      </c>
      <c r="J71" s="194">
        <v>2.83</v>
      </c>
      <c r="K71" s="194">
        <v>0</v>
      </c>
      <c r="L71" s="194">
        <v>0.05</v>
      </c>
      <c r="M71" s="194">
        <v>14.05</v>
      </c>
      <c r="N71" s="194">
        <v>4.4000000000000004</v>
      </c>
      <c r="O71" s="194">
        <v>2.4</v>
      </c>
      <c r="P71" s="194">
        <v>0.38</v>
      </c>
      <c r="Q71" s="194">
        <v>0.02</v>
      </c>
      <c r="R71" s="192">
        <v>0</v>
      </c>
      <c r="S71" s="14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5"/>
    </row>
    <row r="72" spans="1:38" s="44" customFormat="1" ht="15.75" customHeight="1" x14ac:dyDescent="0.25">
      <c r="A72" s="222" t="s">
        <v>215</v>
      </c>
      <c r="B72" s="119" t="s">
        <v>270</v>
      </c>
      <c r="C72" s="197">
        <v>30</v>
      </c>
      <c r="D72" s="213">
        <v>2.7</v>
      </c>
      <c r="E72" s="213">
        <v>0.34</v>
      </c>
      <c r="F72" s="213">
        <v>20.059999999999999</v>
      </c>
      <c r="G72" s="198">
        <f t="shared" ref="G72" si="59">D72*4+E72*9+F72*4</f>
        <v>94.1</v>
      </c>
      <c r="H72" s="213">
        <v>0.04</v>
      </c>
      <c r="I72" s="213">
        <v>0.01</v>
      </c>
      <c r="J72" s="213">
        <v>0</v>
      </c>
      <c r="K72" s="213">
        <v>0</v>
      </c>
      <c r="L72" s="213">
        <v>0.44</v>
      </c>
      <c r="M72" s="213">
        <v>8</v>
      </c>
      <c r="N72" s="213">
        <v>26</v>
      </c>
      <c r="O72" s="213">
        <v>5.6</v>
      </c>
      <c r="P72" s="213">
        <v>0.44</v>
      </c>
      <c r="Q72" s="213">
        <v>0</v>
      </c>
      <c r="R72" s="201">
        <v>0</v>
      </c>
      <c r="S72" s="14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5"/>
    </row>
    <row r="73" spans="1:38" s="45" customFormat="1" ht="15.75" customHeight="1" x14ac:dyDescent="0.25">
      <c r="A73" s="222" t="s">
        <v>159</v>
      </c>
      <c r="B73" s="119" t="s">
        <v>232</v>
      </c>
      <c r="C73" s="191">
        <v>20</v>
      </c>
      <c r="D73" s="192">
        <v>1.6625000000000001</v>
      </c>
      <c r="E73" s="192">
        <v>0.3</v>
      </c>
      <c r="F73" s="192">
        <v>10.462499999999999</v>
      </c>
      <c r="G73" s="192">
        <f t="shared" si="57"/>
        <v>51.199999999999996</v>
      </c>
      <c r="H73" s="192">
        <v>0.13124999999999998</v>
      </c>
      <c r="I73" s="192">
        <v>8.7499999999999981E-2</v>
      </c>
      <c r="J73" s="192">
        <v>0.17499999999999996</v>
      </c>
      <c r="K73" s="192">
        <v>0</v>
      </c>
      <c r="L73" s="192">
        <v>0.13124999999999998</v>
      </c>
      <c r="M73" s="192">
        <v>31.937499999999996</v>
      </c>
      <c r="N73" s="192">
        <v>54.6875</v>
      </c>
      <c r="O73" s="192">
        <v>17.5</v>
      </c>
      <c r="P73" s="192">
        <v>1.2249999999999999</v>
      </c>
      <c r="Q73" s="192">
        <v>0.3</v>
      </c>
      <c r="R73" s="192">
        <v>0.02</v>
      </c>
      <c r="S73" s="14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4"/>
    </row>
    <row r="74" spans="1:38" ht="15.75" customHeight="1" x14ac:dyDescent="0.25">
      <c r="A74" s="142" t="s">
        <v>164</v>
      </c>
      <c r="B74" s="119" t="s">
        <v>165</v>
      </c>
      <c r="C74" s="191">
        <v>50</v>
      </c>
      <c r="D74" s="192">
        <v>3.1</v>
      </c>
      <c r="E74" s="194">
        <v>4.3</v>
      </c>
      <c r="F74" s="194">
        <v>23.8</v>
      </c>
      <c r="G74" s="192">
        <f t="shared" si="57"/>
        <v>146.30000000000001</v>
      </c>
      <c r="H74" s="194">
        <v>5.5E-2</v>
      </c>
      <c r="I74" s="194">
        <v>4.8000000000000001E-2</v>
      </c>
      <c r="J74" s="194">
        <v>1.7</v>
      </c>
      <c r="K74" s="194">
        <v>0.62</v>
      </c>
      <c r="L74" s="194">
        <v>0.60499999999999998</v>
      </c>
      <c r="M74" s="194">
        <v>26.7</v>
      </c>
      <c r="N74" s="194">
        <v>40.4</v>
      </c>
      <c r="O74" s="194">
        <v>7.3</v>
      </c>
      <c r="P74" s="194">
        <v>0.17199999999999999</v>
      </c>
      <c r="Q74" s="194">
        <v>0.25480000000000003</v>
      </c>
      <c r="R74" s="192">
        <v>0</v>
      </c>
      <c r="S74" s="149"/>
    </row>
    <row r="75" spans="1:38" s="44" customFormat="1" ht="15.75" customHeight="1" x14ac:dyDescent="0.25">
      <c r="A75" s="122"/>
      <c r="B75" s="123" t="s">
        <v>21</v>
      </c>
      <c r="C75" s="188">
        <f t="shared" ref="C75:R75" si="60">SUM(C68:C74)</f>
        <v>610</v>
      </c>
      <c r="D75" s="124">
        <f t="shared" si="60"/>
        <v>19.831000000000007</v>
      </c>
      <c r="E75" s="124">
        <f t="shared" si="60"/>
        <v>19.263520000000003</v>
      </c>
      <c r="F75" s="124">
        <f t="shared" si="60"/>
        <v>101.96337999999999</v>
      </c>
      <c r="G75" s="124">
        <f t="shared" si="60"/>
        <v>660.54920000000016</v>
      </c>
      <c r="H75" s="124">
        <f t="shared" si="60"/>
        <v>0.50429000000000002</v>
      </c>
      <c r="I75" s="124">
        <f t="shared" si="60"/>
        <v>0.38171999999999995</v>
      </c>
      <c r="J75" s="124">
        <f t="shared" si="60"/>
        <v>44.745999999999995</v>
      </c>
      <c r="K75" s="124">
        <f t="shared" si="60"/>
        <v>1.03</v>
      </c>
      <c r="L75" s="124">
        <f t="shared" si="60"/>
        <v>2.0946500000000001</v>
      </c>
      <c r="M75" s="124">
        <f t="shared" si="60"/>
        <v>204.9109</v>
      </c>
      <c r="N75" s="124">
        <f t="shared" si="60"/>
        <v>338.91009999999994</v>
      </c>
      <c r="O75" s="124">
        <f t="shared" si="60"/>
        <v>103.26949999999999</v>
      </c>
      <c r="P75" s="124">
        <f t="shared" si="60"/>
        <v>4.7321399999999993</v>
      </c>
      <c r="Q75" s="124">
        <f t="shared" si="60"/>
        <v>2.0308000000000002</v>
      </c>
      <c r="R75" s="124">
        <f t="shared" si="60"/>
        <v>0.12100000000000001</v>
      </c>
      <c r="S75" s="14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5"/>
    </row>
    <row r="76" spans="1:38" s="44" customFormat="1" ht="15.75" customHeight="1" x14ac:dyDescent="0.25">
      <c r="A76" s="138"/>
      <c r="B76" s="126" t="s">
        <v>98</v>
      </c>
      <c r="C76" s="195"/>
      <c r="D76" s="196">
        <v>19.25</v>
      </c>
      <c r="E76" s="196">
        <v>19.75</v>
      </c>
      <c r="F76" s="196">
        <v>83.75</v>
      </c>
      <c r="G76" s="196">
        <v>587.5</v>
      </c>
      <c r="H76" s="196">
        <v>0.3</v>
      </c>
      <c r="I76" s="196">
        <v>0.35</v>
      </c>
      <c r="J76" s="196">
        <v>15</v>
      </c>
      <c r="K76" s="196">
        <v>0.17499999999999999</v>
      </c>
      <c r="L76" s="196">
        <v>2.5</v>
      </c>
      <c r="M76" s="196">
        <v>275</v>
      </c>
      <c r="N76" s="196">
        <v>412.5</v>
      </c>
      <c r="O76" s="196">
        <v>62.5</v>
      </c>
      <c r="P76" s="196">
        <v>3</v>
      </c>
      <c r="Q76" s="196">
        <v>2.5</v>
      </c>
      <c r="R76" s="196">
        <v>2.5000000000000001E-2</v>
      </c>
      <c r="S76" s="14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5"/>
    </row>
    <row r="77" spans="1:38" s="44" customFormat="1" ht="15.75" customHeight="1" x14ac:dyDescent="0.25">
      <c r="A77" s="138"/>
      <c r="B77" s="274" t="s">
        <v>178</v>
      </c>
      <c r="C77" s="195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4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5"/>
    </row>
    <row r="78" spans="1:38" s="44" customFormat="1" ht="15.75" customHeight="1" x14ac:dyDescent="0.25">
      <c r="A78" s="222"/>
      <c r="B78" s="119"/>
      <c r="C78" s="191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11"/>
      <c r="R78" s="211"/>
      <c r="S78" s="14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5"/>
    </row>
    <row r="79" spans="1:38" s="44" customFormat="1" ht="15.75" customHeight="1" x14ac:dyDescent="0.25">
      <c r="A79" s="251">
        <v>96</v>
      </c>
      <c r="B79" s="153" t="s">
        <v>183</v>
      </c>
      <c r="C79" s="203">
        <v>200</v>
      </c>
      <c r="D79" s="86">
        <v>2.02</v>
      </c>
      <c r="E79" s="86">
        <v>5.09</v>
      </c>
      <c r="F79" s="86">
        <v>11.98</v>
      </c>
      <c r="G79" s="86">
        <f>D79*4+E79*9+F79*4</f>
        <v>101.81</v>
      </c>
      <c r="H79" s="86">
        <v>0.09</v>
      </c>
      <c r="I79" s="86">
        <v>0.06</v>
      </c>
      <c r="J79" s="86">
        <v>8.3800000000000008</v>
      </c>
      <c r="K79" s="86">
        <v>0</v>
      </c>
      <c r="L79" s="86">
        <v>0.5</v>
      </c>
      <c r="M79" s="86">
        <v>29.15</v>
      </c>
      <c r="N79" s="86">
        <v>56.73</v>
      </c>
      <c r="O79" s="86">
        <v>24.18</v>
      </c>
      <c r="P79" s="145">
        <v>0.93</v>
      </c>
      <c r="Q79" s="86">
        <v>0.47</v>
      </c>
      <c r="R79" s="201">
        <v>0.05</v>
      </c>
      <c r="S79" s="14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5"/>
    </row>
    <row r="80" spans="1:38" s="44" customFormat="1" ht="15.75" customHeight="1" x14ac:dyDescent="0.25">
      <c r="A80" s="251"/>
      <c r="B80" s="116" t="s">
        <v>184</v>
      </c>
      <c r="C80" s="197">
        <v>90</v>
      </c>
      <c r="D80" s="204">
        <v>19.3</v>
      </c>
      <c r="E80" s="204">
        <v>16</v>
      </c>
      <c r="F80" s="204">
        <v>0.06</v>
      </c>
      <c r="G80" s="86">
        <f t="shared" ref="G80:G84" si="61">D80*4+E80*9+F80*4</f>
        <v>221.44</v>
      </c>
      <c r="H80" s="204">
        <v>0.06</v>
      </c>
      <c r="I80" s="204">
        <v>0.13</v>
      </c>
      <c r="J80" s="204">
        <v>2.08</v>
      </c>
      <c r="K80" s="204">
        <v>0.9</v>
      </c>
      <c r="L80" s="86">
        <v>0.3</v>
      </c>
      <c r="M80" s="204">
        <v>43.65</v>
      </c>
      <c r="N80" s="204">
        <v>149.58000000000001</v>
      </c>
      <c r="O80" s="204">
        <v>19.25</v>
      </c>
      <c r="P80" s="204">
        <v>1.71</v>
      </c>
      <c r="Q80" s="204">
        <v>0</v>
      </c>
      <c r="R80" s="201">
        <v>0</v>
      </c>
      <c r="S80" s="14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5"/>
    </row>
    <row r="81" spans="1:38" s="44" customFormat="1" ht="15.75" customHeight="1" x14ac:dyDescent="0.25">
      <c r="A81" s="127">
        <v>143</v>
      </c>
      <c r="B81" s="154" t="s">
        <v>71</v>
      </c>
      <c r="C81" s="189">
        <v>160</v>
      </c>
      <c r="D81" s="199">
        <v>2.19</v>
      </c>
      <c r="E81" s="199">
        <v>13.61</v>
      </c>
      <c r="F81" s="199">
        <v>10.65</v>
      </c>
      <c r="G81" s="86">
        <f t="shared" si="61"/>
        <v>173.85</v>
      </c>
      <c r="H81" s="199">
        <v>7.0000000000000007E-2</v>
      </c>
      <c r="I81" s="199">
        <v>7.0000000000000007E-2</v>
      </c>
      <c r="J81" s="199">
        <v>15.49</v>
      </c>
      <c r="K81" s="199">
        <v>0.56999999999999995</v>
      </c>
      <c r="L81" s="86">
        <v>0</v>
      </c>
      <c r="M81" s="199">
        <v>46</v>
      </c>
      <c r="N81" s="199">
        <v>55.71</v>
      </c>
      <c r="O81" s="199">
        <v>20.13</v>
      </c>
      <c r="P81" s="202">
        <v>0.74</v>
      </c>
      <c r="Q81" s="199">
        <v>0.35</v>
      </c>
      <c r="R81" s="201">
        <v>0.02</v>
      </c>
      <c r="S81" s="14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5"/>
    </row>
    <row r="82" spans="1:38" s="44" customFormat="1" ht="15.75" customHeight="1" x14ac:dyDescent="0.25">
      <c r="A82" s="251">
        <v>397</v>
      </c>
      <c r="B82" s="116" t="s">
        <v>266</v>
      </c>
      <c r="C82" s="197">
        <v>200</v>
      </c>
      <c r="D82" s="199">
        <v>0.12</v>
      </c>
      <c r="E82" s="199">
        <v>0.1</v>
      </c>
      <c r="F82" s="199">
        <v>27.5</v>
      </c>
      <c r="G82" s="86">
        <f t="shared" si="61"/>
        <v>111.38</v>
      </c>
      <c r="H82" s="199">
        <v>0.01</v>
      </c>
      <c r="I82" s="199" t="s">
        <v>185</v>
      </c>
      <c r="J82" s="199">
        <v>2.0699999999999998</v>
      </c>
      <c r="K82" s="199">
        <v>0</v>
      </c>
      <c r="L82" s="199">
        <v>0</v>
      </c>
      <c r="M82" s="199">
        <v>16.2</v>
      </c>
      <c r="N82" s="199">
        <v>7.2</v>
      </c>
      <c r="O82" s="199">
        <v>7.51</v>
      </c>
      <c r="P82" s="202">
        <v>0.89</v>
      </c>
      <c r="Q82" s="199">
        <v>7.0000000000000007E-2</v>
      </c>
      <c r="R82" s="201">
        <v>0.01</v>
      </c>
      <c r="S82" s="14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5"/>
    </row>
    <row r="83" spans="1:38" ht="15.75" customHeight="1" x14ac:dyDescent="0.25">
      <c r="A83" s="222" t="s">
        <v>215</v>
      </c>
      <c r="B83" s="119" t="s">
        <v>223</v>
      </c>
      <c r="C83" s="197">
        <v>45</v>
      </c>
      <c r="D83" s="213">
        <v>2.7</v>
      </c>
      <c r="E83" s="213">
        <v>0.34</v>
      </c>
      <c r="F83" s="213">
        <v>20.059999999999999</v>
      </c>
      <c r="G83" s="86">
        <f t="shared" si="61"/>
        <v>94.1</v>
      </c>
      <c r="H83" s="213">
        <v>0.04</v>
      </c>
      <c r="I83" s="213">
        <v>0.01</v>
      </c>
      <c r="J83" s="213">
        <v>0</v>
      </c>
      <c r="K83" s="213">
        <v>0</v>
      </c>
      <c r="L83" s="213">
        <v>0.44</v>
      </c>
      <c r="M83" s="213">
        <v>8</v>
      </c>
      <c r="N83" s="213">
        <v>26</v>
      </c>
      <c r="O83" s="213">
        <v>5.6</v>
      </c>
      <c r="P83" s="213">
        <v>0.44</v>
      </c>
      <c r="Q83" s="213">
        <v>0</v>
      </c>
      <c r="R83" s="201">
        <v>0</v>
      </c>
      <c r="S83" s="149"/>
    </row>
    <row r="84" spans="1:38" s="45" customFormat="1" ht="15.75" customHeight="1" x14ac:dyDescent="0.25">
      <c r="A84" s="251" t="s">
        <v>159</v>
      </c>
      <c r="B84" s="116" t="s">
        <v>224</v>
      </c>
      <c r="C84" s="197">
        <v>24</v>
      </c>
      <c r="D84" s="199">
        <v>1.33</v>
      </c>
      <c r="E84" s="199">
        <v>0.24</v>
      </c>
      <c r="F84" s="199">
        <v>8.3699999999999992</v>
      </c>
      <c r="G84" s="86">
        <f t="shared" si="61"/>
        <v>40.959999999999994</v>
      </c>
      <c r="H84" s="199">
        <v>0.11</v>
      </c>
      <c r="I84" s="199">
        <v>7.0000000000000007E-2</v>
      </c>
      <c r="J84" s="199">
        <v>0.14000000000000001</v>
      </c>
      <c r="K84" s="199">
        <v>0</v>
      </c>
      <c r="L84" s="199">
        <v>0.11</v>
      </c>
      <c r="M84" s="199">
        <v>25.55</v>
      </c>
      <c r="N84" s="199">
        <v>43.75</v>
      </c>
      <c r="O84" s="199">
        <v>14</v>
      </c>
      <c r="P84" s="202">
        <v>0.98</v>
      </c>
      <c r="Q84" s="199">
        <v>0</v>
      </c>
      <c r="R84" s="201">
        <v>0.2</v>
      </c>
      <c r="S84" s="14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4"/>
    </row>
    <row r="85" spans="1:38" ht="15.75" customHeight="1" x14ac:dyDescent="0.25">
      <c r="A85" s="251"/>
      <c r="B85" s="116" t="s">
        <v>156</v>
      </c>
      <c r="C85" s="197">
        <v>120</v>
      </c>
      <c r="D85" s="194">
        <v>1.08</v>
      </c>
      <c r="E85" s="194">
        <v>0.12</v>
      </c>
      <c r="F85" s="194">
        <v>10.8</v>
      </c>
      <c r="G85" s="199">
        <f>D85*4+E85*9+F85*4</f>
        <v>48.6</v>
      </c>
      <c r="H85" s="194">
        <v>0.03</v>
      </c>
      <c r="I85" s="194">
        <v>0.06</v>
      </c>
      <c r="J85" s="194">
        <v>12</v>
      </c>
      <c r="K85" s="194">
        <v>0</v>
      </c>
      <c r="L85" s="194">
        <v>1.32</v>
      </c>
      <c r="M85" s="194">
        <v>33.6</v>
      </c>
      <c r="N85" s="194">
        <v>31.2</v>
      </c>
      <c r="O85" s="194">
        <v>9.6</v>
      </c>
      <c r="P85" s="194">
        <v>0.84</v>
      </c>
      <c r="Q85" s="194">
        <v>0.09</v>
      </c>
      <c r="R85" s="201">
        <v>0</v>
      </c>
      <c r="S85" s="149"/>
    </row>
    <row r="86" spans="1:38" s="44" customFormat="1" ht="15.75" customHeight="1" x14ac:dyDescent="0.25">
      <c r="A86" s="256"/>
      <c r="B86" s="140" t="s">
        <v>21</v>
      </c>
      <c r="C86" s="141">
        <f t="shared" ref="C86:R86" si="62">SUM(C79:C85)</f>
        <v>839</v>
      </c>
      <c r="D86" s="141">
        <f t="shared" si="62"/>
        <v>28.740000000000002</v>
      </c>
      <c r="E86" s="141">
        <f t="shared" si="62"/>
        <v>35.500000000000007</v>
      </c>
      <c r="F86" s="141">
        <f t="shared" si="62"/>
        <v>89.42</v>
      </c>
      <c r="G86" s="141">
        <f t="shared" si="62"/>
        <v>792.1400000000001</v>
      </c>
      <c r="H86" s="141">
        <f t="shared" si="62"/>
        <v>0.41000000000000003</v>
      </c>
      <c r="I86" s="141">
        <f t="shared" si="62"/>
        <v>0.4</v>
      </c>
      <c r="J86" s="141">
        <f t="shared" si="62"/>
        <v>40.160000000000004</v>
      </c>
      <c r="K86" s="141">
        <f t="shared" si="62"/>
        <v>1.47</v>
      </c>
      <c r="L86" s="141">
        <f t="shared" si="62"/>
        <v>2.67</v>
      </c>
      <c r="M86" s="141">
        <f t="shared" si="62"/>
        <v>202.15</v>
      </c>
      <c r="N86" s="141">
        <f t="shared" si="62"/>
        <v>370.16999999999996</v>
      </c>
      <c r="O86" s="141">
        <f t="shared" si="62"/>
        <v>100.27</v>
      </c>
      <c r="P86" s="141">
        <f t="shared" si="62"/>
        <v>6.5299999999999994</v>
      </c>
      <c r="Q86" s="141">
        <f t="shared" si="62"/>
        <v>0.97999999999999987</v>
      </c>
      <c r="R86" s="141">
        <f t="shared" si="62"/>
        <v>0.28000000000000003</v>
      </c>
      <c r="S86" s="14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5"/>
    </row>
    <row r="87" spans="1:38" s="44" customFormat="1" ht="15.75" customHeight="1" x14ac:dyDescent="0.25">
      <c r="A87" s="256"/>
      <c r="B87" s="131" t="s">
        <v>181</v>
      </c>
      <c r="C87" s="189">
        <f>SUM(C75:R75+C86:R86)</f>
        <v>1449</v>
      </c>
      <c r="D87" s="86">
        <f t="shared" ref="D87" si="63">SUM(D86)</f>
        <v>28.740000000000002</v>
      </c>
      <c r="E87" s="86">
        <f t="shared" ref="E87" si="64">SUM(E86)</f>
        <v>35.500000000000007</v>
      </c>
      <c r="F87" s="86">
        <f t="shared" ref="F87" si="65">SUM(F86)</f>
        <v>89.42</v>
      </c>
      <c r="G87" s="86">
        <f t="shared" ref="G87" si="66">SUM(G86)</f>
        <v>792.1400000000001</v>
      </c>
      <c r="H87" s="86">
        <f t="shared" ref="H87" si="67">SUM(H86)</f>
        <v>0.41000000000000003</v>
      </c>
      <c r="I87" s="86">
        <f t="shared" ref="I87" si="68">SUM(I86)</f>
        <v>0.4</v>
      </c>
      <c r="J87" s="86">
        <f t="shared" ref="J87" si="69">SUM(J86)</f>
        <v>40.160000000000004</v>
      </c>
      <c r="K87" s="86">
        <f t="shared" ref="K87" si="70">SUM(K86)</f>
        <v>1.47</v>
      </c>
      <c r="L87" s="86">
        <f t="shared" ref="L87" si="71">SUM(L86)</f>
        <v>2.67</v>
      </c>
      <c r="M87" s="86">
        <f t="shared" ref="M87" si="72">SUM(M86)</f>
        <v>202.15</v>
      </c>
      <c r="N87" s="86">
        <f t="shared" ref="N87" si="73">SUM(N86)</f>
        <v>370.16999999999996</v>
      </c>
      <c r="O87" s="86">
        <f t="shared" ref="O87" si="74">SUM(O86)</f>
        <v>100.27</v>
      </c>
      <c r="P87" s="86">
        <f t="shared" ref="P87" si="75">SUM(P86)</f>
        <v>6.5299999999999994</v>
      </c>
      <c r="Q87" s="86">
        <f t="shared" ref="Q87" si="76">SUM(Q86)</f>
        <v>0.97999999999999987</v>
      </c>
      <c r="R87" s="86">
        <f t="shared" ref="R87" si="77">SUM(R86)</f>
        <v>0.28000000000000003</v>
      </c>
      <c r="S87" s="14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5"/>
    </row>
    <row r="88" spans="1:38" s="44" customFormat="1" ht="24.75" customHeight="1" x14ac:dyDescent="0.25">
      <c r="A88" s="226"/>
      <c r="B88" s="240"/>
      <c r="C88" s="237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14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5"/>
    </row>
    <row r="89" spans="1:38" s="44" customFormat="1" ht="15.75" hidden="1" customHeight="1" x14ac:dyDescent="0.25">
      <c r="A89" s="239"/>
      <c r="B89" s="169" t="s">
        <v>189</v>
      </c>
      <c r="C89" s="286" t="s">
        <v>177</v>
      </c>
      <c r="D89" s="291" t="s">
        <v>148</v>
      </c>
      <c r="E89" s="291"/>
      <c r="F89" s="291"/>
      <c r="G89" s="292" t="s">
        <v>149</v>
      </c>
      <c r="H89" s="291" t="s">
        <v>150</v>
      </c>
      <c r="I89" s="291"/>
      <c r="J89" s="291"/>
      <c r="K89" s="291"/>
      <c r="L89" s="291"/>
      <c r="M89" s="288" t="s">
        <v>151</v>
      </c>
      <c r="N89" s="289"/>
      <c r="O89" s="289"/>
      <c r="P89" s="289"/>
      <c r="Q89" s="289"/>
      <c r="R89" s="290"/>
      <c r="S89" s="14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5"/>
    </row>
    <row r="90" spans="1:38" s="44" customFormat="1" ht="49.5" customHeight="1" x14ac:dyDescent="0.25">
      <c r="A90" s="294" t="s">
        <v>219</v>
      </c>
      <c r="B90" s="295"/>
      <c r="C90" s="287"/>
      <c r="D90" s="225" t="s">
        <v>0</v>
      </c>
      <c r="E90" s="225" t="s">
        <v>1</v>
      </c>
      <c r="F90" s="225" t="s">
        <v>2</v>
      </c>
      <c r="G90" s="293"/>
      <c r="H90" s="225" t="s">
        <v>41</v>
      </c>
      <c r="I90" s="225" t="s">
        <v>45</v>
      </c>
      <c r="J90" s="225" t="s">
        <v>42</v>
      </c>
      <c r="K90" s="225" t="s">
        <v>43</v>
      </c>
      <c r="L90" s="225" t="s">
        <v>44</v>
      </c>
      <c r="M90" s="170" t="s">
        <v>46</v>
      </c>
      <c r="N90" s="170" t="s">
        <v>47</v>
      </c>
      <c r="O90" s="170" t="s">
        <v>48</v>
      </c>
      <c r="P90" s="170" t="s">
        <v>49</v>
      </c>
      <c r="Q90" s="170" t="s">
        <v>100</v>
      </c>
      <c r="R90" s="170" t="s">
        <v>99</v>
      </c>
      <c r="S90" s="14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5"/>
    </row>
    <row r="91" spans="1:38" ht="15.75" customHeight="1" thickBot="1" x14ac:dyDescent="0.3">
      <c r="A91" s="235">
        <v>246</v>
      </c>
      <c r="B91" s="236" t="s">
        <v>166</v>
      </c>
      <c r="C91" s="210">
        <v>60</v>
      </c>
      <c r="D91" s="192">
        <v>0.48719999999999997</v>
      </c>
      <c r="E91" s="192">
        <v>6.9599999999999995E-2</v>
      </c>
      <c r="F91" s="192">
        <v>1.3223999999999998</v>
      </c>
      <c r="G91" s="192">
        <f>F91*4+E91*9+D91*4</f>
        <v>7.8647999999999989</v>
      </c>
      <c r="H91" s="192">
        <v>2.3199999999999998E-2</v>
      </c>
      <c r="I91" s="192">
        <v>1.1599999999999999E-2</v>
      </c>
      <c r="J91" s="192">
        <v>3.4103999999999997</v>
      </c>
      <c r="K91" s="192">
        <v>0</v>
      </c>
      <c r="L91" s="192">
        <v>6.9599999999999995E-2</v>
      </c>
      <c r="M91" s="192">
        <v>11.831999999999999</v>
      </c>
      <c r="N91" s="192">
        <v>20.88</v>
      </c>
      <c r="O91" s="192">
        <v>9.7439999999999998</v>
      </c>
      <c r="P91" s="192">
        <v>0.34799999999999998</v>
      </c>
      <c r="Q91" s="192">
        <v>0.11</v>
      </c>
      <c r="R91" s="192">
        <v>0</v>
      </c>
      <c r="S91" s="149"/>
    </row>
    <row r="92" spans="1:38" ht="15.75" customHeight="1" x14ac:dyDescent="0.25">
      <c r="A92" s="134">
        <v>212</v>
      </c>
      <c r="B92" s="135" t="s">
        <v>167</v>
      </c>
      <c r="C92" s="191">
        <v>160</v>
      </c>
      <c r="D92" s="192">
        <v>15.771800000000001</v>
      </c>
      <c r="E92" s="192">
        <v>30.409400000000005</v>
      </c>
      <c r="F92" s="192">
        <v>2.7178</v>
      </c>
      <c r="G92" s="192">
        <f t="shared" ref="G92:G95" si="78">F92*4+E92*9+D92*4</f>
        <v>347.64300000000003</v>
      </c>
      <c r="H92" s="192">
        <v>0.14980000000000002</v>
      </c>
      <c r="I92" s="192">
        <v>0.47080000000000005</v>
      </c>
      <c r="J92" s="192">
        <v>0.21400000000000002</v>
      </c>
      <c r="K92" s="192">
        <v>2.88</v>
      </c>
      <c r="L92" s="192">
        <v>7.8</v>
      </c>
      <c r="M92" s="192">
        <v>95.444000000000003</v>
      </c>
      <c r="N92" s="192">
        <v>245.244</v>
      </c>
      <c r="O92" s="192">
        <v>20.0518</v>
      </c>
      <c r="P92" s="192">
        <v>2.7820000000000005</v>
      </c>
      <c r="Q92" s="192">
        <v>1.72</v>
      </c>
      <c r="R92" s="192">
        <v>0.01</v>
      </c>
      <c r="S92" s="149"/>
    </row>
    <row r="93" spans="1:38" s="48" customFormat="1" ht="15.75" customHeight="1" x14ac:dyDescent="0.25">
      <c r="A93" s="118" t="s">
        <v>39</v>
      </c>
      <c r="B93" s="119" t="s">
        <v>92</v>
      </c>
      <c r="C93" s="191">
        <v>200</v>
      </c>
      <c r="D93" s="192">
        <v>0.6</v>
      </c>
      <c r="E93" s="192">
        <v>0.4</v>
      </c>
      <c r="F93" s="192">
        <v>10.4</v>
      </c>
      <c r="G93" s="192">
        <f t="shared" si="78"/>
        <v>47.6</v>
      </c>
      <c r="H93" s="192">
        <v>0.02</v>
      </c>
      <c r="I93" s="192">
        <v>0.04</v>
      </c>
      <c r="J93" s="192">
        <v>3.4</v>
      </c>
      <c r="K93" s="192">
        <v>0</v>
      </c>
      <c r="L93" s="192">
        <v>0.4</v>
      </c>
      <c r="M93" s="192">
        <v>21.2</v>
      </c>
      <c r="N93" s="192">
        <v>22.6</v>
      </c>
      <c r="O93" s="192">
        <v>14.6</v>
      </c>
      <c r="P93" s="192">
        <v>3.2</v>
      </c>
      <c r="Q93" s="192">
        <v>0.12</v>
      </c>
      <c r="R93" s="192">
        <v>0</v>
      </c>
      <c r="S93" s="14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7"/>
    </row>
    <row r="94" spans="1:38" ht="15.75" customHeight="1" x14ac:dyDescent="0.25">
      <c r="A94" s="222" t="s">
        <v>158</v>
      </c>
      <c r="B94" s="119" t="s">
        <v>221</v>
      </c>
      <c r="C94" s="191">
        <v>30</v>
      </c>
      <c r="D94" s="192">
        <f>1.35*2</f>
        <v>2.7</v>
      </c>
      <c r="E94" s="192">
        <f>0.172*2</f>
        <v>0.34399999999999997</v>
      </c>
      <c r="F94" s="192">
        <f>10.03*2</f>
        <v>20.059999999999999</v>
      </c>
      <c r="G94" s="192">
        <f t="shared" si="78"/>
        <v>94.135999999999996</v>
      </c>
      <c r="H94" s="192">
        <v>2.4E-2</v>
      </c>
      <c r="I94" s="192">
        <v>5.0000000000000001E-3</v>
      </c>
      <c r="J94" s="192">
        <v>0</v>
      </c>
      <c r="K94" s="192">
        <v>0</v>
      </c>
      <c r="L94" s="192">
        <v>0.42</v>
      </c>
      <c r="M94" s="192">
        <v>8</v>
      </c>
      <c r="N94" s="192">
        <v>26</v>
      </c>
      <c r="O94" s="192">
        <v>5.6</v>
      </c>
      <c r="P94" s="192">
        <v>0.4</v>
      </c>
      <c r="Q94" s="192">
        <v>0.3</v>
      </c>
      <c r="R94" s="192">
        <v>0</v>
      </c>
      <c r="S94" s="149"/>
    </row>
    <row r="95" spans="1:38" s="44" customFormat="1" ht="15.75" customHeight="1" x14ac:dyDescent="0.25">
      <c r="A95" s="222" t="s">
        <v>159</v>
      </c>
      <c r="B95" s="116" t="s">
        <v>222</v>
      </c>
      <c r="C95" s="191">
        <v>20</v>
      </c>
      <c r="D95" s="192">
        <v>1.6625000000000001</v>
      </c>
      <c r="E95" s="192">
        <v>0.3</v>
      </c>
      <c r="F95" s="192">
        <v>10.462499999999999</v>
      </c>
      <c r="G95" s="192">
        <f t="shared" si="78"/>
        <v>51.199999999999996</v>
      </c>
      <c r="H95" s="192">
        <v>0.13124999999999998</v>
      </c>
      <c r="I95" s="192">
        <v>8.7499999999999981E-2</v>
      </c>
      <c r="J95" s="192">
        <v>0.17499999999999996</v>
      </c>
      <c r="K95" s="192">
        <v>0</v>
      </c>
      <c r="L95" s="192">
        <v>0.13124999999999998</v>
      </c>
      <c r="M95" s="192">
        <v>31.937499999999996</v>
      </c>
      <c r="N95" s="192">
        <v>54.6875</v>
      </c>
      <c r="O95" s="192">
        <v>17.5</v>
      </c>
      <c r="P95" s="192">
        <v>1.2249999999999999</v>
      </c>
      <c r="Q95" s="192">
        <v>0.3</v>
      </c>
      <c r="R95" s="192">
        <v>0.02</v>
      </c>
      <c r="S95" s="14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5"/>
    </row>
    <row r="96" spans="1:38" s="44" customFormat="1" ht="15.75" customHeight="1" x14ac:dyDescent="0.25">
      <c r="A96" s="118">
        <v>368</v>
      </c>
      <c r="B96" s="119" t="s">
        <v>156</v>
      </c>
      <c r="C96" s="197">
        <v>120</v>
      </c>
      <c r="D96" s="194">
        <v>1.08</v>
      </c>
      <c r="E96" s="194">
        <v>0.12</v>
      </c>
      <c r="F96" s="194">
        <v>10.8</v>
      </c>
      <c r="G96" s="199">
        <f>D96*4+E96*9+F96*4</f>
        <v>48.6</v>
      </c>
      <c r="H96" s="194">
        <v>0.03</v>
      </c>
      <c r="I96" s="194">
        <v>0.06</v>
      </c>
      <c r="J96" s="194">
        <v>12</v>
      </c>
      <c r="K96" s="194">
        <v>0</v>
      </c>
      <c r="L96" s="194">
        <v>1.32</v>
      </c>
      <c r="M96" s="194">
        <v>33.6</v>
      </c>
      <c r="N96" s="194">
        <v>31.2</v>
      </c>
      <c r="O96" s="194">
        <v>9.6</v>
      </c>
      <c r="P96" s="194">
        <v>0.84</v>
      </c>
      <c r="Q96" s="194">
        <v>0.09</v>
      </c>
      <c r="R96" s="201">
        <v>0</v>
      </c>
      <c r="S96" s="14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5"/>
    </row>
    <row r="97" spans="1:38" s="44" customFormat="1" ht="15.75" customHeight="1" x14ac:dyDescent="0.25">
      <c r="A97" s="118"/>
      <c r="B97" s="120"/>
      <c r="C97" s="197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4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5"/>
    </row>
    <row r="98" spans="1:38" s="44" customFormat="1" ht="15.75" customHeight="1" x14ac:dyDescent="0.25">
      <c r="A98" s="122"/>
      <c r="B98" s="123" t="s">
        <v>21</v>
      </c>
      <c r="C98" s="188">
        <f>SUM(C91:C96)</f>
        <v>590</v>
      </c>
      <c r="D98" s="124">
        <f t="shared" ref="D98:R98" si="79">SUM(D91:D96)</f>
        <v>22.301500000000004</v>
      </c>
      <c r="E98" s="124">
        <f t="shared" si="79"/>
        <v>31.643000000000008</v>
      </c>
      <c r="F98" s="124">
        <f t="shared" si="79"/>
        <v>55.762699999999995</v>
      </c>
      <c r="G98" s="124">
        <f t="shared" si="79"/>
        <v>597.04380000000015</v>
      </c>
      <c r="H98" s="124">
        <f t="shared" si="79"/>
        <v>0.37824999999999998</v>
      </c>
      <c r="I98" s="124">
        <f t="shared" si="79"/>
        <v>0.67490000000000006</v>
      </c>
      <c r="J98" s="124">
        <f t="shared" si="79"/>
        <v>19.199400000000001</v>
      </c>
      <c r="K98" s="124">
        <f t="shared" si="79"/>
        <v>2.88</v>
      </c>
      <c r="L98" s="124">
        <f t="shared" si="79"/>
        <v>10.14085</v>
      </c>
      <c r="M98" s="124">
        <f t="shared" si="79"/>
        <v>202.01349999999999</v>
      </c>
      <c r="N98" s="124">
        <f t="shared" si="79"/>
        <v>400.61150000000004</v>
      </c>
      <c r="O98" s="124">
        <f t="shared" si="79"/>
        <v>77.095799999999997</v>
      </c>
      <c r="P98" s="124">
        <f t="shared" si="79"/>
        <v>8.7949999999999999</v>
      </c>
      <c r="Q98" s="124">
        <f t="shared" si="79"/>
        <v>2.6399999999999997</v>
      </c>
      <c r="R98" s="124">
        <f t="shared" si="79"/>
        <v>0.03</v>
      </c>
      <c r="S98" s="14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5"/>
    </row>
    <row r="99" spans="1:38" s="44" customFormat="1" ht="15.75" customHeight="1" x14ac:dyDescent="0.25">
      <c r="A99" s="136"/>
      <c r="B99" s="126" t="s">
        <v>98</v>
      </c>
      <c r="C99" s="195"/>
      <c r="D99" s="196">
        <v>19.25</v>
      </c>
      <c r="E99" s="196">
        <v>19.75</v>
      </c>
      <c r="F99" s="196">
        <v>83.75</v>
      </c>
      <c r="G99" s="196">
        <v>587.5</v>
      </c>
      <c r="H99" s="196">
        <v>0.3</v>
      </c>
      <c r="I99" s="196">
        <v>0.35</v>
      </c>
      <c r="J99" s="196">
        <v>15</v>
      </c>
      <c r="K99" s="196">
        <v>0.17499999999999999</v>
      </c>
      <c r="L99" s="196">
        <v>2.5</v>
      </c>
      <c r="M99" s="196">
        <v>275</v>
      </c>
      <c r="N99" s="196">
        <v>412.5</v>
      </c>
      <c r="O99" s="196">
        <v>62.5</v>
      </c>
      <c r="P99" s="196">
        <v>3</v>
      </c>
      <c r="Q99" s="196">
        <v>2.5</v>
      </c>
      <c r="R99" s="196">
        <v>2.5000000000000001E-2</v>
      </c>
      <c r="S99" s="14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5"/>
    </row>
    <row r="100" spans="1:38" s="44" customFormat="1" ht="15.75" customHeight="1" x14ac:dyDescent="0.25">
      <c r="A100" s="136"/>
      <c r="B100" s="127" t="s">
        <v>178</v>
      </c>
      <c r="C100" s="195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4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5"/>
    </row>
    <row r="101" spans="1:38" s="44" customFormat="1" ht="15.75" customHeight="1" x14ac:dyDescent="0.25">
      <c r="A101" s="136" t="s">
        <v>252</v>
      </c>
      <c r="B101" s="250" t="s">
        <v>263</v>
      </c>
      <c r="C101" s="195">
        <v>60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248"/>
      <c r="Q101" s="196"/>
      <c r="R101" s="196"/>
      <c r="S101" s="14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5"/>
    </row>
    <row r="102" spans="1:38" s="44" customFormat="1" ht="15.75" customHeight="1" x14ac:dyDescent="0.25">
      <c r="A102" s="154">
        <v>84</v>
      </c>
      <c r="B102" s="154" t="s">
        <v>242</v>
      </c>
      <c r="C102" s="189">
        <v>200</v>
      </c>
      <c r="D102" s="204">
        <v>3.56</v>
      </c>
      <c r="E102" s="204">
        <v>5.12</v>
      </c>
      <c r="F102" s="204">
        <v>14.17</v>
      </c>
      <c r="G102" s="194">
        <f t="shared" ref="G102:G108" si="80">D102*4+E102*9+F102*4</f>
        <v>117</v>
      </c>
      <c r="H102" s="204">
        <v>0.1</v>
      </c>
      <c r="I102" s="204">
        <v>0.06</v>
      </c>
      <c r="J102" s="204">
        <v>6.7</v>
      </c>
      <c r="K102" s="204">
        <v>0</v>
      </c>
      <c r="L102" s="204">
        <v>0.5</v>
      </c>
      <c r="M102" s="204">
        <v>54.18</v>
      </c>
      <c r="N102" s="204">
        <v>99.5</v>
      </c>
      <c r="O102" s="204">
        <v>34.450000000000003</v>
      </c>
      <c r="P102" s="214">
        <v>1.73</v>
      </c>
      <c r="Q102" s="204">
        <v>0.32500000000000001</v>
      </c>
      <c r="R102" s="201">
        <v>0.02</v>
      </c>
      <c r="S102" s="14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5"/>
    </row>
    <row r="103" spans="1:38" s="44" customFormat="1" ht="15.75" customHeight="1" x14ac:dyDescent="0.25">
      <c r="A103" s="164">
        <v>229</v>
      </c>
      <c r="B103" s="153" t="s">
        <v>186</v>
      </c>
      <c r="C103" s="203">
        <v>110</v>
      </c>
      <c r="D103" s="199">
        <v>19.5</v>
      </c>
      <c r="E103" s="199">
        <v>9.9</v>
      </c>
      <c r="F103" s="199">
        <v>7.6</v>
      </c>
      <c r="G103" s="194">
        <f>D103*4+E103*9+F103*4</f>
        <v>197.50000000000003</v>
      </c>
      <c r="H103" s="199">
        <v>0.1</v>
      </c>
      <c r="I103" s="199">
        <v>0.1</v>
      </c>
      <c r="J103" s="199">
        <v>7.46</v>
      </c>
      <c r="K103" s="199">
        <v>0.11</v>
      </c>
      <c r="L103" s="204">
        <v>0.9</v>
      </c>
      <c r="M103" s="199">
        <v>78.14</v>
      </c>
      <c r="N103" s="199">
        <v>324.38</v>
      </c>
      <c r="O103" s="199">
        <v>97.06</v>
      </c>
      <c r="P103" s="202">
        <v>1.7</v>
      </c>
      <c r="Q103" s="199">
        <v>1.04</v>
      </c>
      <c r="R103" s="201">
        <v>0.48</v>
      </c>
      <c r="S103" s="14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5"/>
    </row>
    <row r="104" spans="1:38" ht="15.75" customHeight="1" x14ac:dyDescent="0.25">
      <c r="A104" s="43"/>
      <c r="B104" s="43" t="s">
        <v>243</v>
      </c>
      <c r="C104" s="203">
        <v>150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S104" s="149"/>
    </row>
    <row r="105" spans="1:38" s="48" customFormat="1" ht="15.75" customHeight="1" x14ac:dyDescent="0.25">
      <c r="A105" s="116"/>
      <c r="B105" s="130" t="s">
        <v>162</v>
      </c>
      <c r="C105" s="206">
        <v>200</v>
      </c>
      <c r="D105" s="207">
        <v>0.75</v>
      </c>
      <c r="E105" s="207">
        <v>0</v>
      </c>
      <c r="F105" s="207">
        <v>15.15</v>
      </c>
      <c r="G105" s="194">
        <f t="shared" ref="G105" si="81">D105*4+E105*9+F105*4</f>
        <v>63.6</v>
      </c>
      <c r="H105" s="194">
        <v>1.4999999999999999E-2</v>
      </c>
      <c r="I105" s="194">
        <v>1.4999999999999999E-2</v>
      </c>
      <c r="J105" s="194">
        <v>3</v>
      </c>
      <c r="K105" s="194">
        <v>0</v>
      </c>
      <c r="L105" s="194">
        <v>0.15</v>
      </c>
      <c r="M105" s="194">
        <v>10.5</v>
      </c>
      <c r="N105" s="194">
        <v>10.5</v>
      </c>
      <c r="O105" s="194">
        <v>6</v>
      </c>
      <c r="P105" s="194">
        <v>2.1</v>
      </c>
      <c r="Q105" s="194">
        <v>0</v>
      </c>
      <c r="R105" s="201">
        <v>0</v>
      </c>
      <c r="S105" s="14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7"/>
    </row>
    <row r="106" spans="1:38" ht="15.75" customHeight="1" x14ac:dyDescent="0.25">
      <c r="A106" s="222" t="s">
        <v>215</v>
      </c>
      <c r="B106" s="119" t="s">
        <v>223</v>
      </c>
      <c r="C106" s="189">
        <v>25</v>
      </c>
      <c r="D106" s="213">
        <v>2.7</v>
      </c>
      <c r="E106" s="213">
        <v>0.34</v>
      </c>
      <c r="F106" s="213">
        <v>20.059999999999999</v>
      </c>
      <c r="G106" s="194">
        <f t="shared" si="80"/>
        <v>94.1</v>
      </c>
      <c r="H106" s="213">
        <v>0.04</v>
      </c>
      <c r="I106" s="213">
        <v>0.01</v>
      </c>
      <c r="J106" s="213">
        <v>0</v>
      </c>
      <c r="K106" s="213">
        <v>0</v>
      </c>
      <c r="L106" s="213">
        <v>0.44</v>
      </c>
      <c r="M106" s="213">
        <v>8</v>
      </c>
      <c r="N106" s="213">
        <v>26</v>
      </c>
      <c r="O106" s="213">
        <v>5.6</v>
      </c>
      <c r="P106" s="213">
        <v>0.44</v>
      </c>
      <c r="Q106" s="213">
        <v>0</v>
      </c>
      <c r="R106" s="201">
        <v>0</v>
      </c>
      <c r="S106" s="149"/>
    </row>
    <row r="107" spans="1:38" ht="21" customHeight="1" x14ac:dyDescent="0.25">
      <c r="A107" s="223" t="s">
        <v>159</v>
      </c>
      <c r="B107" s="116" t="s">
        <v>224</v>
      </c>
      <c r="C107" s="197">
        <v>24</v>
      </c>
      <c r="D107" s="199">
        <v>2.66</v>
      </c>
      <c r="E107" s="199">
        <v>0.48</v>
      </c>
      <c r="F107" s="199">
        <v>16.739999999999998</v>
      </c>
      <c r="G107" s="194">
        <f t="shared" si="80"/>
        <v>81.919999999999987</v>
      </c>
      <c r="H107" s="199">
        <v>0.22</v>
      </c>
      <c r="I107" s="199">
        <v>0.14000000000000001</v>
      </c>
      <c r="J107" s="199">
        <v>0.28000000000000003</v>
      </c>
      <c r="K107" s="199">
        <v>0</v>
      </c>
      <c r="L107" s="199">
        <v>0.22</v>
      </c>
      <c r="M107" s="199">
        <v>51.1</v>
      </c>
      <c r="N107" s="199">
        <v>87.5</v>
      </c>
      <c r="O107" s="199">
        <v>28</v>
      </c>
      <c r="P107" s="202">
        <v>1.96</v>
      </c>
      <c r="Q107" s="199">
        <v>0</v>
      </c>
      <c r="R107" s="201">
        <v>0.04</v>
      </c>
      <c r="S107" s="149"/>
    </row>
    <row r="108" spans="1:38" ht="15.75" customHeight="1" x14ac:dyDescent="0.25">
      <c r="A108" s="116"/>
      <c r="B108" s="130" t="s">
        <v>216</v>
      </c>
      <c r="C108" s="206">
        <v>60</v>
      </c>
      <c r="D108" s="207">
        <v>0.75</v>
      </c>
      <c r="E108" s="207">
        <v>0</v>
      </c>
      <c r="F108" s="207">
        <v>15.15</v>
      </c>
      <c r="G108" s="194">
        <f t="shared" si="80"/>
        <v>63.6</v>
      </c>
      <c r="H108" s="194">
        <v>1.4999999999999999E-2</v>
      </c>
      <c r="I108" s="194">
        <v>1.4999999999999999E-2</v>
      </c>
      <c r="J108" s="194">
        <v>3</v>
      </c>
      <c r="K108" s="194">
        <v>0</v>
      </c>
      <c r="L108" s="194">
        <v>0.15</v>
      </c>
      <c r="M108" s="194">
        <v>10.5</v>
      </c>
      <c r="N108" s="194">
        <v>10.5</v>
      </c>
      <c r="O108" s="194">
        <v>6</v>
      </c>
      <c r="P108" s="194">
        <v>2.1</v>
      </c>
      <c r="Q108" s="194">
        <v>0</v>
      </c>
      <c r="R108" s="201">
        <v>0</v>
      </c>
      <c r="S108" s="149"/>
    </row>
    <row r="109" spans="1:38" s="41" customFormat="1" ht="26.25" customHeight="1" x14ac:dyDescent="0.25">
      <c r="A109" s="139"/>
      <c r="B109" s="140" t="s">
        <v>21</v>
      </c>
      <c r="C109" s="141">
        <f t="shared" ref="C109:R109" si="82">SUM(C102:C108)</f>
        <v>769</v>
      </c>
      <c r="D109" s="133">
        <f t="shared" si="82"/>
        <v>29.919999999999998</v>
      </c>
      <c r="E109" s="133">
        <f t="shared" si="82"/>
        <v>15.84</v>
      </c>
      <c r="F109" s="133">
        <f t="shared" si="82"/>
        <v>88.87</v>
      </c>
      <c r="G109" s="133">
        <f t="shared" si="82"/>
        <v>617.72</v>
      </c>
      <c r="H109" s="133">
        <f t="shared" si="82"/>
        <v>0.49</v>
      </c>
      <c r="I109" s="133">
        <f t="shared" si="82"/>
        <v>0.34</v>
      </c>
      <c r="J109" s="133">
        <f t="shared" si="82"/>
        <v>20.440000000000001</v>
      </c>
      <c r="K109" s="133">
        <f t="shared" si="82"/>
        <v>0.11</v>
      </c>
      <c r="L109" s="133">
        <f t="shared" si="82"/>
        <v>2.36</v>
      </c>
      <c r="M109" s="133">
        <f t="shared" si="82"/>
        <v>212.42</v>
      </c>
      <c r="N109" s="133">
        <f t="shared" si="82"/>
        <v>558.38</v>
      </c>
      <c r="O109" s="133">
        <f t="shared" si="82"/>
        <v>177.10999999999999</v>
      </c>
      <c r="P109" s="133">
        <f t="shared" si="82"/>
        <v>10.029999999999999</v>
      </c>
      <c r="Q109" s="133">
        <f t="shared" si="82"/>
        <v>1.365</v>
      </c>
      <c r="R109" s="133">
        <f t="shared" si="82"/>
        <v>0.54</v>
      </c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8"/>
    </row>
    <row r="110" spans="1:38" s="44" customFormat="1" ht="15.75" customHeight="1" x14ac:dyDescent="0.25">
      <c r="A110" s="155"/>
      <c r="B110" s="131" t="s">
        <v>181</v>
      </c>
      <c r="C110" s="141">
        <f>SUM(C98:R98+C109:R109)</f>
        <v>1359</v>
      </c>
      <c r="D110" s="133">
        <f t="shared" ref="D110:R110" si="83">SUM(D109)</f>
        <v>29.919999999999998</v>
      </c>
      <c r="E110" s="133">
        <f t="shared" si="83"/>
        <v>15.84</v>
      </c>
      <c r="F110" s="133">
        <f t="shared" si="83"/>
        <v>88.87</v>
      </c>
      <c r="G110" s="133">
        <f t="shared" si="83"/>
        <v>617.72</v>
      </c>
      <c r="H110" s="133">
        <f t="shared" si="83"/>
        <v>0.49</v>
      </c>
      <c r="I110" s="133">
        <f t="shared" si="83"/>
        <v>0.34</v>
      </c>
      <c r="J110" s="133">
        <f t="shared" si="83"/>
        <v>20.440000000000001</v>
      </c>
      <c r="K110" s="133">
        <f t="shared" si="83"/>
        <v>0.11</v>
      </c>
      <c r="L110" s="133">
        <f t="shared" si="83"/>
        <v>2.36</v>
      </c>
      <c r="M110" s="133">
        <f t="shared" si="83"/>
        <v>212.42</v>
      </c>
      <c r="N110" s="133">
        <f t="shared" si="83"/>
        <v>558.38</v>
      </c>
      <c r="O110" s="133">
        <f t="shared" si="83"/>
        <v>177.10999999999999</v>
      </c>
      <c r="P110" s="133">
        <f t="shared" si="83"/>
        <v>10.029999999999999</v>
      </c>
      <c r="Q110" s="133">
        <f t="shared" si="83"/>
        <v>1.365</v>
      </c>
      <c r="R110" s="133">
        <f t="shared" si="83"/>
        <v>0.54</v>
      </c>
      <c r="S110" s="152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5"/>
    </row>
    <row r="111" spans="1:38" s="44" customFormat="1" ht="15.75" customHeight="1" x14ac:dyDescent="0.25">
      <c r="A111" s="294" t="s">
        <v>220</v>
      </c>
      <c r="B111" s="295"/>
      <c r="C111" s="208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14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5"/>
    </row>
    <row r="112" spans="1:38" s="46" customFormat="1" ht="15.75" customHeight="1" x14ac:dyDescent="0.25">
      <c r="A112" s="118">
        <v>246</v>
      </c>
      <c r="B112" s="119" t="s">
        <v>233</v>
      </c>
      <c r="C112" s="191">
        <v>60</v>
      </c>
      <c r="D112" s="194">
        <v>0.42</v>
      </c>
      <c r="E112" s="194">
        <v>0.06</v>
      </c>
      <c r="F112" s="194">
        <v>1.1399999999999999</v>
      </c>
      <c r="G112" s="194">
        <f>F112*4+E112*9+D112*4</f>
        <v>6.7799999999999994</v>
      </c>
      <c r="H112" s="194">
        <v>0.02</v>
      </c>
      <c r="I112" s="194">
        <v>0.01</v>
      </c>
      <c r="J112" s="194">
        <v>2.94</v>
      </c>
      <c r="K112" s="194">
        <v>0</v>
      </c>
      <c r="L112" s="194">
        <v>0.06</v>
      </c>
      <c r="M112" s="194">
        <v>10.199999999999999</v>
      </c>
      <c r="N112" s="194">
        <v>18</v>
      </c>
      <c r="O112" s="194">
        <v>8.4</v>
      </c>
      <c r="P112" s="194">
        <v>0.3</v>
      </c>
      <c r="Q112" s="192">
        <v>0.10199999999999999</v>
      </c>
      <c r="R112" s="192">
        <v>0</v>
      </c>
      <c r="S112" s="149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6"/>
    </row>
    <row r="113" spans="1:38" s="46" customFormat="1" ht="15.75" customHeight="1" x14ac:dyDescent="0.25">
      <c r="A113" s="159">
        <v>211</v>
      </c>
      <c r="B113" s="154" t="s">
        <v>167</v>
      </c>
      <c r="C113" s="189">
        <v>140</v>
      </c>
      <c r="D113" s="86">
        <v>19.12</v>
      </c>
      <c r="E113" s="86">
        <v>25.38</v>
      </c>
      <c r="F113" s="86">
        <v>2.72</v>
      </c>
      <c r="G113" s="199">
        <f t="shared" ref="G113:G114" si="84">D113*4+E113*9+F113*4</f>
        <v>315.77999999999997</v>
      </c>
      <c r="H113" s="86">
        <v>0.106</v>
      </c>
      <c r="I113" s="86">
        <v>0.57999999999999996</v>
      </c>
      <c r="J113" s="86">
        <v>0.34</v>
      </c>
      <c r="K113" s="86">
        <v>3.8719999999999999</v>
      </c>
      <c r="L113" s="199">
        <f>1.2*1.4</f>
        <v>1.68</v>
      </c>
      <c r="M113" s="86">
        <v>278.93</v>
      </c>
      <c r="N113" s="86">
        <v>333.06</v>
      </c>
      <c r="O113" s="86">
        <v>23.28</v>
      </c>
      <c r="P113" s="145">
        <v>2.93</v>
      </c>
      <c r="Q113" s="86">
        <v>2.59</v>
      </c>
      <c r="R113" s="201">
        <v>0.36</v>
      </c>
      <c r="S113" s="149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6"/>
    </row>
    <row r="114" spans="1:38" s="46" customFormat="1" ht="15.75" customHeight="1" x14ac:dyDescent="0.25">
      <c r="A114" s="154"/>
      <c r="B114" s="154" t="s">
        <v>192</v>
      </c>
      <c r="C114" s="189">
        <v>60</v>
      </c>
      <c r="D114" s="199">
        <v>1.73</v>
      </c>
      <c r="E114" s="199">
        <v>1.63</v>
      </c>
      <c r="F114" s="199">
        <v>3.47</v>
      </c>
      <c r="G114" s="199">
        <f t="shared" si="84"/>
        <v>35.47</v>
      </c>
      <c r="H114" s="199">
        <v>3.4000000000000002E-2</v>
      </c>
      <c r="I114" s="199">
        <v>0.02</v>
      </c>
      <c r="J114" s="199">
        <v>5.82</v>
      </c>
      <c r="K114" s="199">
        <v>0.08</v>
      </c>
      <c r="L114" s="199">
        <v>0</v>
      </c>
      <c r="M114" s="199">
        <v>14.35</v>
      </c>
      <c r="N114" s="199">
        <v>36.700000000000003</v>
      </c>
      <c r="O114" s="199">
        <v>12.1</v>
      </c>
      <c r="P114" s="202">
        <v>0.42</v>
      </c>
      <c r="Q114" s="199">
        <v>0</v>
      </c>
      <c r="R114" s="201">
        <v>0</v>
      </c>
      <c r="S114" s="149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6"/>
    </row>
    <row r="115" spans="1:38" s="48" customFormat="1" ht="15.75" customHeight="1" x14ac:dyDescent="0.25">
      <c r="A115" s="99"/>
      <c r="B115" s="99" t="s">
        <v>234</v>
      </c>
      <c r="C115" s="48">
        <v>200</v>
      </c>
      <c r="S115" s="151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7"/>
    </row>
    <row r="116" spans="1:38" s="99" customFormat="1" ht="15.75" customHeight="1" x14ac:dyDescent="0.25">
      <c r="A116" s="222" t="s">
        <v>158</v>
      </c>
      <c r="B116" s="119" t="s">
        <v>221</v>
      </c>
      <c r="C116" s="191">
        <v>30</v>
      </c>
      <c r="D116" s="192">
        <v>1.6625000000000001</v>
      </c>
      <c r="E116" s="192">
        <v>0.3</v>
      </c>
      <c r="F116" s="192">
        <v>10.462499999999999</v>
      </c>
      <c r="G116" s="192">
        <v>51.2</v>
      </c>
      <c r="H116" s="192">
        <v>0.13124999999999998</v>
      </c>
      <c r="I116" s="192">
        <v>8.7499999999999981E-2</v>
      </c>
      <c r="J116" s="192">
        <v>0.17499999999999996</v>
      </c>
      <c r="K116" s="192">
        <v>0</v>
      </c>
      <c r="L116" s="192">
        <v>0.13124999999999998</v>
      </c>
      <c r="M116" s="192">
        <v>31.937499999999996</v>
      </c>
      <c r="N116" s="192">
        <v>54.6875</v>
      </c>
      <c r="O116" s="192">
        <v>17.5</v>
      </c>
      <c r="P116" s="192">
        <v>1.2249999999999999</v>
      </c>
      <c r="Q116" s="192">
        <v>0.3</v>
      </c>
      <c r="R116" s="192">
        <v>0.02</v>
      </c>
    </row>
    <row r="117" spans="1:38" s="99" customFormat="1" ht="15.75" customHeight="1" x14ac:dyDescent="0.25">
      <c r="A117" s="222" t="s">
        <v>159</v>
      </c>
      <c r="B117" s="116" t="s">
        <v>222</v>
      </c>
      <c r="C117" s="191">
        <v>20</v>
      </c>
      <c r="D117" s="192">
        <f>1.35*2</f>
        <v>2.7</v>
      </c>
      <c r="E117" s="192">
        <f>0.172*2</f>
        <v>0.34399999999999997</v>
      </c>
      <c r="F117" s="192">
        <f>10.03*2</f>
        <v>20.059999999999999</v>
      </c>
      <c r="G117" s="192">
        <f t="shared" ref="G117" si="85">F117*4+E117*9+D117*4</f>
        <v>94.135999999999996</v>
      </c>
      <c r="H117" s="192">
        <v>2.4E-2</v>
      </c>
      <c r="I117" s="192">
        <v>5.0000000000000001E-3</v>
      </c>
      <c r="J117" s="192">
        <v>0</v>
      </c>
      <c r="K117" s="192">
        <v>0</v>
      </c>
      <c r="L117" s="192">
        <v>0.42</v>
      </c>
      <c r="M117" s="192">
        <v>8</v>
      </c>
      <c r="N117" s="192">
        <v>26</v>
      </c>
      <c r="O117" s="192">
        <v>5.6</v>
      </c>
      <c r="P117" s="192">
        <v>0.4</v>
      </c>
      <c r="Q117" s="192">
        <v>0.3</v>
      </c>
      <c r="R117" s="192">
        <v>0</v>
      </c>
    </row>
    <row r="118" spans="1:38" s="99" customFormat="1" ht="15.75" customHeight="1" x14ac:dyDescent="0.25">
      <c r="A118" s="118">
        <v>293</v>
      </c>
      <c r="B118" s="119" t="s">
        <v>168</v>
      </c>
      <c r="C118" s="191">
        <v>200</v>
      </c>
      <c r="D118" s="192">
        <v>1.0015060240963856</v>
      </c>
      <c r="E118" s="192">
        <v>0</v>
      </c>
      <c r="F118" s="192">
        <v>20.23042168674699</v>
      </c>
      <c r="G118" s="192">
        <v>84.927710843373504</v>
      </c>
      <c r="H118" s="192">
        <v>2.0030120481927715E-2</v>
      </c>
      <c r="I118" s="192">
        <v>2.0030120481927715E-2</v>
      </c>
      <c r="J118" s="192">
        <v>4.0060240963855422</v>
      </c>
      <c r="K118" s="192">
        <v>0</v>
      </c>
      <c r="L118" s="192">
        <v>0.20030120481927713</v>
      </c>
      <c r="M118" s="192">
        <v>14.021084337349398</v>
      </c>
      <c r="N118" s="192">
        <v>14.021084337349398</v>
      </c>
      <c r="O118" s="192">
        <v>8.0120481927710845</v>
      </c>
      <c r="P118" s="192">
        <v>2.8042168674698797</v>
      </c>
      <c r="Q118" s="192">
        <v>0.04</v>
      </c>
      <c r="R118" s="192">
        <v>0</v>
      </c>
    </row>
    <row r="119" spans="1:38" s="99" customFormat="1" ht="15.75" customHeight="1" x14ac:dyDescent="0.25">
      <c r="A119" s="122"/>
      <c r="B119" s="123" t="s">
        <v>21</v>
      </c>
      <c r="C119" s="188">
        <f t="shared" ref="C119:R119" si="86">SUM(C112:C117)</f>
        <v>510</v>
      </c>
      <c r="D119" s="124">
        <f t="shared" si="86"/>
        <v>25.632500000000004</v>
      </c>
      <c r="E119" s="124">
        <f t="shared" si="86"/>
        <v>27.713999999999999</v>
      </c>
      <c r="F119" s="124">
        <f t="shared" si="86"/>
        <v>37.852499999999992</v>
      </c>
      <c r="G119" s="124">
        <f t="shared" si="86"/>
        <v>503.36599999999999</v>
      </c>
      <c r="H119" s="124">
        <f t="shared" si="86"/>
        <v>0.31525000000000003</v>
      </c>
      <c r="I119" s="124">
        <f t="shared" si="86"/>
        <v>0.70250000000000001</v>
      </c>
      <c r="J119" s="124">
        <f t="shared" si="86"/>
        <v>9.2750000000000004</v>
      </c>
      <c r="K119" s="124">
        <f t="shared" si="86"/>
        <v>3.952</v>
      </c>
      <c r="L119" s="124">
        <f t="shared" si="86"/>
        <v>2.2912499999999998</v>
      </c>
      <c r="M119" s="124">
        <f t="shared" si="86"/>
        <v>343.41750000000002</v>
      </c>
      <c r="N119" s="124">
        <f t="shared" si="86"/>
        <v>468.44749999999999</v>
      </c>
      <c r="O119" s="124">
        <f t="shared" si="86"/>
        <v>66.88</v>
      </c>
      <c r="P119" s="124">
        <f t="shared" si="86"/>
        <v>5.2750000000000004</v>
      </c>
      <c r="Q119" s="124">
        <f t="shared" si="86"/>
        <v>3.2919999999999994</v>
      </c>
      <c r="R119" s="124">
        <f t="shared" si="86"/>
        <v>0.38</v>
      </c>
    </row>
    <row r="120" spans="1:38" s="99" customFormat="1" ht="15.75" customHeight="1" x14ac:dyDescent="0.25">
      <c r="A120" s="118"/>
      <c r="B120" s="126" t="s">
        <v>98</v>
      </c>
      <c r="C120" s="195"/>
      <c r="D120" s="196">
        <v>19.25</v>
      </c>
      <c r="E120" s="196">
        <v>19.75</v>
      </c>
      <c r="F120" s="196">
        <v>83.75</v>
      </c>
      <c r="G120" s="196">
        <v>587.5</v>
      </c>
      <c r="H120" s="196">
        <v>0.3</v>
      </c>
      <c r="I120" s="196">
        <v>0.35</v>
      </c>
      <c r="J120" s="196">
        <v>15</v>
      </c>
      <c r="K120" s="196">
        <v>0.17499999999999999</v>
      </c>
      <c r="L120" s="196">
        <v>2.5</v>
      </c>
      <c r="M120" s="196">
        <v>275</v>
      </c>
      <c r="N120" s="196">
        <v>412.5</v>
      </c>
      <c r="O120" s="196">
        <v>62.5</v>
      </c>
      <c r="P120" s="196">
        <v>3</v>
      </c>
      <c r="Q120" s="196">
        <v>2.5</v>
      </c>
      <c r="R120" s="196">
        <v>2.5000000000000001E-2</v>
      </c>
    </row>
    <row r="121" spans="1:38" s="99" customFormat="1" ht="15.75" customHeight="1" x14ac:dyDescent="0.25">
      <c r="A121" s="118"/>
      <c r="B121" s="127" t="s">
        <v>178</v>
      </c>
      <c r="C121" s="195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</row>
    <row r="122" spans="1:38" s="99" customFormat="1" ht="15.75" customHeight="1" x14ac:dyDescent="0.25">
      <c r="A122" s="157" t="s">
        <v>190</v>
      </c>
      <c r="B122" s="158" t="s">
        <v>191</v>
      </c>
      <c r="C122" s="212">
        <v>200</v>
      </c>
      <c r="D122" s="199">
        <v>1.59</v>
      </c>
      <c r="E122" s="199">
        <v>4.99</v>
      </c>
      <c r="F122" s="199">
        <v>9.15</v>
      </c>
      <c r="G122" s="199">
        <f>D122*4+E122*9+F122*4</f>
        <v>87.87</v>
      </c>
      <c r="H122" s="199">
        <v>7.0000000000000007E-2</v>
      </c>
      <c r="I122" s="199">
        <v>0.05</v>
      </c>
      <c r="J122" s="199">
        <v>10.38</v>
      </c>
      <c r="K122" s="199">
        <v>0</v>
      </c>
      <c r="L122" s="199">
        <v>0.3</v>
      </c>
      <c r="M122" s="199">
        <v>34.85</v>
      </c>
      <c r="N122" s="199">
        <v>49.28</v>
      </c>
      <c r="O122" s="199">
        <v>20.75</v>
      </c>
      <c r="P122" s="202">
        <v>0.78</v>
      </c>
      <c r="Q122" s="199">
        <v>0.57999999999999996</v>
      </c>
      <c r="R122" s="201">
        <v>0.01</v>
      </c>
    </row>
    <row r="123" spans="1:38" s="99" customFormat="1" ht="15.75" customHeight="1" x14ac:dyDescent="0.25">
      <c r="A123" s="118">
        <v>269</v>
      </c>
      <c r="B123" s="119" t="s">
        <v>88</v>
      </c>
      <c r="C123" s="191">
        <v>90</v>
      </c>
      <c r="D123" s="86">
        <v>7.1495327102803738</v>
      </c>
      <c r="E123" s="86">
        <v>9.3925233644859816</v>
      </c>
      <c r="F123" s="86">
        <v>7.2336448598130838</v>
      </c>
      <c r="G123" s="86">
        <v>142.06542056074767</v>
      </c>
      <c r="H123" s="86">
        <v>8.4112149532710276E-2</v>
      </c>
      <c r="I123" s="86">
        <v>8.4112149532710276E-2</v>
      </c>
      <c r="J123" s="86">
        <v>0.12616822429906543</v>
      </c>
      <c r="K123" s="86">
        <v>0.1</v>
      </c>
      <c r="L123" s="86">
        <v>0.42056074766355139</v>
      </c>
      <c r="M123" s="86">
        <v>20.579439252336446</v>
      </c>
      <c r="N123" s="86">
        <v>87.588785046728972</v>
      </c>
      <c r="O123" s="86">
        <v>16.355140186915886</v>
      </c>
      <c r="P123" s="86">
        <v>1.1869158878504673</v>
      </c>
      <c r="Q123" s="86">
        <v>2.3199999999999998</v>
      </c>
      <c r="R123" s="86">
        <v>0</v>
      </c>
    </row>
    <row r="124" spans="1:38" s="99" customFormat="1" ht="15.75" customHeight="1" x14ac:dyDescent="0.25">
      <c r="A124" s="172" t="s">
        <v>70</v>
      </c>
      <c r="B124" s="135" t="s">
        <v>71</v>
      </c>
      <c r="C124" s="210">
        <v>175</v>
      </c>
      <c r="D124" s="192">
        <v>2.69</v>
      </c>
      <c r="E124" s="192">
        <v>5</v>
      </c>
      <c r="F124" s="192">
        <v>13.1</v>
      </c>
      <c r="G124" s="192">
        <v>216.3</v>
      </c>
      <c r="H124" s="192">
        <v>0.08</v>
      </c>
      <c r="I124" s="192">
        <v>0.08</v>
      </c>
      <c r="J124" s="192">
        <v>19.059999999999999</v>
      </c>
      <c r="K124" s="192">
        <v>0.7</v>
      </c>
      <c r="L124" s="192">
        <v>0</v>
      </c>
      <c r="M124" s="192">
        <v>56.6</v>
      </c>
      <c r="N124" s="192">
        <v>68.56</v>
      </c>
      <c r="O124" s="192">
        <v>24.7</v>
      </c>
      <c r="P124" s="192">
        <v>0.91</v>
      </c>
      <c r="Q124" s="192">
        <v>0.43</v>
      </c>
      <c r="R124" s="192">
        <v>0</v>
      </c>
    </row>
    <row r="125" spans="1:38" s="99" customFormat="1" ht="15.75" customHeight="1" x14ac:dyDescent="0.25">
      <c r="A125" s="154"/>
      <c r="B125" s="154" t="s">
        <v>124</v>
      </c>
      <c r="C125" s="189">
        <v>200</v>
      </c>
      <c r="D125" s="207">
        <v>1</v>
      </c>
      <c r="E125" s="207">
        <v>0</v>
      </c>
      <c r="F125" s="207">
        <v>20.200000000000003</v>
      </c>
      <c r="G125" s="199">
        <f t="shared" ref="G125:G129" si="87">D125*4+E125*9+F125*4</f>
        <v>84.800000000000011</v>
      </c>
      <c r="H125" s="194">
        <v>2.2000000000000002E-2</v>
      </c>
      <c r="I125" s="194">
        <v>2.2000000000000002E-2</v>
      </c>
      <c r="J125" s="194">
        <v>4</v>
      </c>
      <c r="K125" s="194">
        <v>0</v>
      </c>
      <c r="L125" s="194">
        <v>0.2</v>
      </c>
      <c r="M125" s="194">
        <v>14</v>
      </c>
      <c r="N125" s="194">
        <v>14</v>
      </c>
      <c r="O125" s="194">
        <v>8</v>
      </c>
      <c r="P125" s="194">
        <v>2.8000000000000003</v>
      </c>
      <c r="Q125" s="194">
        <v>0</v>
      </c>
      <c r="R125" s="201">
        <v>0</v>
      </c>
    </row>
    <row r="126" spans="1:38" s="99" customFormat="1" ht="15.75" customHeight="1" x14ac:dyDescent="0.25">
      <c r="A126" s="222" t="s">
        <v>215</v>
      </c>
      <c r="B126" s="119" t="s">
        <v>223</v>
      </c>
      <c r="C126" s="197">
        <v>45</v>
      </c>
      <c r="D126" s="213">
        <v>2.7</v>
      </c>
      <c r="E126" s="213">
        <v>0.34</v>
      </c>
      <c r="F126" s="213">
        <v>20.059999999999999</v>
      </c>
      <c r="G126" s="199">
        <f t="shared" si="87"/>
        <v>94.1</v>
      </c>
      <c r="H126" s="213">
        <v>0.04</v>
      </c>
      <c r="I126" s="213">
        <v>0.01</v>
      </c>
      <c r="J126" s="213">
        <v>0</v>
      </c>
      <c r="K126" s="213">
        <v>0</v>
      </c>
      <c r="L126" s="213">
        <v>0.44</v>
      </c>
      <c r="M126" s="213">
        <v>8</v>
      </c>
      <c r="N126" s="213">
        <v>26</v>
      </c>
      <c r="O126" s="213">
        <v>5.6</v>
      </c>
      <c r="P126" s="213">
        <v>0.44</v>
      </c>
      <c r="Q126" s="213">
        <v>0</v>
      </c>
      <c r="R126" s="201">
        <v>0</v>
      </c>
    </row>
    <row r="127" spans="1:38" s="99" customFormat="1" ht="15.75" customHeight="1" x14ac:dyDescent="0.25">
      <c r="A127" s="223" t="s">
        <v>159</v>
      </c>
      <c r="B127" s="116" t="s">
        <v>224</v>
      </c>
      <c r="C127" s="197">
        <v>24</v>
      </c>
      <c r="D127" s="199">
        <v>1.33</v>
      </c>
      <c r="E127" s="199">
        <v>0.24</v>
      </c>
      <c r="F127" s="199">
        <v>8.3699999999999992</v>
      </c>
      <c r="G127" s="199">
        <f t="shared" si="87"/>
        <v>40.959999999999994</v>
      </c>
      <c r="H127" s="199">
        <v>0.11</v>
      </c>
      <c r="I127" s="199">
        <v>7.0000000000000007E-2</v>
      </c>
      <c r="J127" s="199">
        <v>0.14000000000000001</v>
      </c>
      <c r="K127" s="199">
        <v>0</v>
      </c>
      <c r="L127" s="199">
        <v>0.11</v>
      </c>
      <c r="M127" s="199">
        <v>25.55</v>
      </c>
      <c r="N127" s="199">
        <v>43.75</v>
      </c>
      <c r="O127" s="199">
        <v>14</v>
      </c>
      <c r="P127" s="202">
        <v>0.98</v>
      </c>
      <c r="Q127" s="199">
        <v>0</v>
      </c>
      <c r="R127" s="201">
        <v>0.02</v>
      </c>
    </row>
    <row r="128" spans="1:38" s="99" customFormat="1" ht="15.75" customHeight="1" x14ac:dyDescent="0.25">
      <c r="A128" s="116"/>
      <c r="B128" s="116" t="s">
        <v>156</v>
      </c>
      <c r="C128" s="197">
        <v>120</v>
      </c>
      <c r="D128" s="194">
        <v>1.08</v>
      </c>
      <c r="E128" s="194">
        <v>0.12</v>
      </c>
      <c r="F128" s="194">
        <v>10.8</v>
      </c>
      <c r="G128" s="199">
        <f>D128*4+E128*9+F128*4</f>
        <v>48.6</v>
      </c>
      <c r="H128" s="194">
        <v>0.03</v>
      </c>
      <c r="I128" s="194">
        <v>0.06</v>
      </c>
      <c r="J128" s="194">
        <v>12</v>
      </c>
      <c r="K128" s="194">
        <v>0</v>
      </c>
      <c r="L128" s="194">
        <v>1.32</v>
      </c>
      <c r="M128" s="194">
        <v>33.6</v>
      </c>
      <c r="N128" s="194">
        <v>31.2</v>
      </c>
      <c r="O128" s="194">
        <v>9.6</v>
      </c>
      <c r="P128" s="194">
        <v>0.84</v>
      </c>
      <c r="Q128" s="194">
        <v>0.09</v>
      </c>
      <c r="R128" s="201">
        <v>0</v>
      </c>
    </row>
    <row r="129" spans="1:38" s="99" customFormat="1" ht="15.75" customHeight="1" x14ac:dyDescent="0.25">
      <c r="A129" s="116"/>
      <c r="B129" s="116" t="s">
        <v>182</v>
      </c>
      <c r="C129" s="197">
        <v>150</v>
      </c>
      <c r="D129" s="198">
        <v>4.37</v>
      </c>
      <c r="E129" s="198">
        <f>2.7*1.8</f>
        <v>4.8600000000000003</v>
      </c>
      <c r="F129" s="198">
        <v>7.1749999999999998</v>
      </c>
      <c r="G129" s="198">
        <f t="shared" si="87"/>
        <v>89.92</v>
      </c>
      <c r="H129" s="198">
        <v>3.5000000000000003E-2</v>
      </c>
      <c r="I129" s="198">
        <v>0.245</v>
      </c>
      <c r="J129" s="198">
        <v>0.52</v>
      </c>
      <c r="K129" s="198">
        <v>0.35</v>
      </c>
      <c r="L129" s="198">
        <v>0</v>
      </c>
      <c r="M129" s="198">
        <v>217</v>
      </c>
      <c r="N129" s="198">
        <v>57.96</v>
      </c>
      <c r="O129" s="198">
        <v>24.5</v>
      </c>
      <c r="P129" s="198">
        <v>0.17499999999999999</v>
      </c>
      <c r="Q129" s="198">
        <v>0.7</v>
      </c>
      <c r="R129" s="201">
        <v>0</v>
      </c>
    </row>
    <row r="130" spans="1:38" s="99" customFormat="1" ht="15.75" customHeight="1" x14ac:dyDescent="0.25">
      <c r="A130" s="139"/>
      <c r="B130" s="140" t="s">
        <v>21</v>
      </c>
      <c r="C130" s="141">
        <f>SUM(C122:C129)</f>
        <v>1004</v>
      </c>
      <c r="D130" s="141">
        <f t="shared" ref="D130:R130" si="88">SUM(D122:D129)</f>
        <v>21.90953271028037</v>
      </c>
      <c r="E130" s="141">
        <f t="shared" si="88"/>
        <v>24.942523364485982</v>
      </c>
      <c r="F130" s="141">
        <f t="shared" si="88"/>
        <v>96.088644859813087</v>
      </c>
      <c r="G130" s="141">
        <f t="shared" si="88"/>
        <v>804.61542056074779</v>
      </c>
      <c r="H130" s="141">
        <f t="shared" si="88"/>
        <v>0.4711121495327103</v>
      </c>
      <c r="I130" s="141">
        <f t="shared" si="88"/>
        <v>0.62111214953271032</v>
      </c>
      <c r="J130" s="141">
        <f t="shared" si="88"/>
        <v>46.226168224299066</v>
      </c>
      <c r="K130" s="141">
        <f t="shared" si="88"/>
        <v>1.1499999999999999</v>
      </c>
      <c r="L130" s="141">
        <f t="shared" si="88"/>
        <v>2.7905607476635517</v>
      </c>
      <c r="M130" s="141">
        <f t="shared" si="88"/>
        <v>410.17943925233646</v>
      </c>
      <c r="N130" s="141">
        <f t="shared" si="88"/>
        <v>378.33878504672896</v>
      </c>
      <c r="O130" s="141">
        <f t="shared" si="88"/>
        <v>123.50514018691588</v>
      </c>
      <c r="P130" s="141">
        <f t="shared" si="88"/>
        <v>8.1119158878504685</v>
      </c>
      <c r="Q130" s="141">
        <f t="shared" si="88"/>
        <v>4.12</v>
      </c>
      <c r="R130" s="141">
        <f t="shared" si="88"/>
        <v>0.03</v>
      </c>
    </row>
    <row r="131" spans="1:38" s="99" customFormat="1" ht="15.75" customHeight="1" x14ac:dyDescent="0.25">
      <c r="A131" s="155"/>
      <c r="B131" s="131" t="s">
        <v>181</v>
      </c>
      <c r="C131" s="141">
        <f>SUM(C130:R130+C119:R119)</f>
        <v>1514</v>
      </c>
      <c r="D131" s="133">
        <f t="shared" ref="D131:R131" si="89">SUM(D130)</f>
        <v>21.90953271028037</v>
      </c>
      <c r="E131" s="133">
        <f t="shared" si="89"/>
        <v>24.942523364485982</v>
      </c>
      <c r="F131" s="133">
        <f t="shared" si="89"/>
        <v>96.088644859813087</v>
      </c>
      <c r="G131" s="133">
        <f t="shared" si="89"/>
        <v>804.61542056074779</v>
      </c>
      <c r="H131" s="133">
        <f t="shared" si="89"/>
        <v>0.4711121495327103</v>
      </c>
      <c r="I131" s="133">
        <f t="shared" si="89"/>
        <v>0.62111214953271032</v>
      </c>
      <c r="J131" s="133">
        <f t="shared" si="89"/>
        <v>46.226168224299066</v>
      </c>
      <c r="K131" s="133">
        <f t="shared" si="89"/>
        <v>1.1499999999999999</v>
      </c>
      <c r="L131" s="133">
        <f t="shared" si="89"/>
        <v>2.7905607476635517</v>
      </c>
      <c r="M131" s="133">
        <f t="shared" si="89"/>
        <v>410.17943925233646</v>
      </c>
      <c r="N131" s="133">
        <f t="shared" si="89"/>
        <v>378.33878504672896</v>
      </c>
      <c r="O131" s="133">
        <f t="shared" si="89"/>
        <v>123.50514018691588</v>
      </c>
      <c r="P131" s="133">
        <f t="shared" si="89"/>
        <v>8.1119158878504685</v>
      </c>
      <c r="Q131" s="133">
        <f t="shared" si="89"/>
        <v>4.12</v>
      </c>
      <c r="R131" s="133">
        <f t="shared" si="89"/>
        <v>0.03</v>
      </c>
    </row>
    <row r="132" spans="1:38" s="99" customFormat="1" ht="43.5" customHeight="1" x14ac:dyDescent="0.25"/>
    <row r="133" spans="1:38" s="99" customFormat="1" ht="15.75" customHeight="1" x14ac:dyDescent="0.25">
      <c r="A133" s="239"/>
      <c r="B133" s="169" t="s">
        <v>189</v>
      </c>
      <c r="C133" s="286" t="s">
        <v>177</v>
      </c>
      <c r="D133" s="291" t="s">
        <v>148</v>
      </c>
      <c r="E133" s="291"/>
      <c r="F133" s="291"/>
      <c r="G133" s="292" t="s">
        <v>149</v>
      </c>
      <c r="H133" s="291" t="s">
        <v>150</v>
      </c>
      <c r="I133" s="291"/>
      <c r="J133" s="291"/>
      <c r="K133" s="291"/>
      <c r="L133" s="291"/>
      <c r="M133" s="288" t="s">
        <v>151</v>
      </c>
      <c r="N133" s="289"/>
      <c r="O133" s="289"/>
      <c r="P133" s="289"/>
      <c r="Q133" s="289"/>
      <c r="R133" s="290"/>
    </row>
    <row r="134" spans="1:38" s="99" customFormat="1" ht="35.25" customHeight="1" x14ac:dyDescent="0.25">
      <c r="A134" s="284" t="s">
        <v>195</v>
      </c>
      <c r="B134" s="285"/>
      <c r="C134" s="287"/>
      <c r="D134" s="170" t="s">
        <v>0</v>
      </c>
      <c r="E134" s="170" t="s">
        <v>1</v>
      </c>
      <c r="F134" s="170" t="s">
        <v>2</v>
      </c>
      <c r="G134" s="293"/>
      <c r="H134" s="170" t="s">
        <v>41</v>
      </c>
      <c r="I134" s="170" t="s">
        <v>45</v>
      </c>
      <c r="J134" s="170" t="s">
        <v>42</v>
      </c>
      <c r="K134" s="170" t="s">
        <v>43</v>
      </c>
      <c r="L134" s="170" t="s">
        <v>44</v>
      </c>
      <c r="M134" s="170" t="s">
        <v>46</v>
      </c>
      <c r="N134" s="170" t="s">
        <v>47</v>
      </c>
      <c r="O134" s="170" t="s">
        <v>48</v>
      </c>
      <c r="P134" s="170" t="s">
        <v>49</v>
      </c>
      <c r="Q134" s="170" t="s">
        <v>100</v>
      </c>
      <c r="R134" s="170" t="s">
        <v>99</v>
      </c>
    </row>
    <row r="135" spans="1:38" s="99" customFormat="1" ht="15.75" customHeight="1" x14ac:dyDescent="0.25">
      <c r="A135" s="118"/>
      <c r="B135" s="119" t="s">
        <v>235</v>
      </c>
      <c r="C135" s="191">
        <v>15</v>
      </c>
      <c r="D135" s="192">
        <v>0.48719999999999997</v>
      </c>
      <c r="E135" s="192">
        <v>6.9599999999999995E-2</v>
      </c>
      <c r="F135" s="192">
        <v>1.3223999999999998</v>
      </c>
      <c r="G135" s="192">
        <f>F135*4+E135*9+D135*4</f>
        <v>7.8647999999999989</v>
      </c>
      <c r="H135" s="192">
        <v>2.3199999999999998E-2</v>
      </c>
      <c r="I135" s="192">
        <v>1.1599999999999999E-2</v>
      </c>
      <c r="J135" s="192">
        <v>3.4103999999999997</v>
      </c>
      <c r="K135" s="192">
        <v>0</v>
      </c>
      <c r="L135" s="192">
        <v>6.9599999999999995E-2</v>
      </c>
      <c r="M135" s="192">
        <v>11.831999999999999</v>
      </c>
      <c r="N135" s="192">
        <v>20.88</v>
      </c>
      <c r="O135" s="192">
        <v>9.7439999999999998</v>
      </c>
      <c r="P135" s="192">
        <v>0.34799999999999998</v>
      </c>
      <c r="Q135" s="192">
        <v>0.11899999999999999</v>
      </c>
      <c r="R135" s="192">
        <v>0</v>
      </c>
    </row>
    <row r="136" spans="1:38" s="99" customFormat="1" ht="15.75" customHeight="1" x14ac:dyDescent="0.25">
      <c r="A136" s="118">
        <v>235</v>
      </c>
      <c r="B136" s="119" t="s">
        <v>85</v>
      </c>
      <c r="C136" s="191">
        <v>90</v>
      </c>
      <c r="D136" s="194">
        <v>7.66</v>
      </c>
      <c r="E136" s="194">
        <v>5.3</v>
      </c>
      <c r="F136" s="194">
        <v>5.8</v>
      </c>
      <c r="G136" s="192">
        <f t="shared" ref="G136:G141" si="90">F136*4+E136*9+D136*4</f>
        <v>101.53999999999999</v>
      </c>
      <c r="H136" s="194">
        <f>0.036*0.875</f>
        <v>3.15E-2</v>
      </c>
      <c r="I136" s="194">
        <f>0.054*0.875</f>
        <v>4.725E-2</v>
      </c>
      <c r="J136" s="194">
        <v>2.2599999999999998</v>
      </c>
      <c r="K136" s="194">
        <v>0.17</v>
      </c>
      <c r="L136" s="194">
        <v>3.11</v>
      </c>
      <c r="M136" s="194">
        <v>43.8</v>
      </c>
      <c r="N136" s="194">
        <v>115.9</v>
      </c>
      <c r="O136" s="194">
        <v>17.149999999999999</v>
      </c>
      <c r="P136" s="194">
        <v>1.48</v>
      </c>
      <c r="Q136" s="192">
        <v>0.59</v>
      </c>
      <c r="R136" s="192"/>
    </row>
    <row r="137" spans="1:38" s="99" customFormat="1" ht="15.75" customHeight="1" x14ac:dyDescent="0.25">
      <c r="A137" s="118">
        <v>310</v>
      </c>
      <c r="B137" s="119" t="s">
        <v>84</v>
      </c>
      <c r="C137" s="191">
        <v>170</v>
      </c>
      <c r="D137" s="192">
        <v>3.3205</v>
      </c>
      <c r="E137" s="192">
        <v>4.8815999999999997</v>
      </c>
      <c r="F137" s="192">
        <v>26.001300000000001</v>
      </c>
      <c r="G137" s="192">
        <f t="shared" si="90"/>
        <v>161.2216</v>
      </c>
      <c r="H137" s="192">
        <v>0.16949999999999998</v>
      </c>
      <c r="I137" s="192">
        <v>0.10169999999999998</v>
      </c>
      <c r="J137" s="192">
        <v>23.729999999999997</v>
      </c>
      <c r="K137" s="192">
        <v>0</v>
      </c>
      <c r="L137" s="192">
        <v>0.22599999999999998</v>
      </c>
      <c r="M137" s="192">
        <v>62.036999999999992</v>
      </c>
      <c r="N137" s="192">
        <v>90.060999999999993</v>
      </c>
      <c r="O137" s="192">
        <v>33.108999999999995</v>
      </c>
      <c r="P137" s="192">
        <v>1.2994999999999999</v>
      </c>
      <c r="Q137" s="192">
        <v>0.66</v>
      </c>
      <c r="R137" s="192">
        <v>0</v>
      </c>
    </row>
    <row r="138" spans="1:38" s="99" customFormat="1" ht="15.75" customHeight="1" x14ac:dyDescent="0.25">
      <c r="A138" s="118">
        <v>282</v>
      </c>
      <c r="B138" s="119" t="s">
        <v>169</v>
      </c>
      <c r="C138" s="191">
        <v>200</v>
      </c>
      <c r="D138" s="192">
        <v>1.04</v>
      </c>
      <c r="E138" s="192">
        <v>0.6</v>
      </c>
      <c r="F138" s="192">
        <v>10.199999999999999</v>
      </c>
      <c r="G138" s="192">
        <f t="shared" si="90"/>
        <v>50.36</v>
      </c>
      <c r="H138" s="192">
        <v>0.2</v>
      </c>
      <c r="I138" s="192">
        <v>0.4</v>
      </c>
      <c r="J138" s="192">
        <v>8</v>
      </c>
      <c r="K138" s="192">
        <v>1E-3</v>
      </c>
      <c r="L138" s="192">
        <v>11</v>
      </c>
      <c r="M138" s="192">
        <v>32</v>
      </c>
      <c r="N138" s="192">
        <v>29</v>
      </c>
      <c r="O138" s="192">
        <v>21</v>
      </c>
      <c r="P138" s="192">
        <v>6.4</v>
      </c>
      <c r="Q138" s="192">
        <v>0.78</v>
      </c>
      <c r="R138" s="192">
        <v>0.01</v>
      </c>
    </row>
    <row r="139" spans="1:38" s="99" customFormat="1" ht="15.75" customHeight="1" x14ac:dyDescent="0.25">
      <c r="A139" s="222" t="s">
        <v>158</v>
      </c>
      <c r="B139" s="119" t="s">
        <v>221</v>
      </c>
      <c r="C139" s="191">
        <v>30</v>
      </c>
      <c r="D139" s="192">
        <f>1.35*2</f>
        <v>2.7</v>
      </c>
      <c r="E139" s="192">
        <f>0.172*2</f>
        <v>0.34399999999999997</v>
      </c>
      <c r="F139" s="192">
        <f>10.03*2</f>
        <v>20.059999999999999</v>
      </c>
      <c r="G139" s="192">
        <f t="shared" si="90"/>
        <v>94.135999999999996</v>
      </c>
      <c r="H139" s="192">
        <v>2.4E-2</v>
      </c>
      <c r="I139" s="192">
        <v>5.0000000000000001E-3</v>
      </c>
      <c r="J139" s="192">
        <v>0</v>
      </c>
      <c r="K139" s="192">
        <v>0</v>
      </c>
      <c r="L139" s="192">
        <v>0.42</v>
      </c>
      <c r="M139" s="192">
        <v>8</v>
      </c>
      <c r="N139" s="192">
        <v>26</v>
      </c>
      <c r="O139" s="192">
        <v>5.6</v>
      </c>
      <c r="P139" s="192">
        <v>0.4</v>
      </c>
      <c r="Q139" s="192">
        <v>0.3</v>
      </c>
      <c r="R139" s="192">
        <v>0</v>
      </c>
    </row>
    <row r="140" spans="1:38" s="99" customFormat="1" ht="15.75" customHeight="1" x14ac:dyDescent="0.25">
      <c r="A140" s="222" t="s">
        <v>159</v>
      </c>
      <c r="B140" s="116" t="s">
        <v>222</v>
      </c>
      <c r="C140" s="191">
        <v>20</v>
      </c>
      <c r="D140" s="192">
        <v>1.6625000000000001</v>
      </c>
      <c r="E140" s="192">
        <v>0.3</v>
      </c>
      <c r="F140" s="192">
        <v>10.462499999999999</v>
      </c>
      <c r="G140" s="192">
        <f t="shared" si="90"/>
        <v>51.199999999999996</v>
      </c>
      <c r="H140" s="192">
        <v>0.13124999999999998</v>
      </c>
      <c r="I140" s="192">
        <v>8.7499999999999981E-2</v>
      </c>
      <c r="J140" s="192">
        <v>0.17499999999999996</v>
      </c>
      <c r="K140" s="192">
        <v>0</v>
      </c>
      <c r="L140" s="192">
        <v>0.13124999999999998</v>
      </c>
      <c r="M140" s="192">
        <v>31.937499999999996</v>
      </c>
      <c r="N140" s="192">
        <v>54.6875</v>
      </c>
      <c r="O140" s="192">
        <v>17.5</v>
      </c>
      <c r="P140" s="192">
        <v>1.2249999999999999</v>
      </c>
      <c r="Q140" s="192">
        <v>0.3</v>
      </c>
      <c r="R140" s="192">
        <v>0.02</v>
      </c>
    </row>
    <row r="141" spans="1:38" s="99" customFormat="1" ht="15.75" customHeight="1" x14ac:dyDescent="0.25">
      <c r="A141" s="118"/>
      <c r="B141" s="119" t="s">
        <v>170</v>
      </c>
      <c r="C141" s="191">
        <v>200</v>
      </c>
      <c r="D141" s="192">
        <v>0.75301204819277112</v>
      </c>
      <c r="E141" s="192">
        <v>0</v>
      </c>
      <c r="F141" s="192">
        <v>15.210843373493976</v>
      </c>
      <c r="G141" s="192">
        <f t="shared" si="90"/>
        <v>63.855421686746986</v>
      </c>
      <c r="H141" s="192">
        <v>1.5060240963855423E-2</v>
      </c>
      <c r="I141" s="192">
        <v>1.5060240963855423E-2</v>
      </c>
      <c r="J141" s="192">
        <v>3.0120481927710845</v>
      </c>
      <c r="K141" s="192">
        <v>0</v>
      </c>
      <c r="L141" s="192">
        <v>0.15060240963855423</v>
      </c>
      <c r="M141" s="192">
        <v>10.542168674698795</v>
      </c>
      <c r="N141" s="192">
        <v>10.542168674698795</v>
      </c>
      <c r="O141" s="192">
        <v>6.024096385542169</v>
      </c>
      <c r="P141" s="192">
        <v>2.1084337349397591</v>
      </c>
      <c r="Q141" s="192">
        <v>0.03</v>
      </c>
      <c r="R141" s="192">
        <v>0</v>
      </c>
    </row>
    <row r="142" spans="1:38" s="99" customFormat="1" ht="15.75" customHeight="1" x14ac:dyDescent="0.25">
      <c r="A142" s="245"/>
      <c r="B142" s="120"/>
      <c r="C142" s="197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1:38" s="109" customFormat="1" ht="15.75" customHeight="1" x14ac:dyDescent="0.25">
      <c r="A143" s="122"/>
      <c r="B143" s="123" t="s">
        <v>21</v>
      </c>
      <c r="C143" s="188">
        <f>SUM(C135:C141)</f>
        <v>725</v>
      </c>
      <c r="D143" s="124">
        <f t="shared" ref="D143:R143" si="91">SUM(D135:D141)</f>
        <v>17.623212048192773</v>
      </c>
      <c r="E143" s="124">
        <f t="shared" si="91"/>
        <v>11.495200000000001</v>
      </c>
      <c r="F143" s="124">
        <f t="shared" si="91"/>
        <v>89.057043373493983</v>
      </c>
      <c r="G143" s="124">
        <f t="shared" si="91"/>
        <v>530.17782168674694</v>
      </c>
      <c r="H143" s="124">
        <f t="shared" si="91"/>
        <v>0.59451024096385541</v>
      </c>
      <c r="I143" s="124">
        <f t="shared" si="91"/>
        <v>0.66811024096385541</v>
      </c>
      <c r="J143" s="124">
        <f t="shared" si="91"/>
        <v>40.587448192771078</v>
      </c>
      <c r="K143" s="124">
        <f t="shared" si="91"/>
        <v>0.17100000000000001</v>
      </c>
      <c r="L143" s="124">
        <f t="shared" si="91"/>
        <v>15.107452409638553</v>
      </c>
      <c r="M143" s="124">
        <f t="shared" si="91"/>
        <v>200.14866867469877</v>
      </c>
      <c r="N143" s="124">
        <f t="shared" si="91"/>
        <v>347.07066867469882</v>
      </c>
      <c r="O143" s="124">
        <f t="shared" si="91"/>
        <v>110.12709638554215</v>
      </c>
      <c r="P143" s="124">
        <f t="shared" si="91"/>
        <v>13.260933734939758</v>
      </c>
      <c r="Q143" s="124">
        <f t="shared" si="91"/>
        <v>2.7789999999999995</v>
      </c>
      <c r="R143" s="124">
        <f t="shared" si="91"/>
        <v>0.03</v>
      </c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108"/>
    </row>
    <row r="144" spans="1:38" ht="15.75" customHeight="1" x14ac:dyDescent="0.25">
      <c r="A144" s="136"/>
      <c r="B144" s="126" t="s">
        <v>98</v>
      </c>
      <c r="C144" s="195"/>
      <c r="D144" s="196">
        <v>19.25</v>
      </c>
      <c r="E144" s="196">
        <v>19.75</v>
      </c>
      <c r="F144" s="196">
        <v>83.75</v>
      </c>
      <c r="G144" s="196">
        <v>587.5</v>
      </c>
      <c r="H144" s="196">
        <v>0.3</v>
      </c>
      <c r="I144" s="196">
        <v>0.35</v>
      </c>
      <c r="J144" s="196">
        <v>15</v>
      </c>
      <c r="K144" s="196">
        <v>0.17499999999999999</v>
      </c>
      <c r="L144" s="196">
        <v>2.5</v>
      </c>
      <c r="M144" s="196">
        <v>275</v>
      </c>
      <c r="N144" s="196">
        <v>412.5</v>
      </c>
      <c r="O144" s="196">
        <v>62.5</v>
      </c>
      <c r="P144" s="196">
        <v>3</v>
      </c>
      <c r="Q144" s="196">
        <v>2.5</v>
      </c>
      <c r="R144" s="196">
        <v>2.5000000000000001E-2</v>
      </c>
      <c r="S144" s="149"/>
    </row>
    <row r="145" spans="1:19" ht="15.75" customHeight="1" x14ac:dyDescent="0.25">
      <c r="A145" s="136"/>
      <c r="B145" s="127" t="s">
        <v>178</v>
      </c>
      <c r="C145" s="195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49"/>
    </row>
    <row r="146" spans="1:19" ht="15.75" customHeight="1" x14ac:dyDescent="0.25">
      <c r="A146" s="160">
        <v>128</v>
      </c>
      <c r="B146" s="116" t="s">
        <v>244</v>
      </c>
      <c r="C146" s="197">
        <v>200</v>
      </c>
      <c r="D146" s="86">
        <v>1.6</v>
      </c>
      <c r="E146" s="86">
        <v>4.8600000000000003</v>
      </c>
      <c r="F146" s="86">
        <v>8.56</v>
      </c>
      <c r="G146" s="86">
        <f>D146*4+E146*9+F146*4</f>
        <v>84.38</v>
      </c>
      <c r="H146" s="86">
        <v>0.03</v>
      </c>
      <c r="I146" s="86">
        <v>0.04</v>
      </c>
      <c r="J146" s="86">
        <v>10.93</v>
      </c>
      <c r="K146" s="86">
        <v>0</v>
      </c>
      <c r="L146" s="86">
        <v>0.5</v>
      </c>
      <c r="M146" s="86">
        <v>52.53</v>
      </c>
      <c r="N146" s="86">
        <v>46.1</v>
      </c>
      <c r="O146" s="86">
        <v>23.13</v>
      </c>
      <c r="P146" s="145">
        <v>1.1000000000000001</v>
      </c>
      <c r="Q146" s="86">
        <v>0.74</v>
      </c>
      <c r="R146" s="201">
        <v>7.0000000000000007E-2</v>
      </c>
      <c r="S146" s="149"/>
    </row>
    <row r="147" spans="1:19" ht="15.75" customHeight="1" x14ac:dyDescent="0.25">
      <c r="A147" s="222">
        <v>259</v>
      </c>
      <c r="B147" s="119" t="s">
        <v>22</v>
      </c>
      <c r="C147" s="191">
        <v>175</v>
      </c>
      <c r="D147" s="86">
        <v>17.009708737864077</v>
      </c>
      <c r="E147" s="86">
        <v>15.679611650485436</v>
      </c>
      <c r="F147" s="86">
        <v>25.864077669902912</v>
      </c>
      <c r="G147" s="194">
        <f t="shared" ref="G147" si="92">F147*4+E147*9+D147*4</f>
        <v>312.61165048543688</v>
      </c>
      <c r="H147" s="86">
        <v>0.13980582524271842</v>
      </c>
      <c r="I147" s="86">
        <v>0.19805825242718447</v>
      </c>
      <c r="J147" s="86">
        <v>8.0970873786407758</v>
      </c>
      <c r="K147" s="86">
        <v>0</v>
      </c>
      <c r="L147" s="86">
        <v>10.067961165048542</v>
      </c>
      <c r="M147" s="86">
        <v>36.504854368932037</v>
      </c>
      <c r="N147" s="86">
        <v>215.95145631067962</v>
      </c>
      <c r="O147" s="86">
        <v>50.902912621359221</v>
      </c>
      <c r="P147" s="86">
        <v>4.6213592233009706</v>
      </c>
      <c r="Q147" s="211">
        <v>3.38</v>
      </c>
      <c r="R147" s="211">
        <v>0</v>
      </c>
      <c r="S147" s="149"/>
    </row>
    <row r="148" spans="1:19" ht="15.75" customHeight="1" x14ac:dyDescent="0.25">
      <c r="A148" s="154"/>
      <c r="B148" s="154" t="s">
        <v>89</v>
      </c>
      <c r="C148" s="189">
        <v>200</v>
      </c>
      <c r="D148" s="86">
        <v>0.68</v>
      </c>
      <c r="E148" s="86">
        <v>0.28000000000000003</v>
      </c>
      <c r="F148" s="86">
        <v>20.76</v>
      </c>
      <c r="G148" s="86">
        <f t="shared" ref="G148:G149" si="93">D148*4+E148*9+F148*4</f>
        <v>88.28</v>
      </c>
      <c r="H148" s="86">
        <v>0.01</v>
      </c>
      <c r="I148" s="86">
        <v>0.06</v>
      </c>
      <c r="J148" s="86">
        <v>100</v>
      </c>
      <c r="K148" s="86">
        <v>0</v>
      </c>
      <c r="L148" s="86">
        <v>0</v>
      </c>
      <c r="M148" s="86">
        <v>21.34</v>
      </c>
      <c r="N148" s="86">
        <v>3.44</v>
      </c>
      <c r="O148" s="86">
        <v>3.44</v>
      </c>
      <c r="P148" s="145">
        <v>0.63400000000000001</v>
      </c>
      <c r="Q148" s="86">
        <v>0.02</v>
      </c>
      <c r="R148" s="201">
        <v>0.4</v>
      </c>
      <c r="S148" s="149"/>
    </row>
    <row r="149" spans="1:19" ht="15.75" customHeight="1" x14ac:dyDescent="0.25">
      <c r="A149" s="222" t="s">
        <v>215</v>
      </c>
      <c r="B149" s="119" t="s">
        <v>223</v>
      </c>
      <c r="C149" s="197">
        <v>30</v>
      </c>
      <c r="D149" s="213">
        <v>4.05</v>
      </c>
      <c r="E149" s="213">
        <v>0.51</v>
      </c>
      <c r="F149" s="213">
        <v>30.09</v>
      </c>
      <c r="G149" s="86">
        <f t="shared" si="93"/>
        <v>141.15</v>
      </c>
      <c r="H149" s="213">
        <v>0.06</v>
      </c>
      <c r="I149" s="213" t="s">
        <v>193</v>
      </c>
      <c r="J149" s="213">
        <v>0</v>
      </c>
      <c r="K149" s="213">
        <v>0</v>
      </c>
      <c r="L149" s="213">
        <v>0.66</v>
      </c>
      <c r="M149" s="213">
        <v>12</v>
      </c>
      <c r="N149" s="213">
        <v>39</v>
      </c>
      <c r="O149" s="213">
        <v>8.4</v>
      </c>
      <c r="P149" s="213">
        <v>0.66</v>
      </c>
      <c r="Q149" s="213">
        <v>0</v>
      </c>
      <c r="R149" s="201">
        <v>0</v>
      </c>
      <c r="S149" s="149"/>
    </row>
    <row r="150" spans="1:19" ht="15.75" customHeight="1" x14ac:dyDescent="0.25">
      <c r="A150" s="223" t="s">
        <v>159</v>
      </c>
      <c r="B150" s="116" t="s">
        <v>224</v>
      </c>
      <c r="C150" s="197">
        <v>24</v>
      </c>
      <c r="D150" s="199">
        <v>1.33</v>
      </c>
      <c r="E150" s="199">
        <v>0.24</v>
      </c>
      <c r="F150" s="199">
        <v>8.3699999999999992</v>
      </c>
      <c r="G150" s="86">
        <f>D150*4+E150*9+F150*4</f>
        <v>40.959999999999994</v>
      </c>
      <c r="H150" s="199">
        <v>0.11</v>
      </c>
      <c r="I150" s="199">
        <v>7.0000000000000007E-2</v>
      </c>
      <c r="J150" s="199">
        <v>0.14000000000000001</v>
      </c>
      <c r="K150" s="199">
        <v>0</v>
      </c>
      <c r="L150" s="199">
        <v>0.11</v>
      </c>
      <c r="M150" s="199">
        <v>25.55</v>
      </c>
      <c r="N150" s="199">
        <v>43.75</v>
      </c>
      <c r="O150" s="199">
        <v>14</v>
      </c>
      <c r="P150" s="202">
        <v>0.98</v>
      </c>
      <c r="Q150" s="199">
        <v>0</v>
      </c>
      <c r="R150" s="201">
        <v>0.02</v>
      </c>
      <c r="S150" s="149"/>
    </row>
    <row r="151" spans="1:19" ht="15.75" customHeight="1" x14ac:dyDescent="0.25">
      <c r="A151" s="43"/>
      <c r="B151" s="43" t="s">
        <v>267</v>
      </c>
      <c r="C151" s="197">
        <v>50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S151" s="149"/>
    </row>
    <row r="152" spans="1:19" ht="15.75" customHeight="1" x14ac:dyDescent="0.25">
      <c r="A152" s="139"/>
      <c r="B152" s="140" t="s">
        <v>21</v>
      </c>
      <c r="C152" s="141">
        <f>SUM(C146:C151)</f>
        <v>679</v>
      </c>
      <c r="D152" s="133">
        <f t="shared" ref="D152:P152" si="94">SUM(D146:D150)</f>
        <v>24.669708737864077</v>
      </c>
      <c r="E152" s="133">
        <f t="shared" si="94"/>
        <v>21.569611650485438</v>
      </c>
      <c r="F152" s="133">
        <f t="shared" si="94"/>
        <v>93.644077669902927</v>
      </c>
      <c r="G152" s="133">
        <f t="shared" si="94"/>
        <v>667.38165048543692</v>
      </c>
      <c r="H152" s="133">
        <f t="shared" si="94"/>
        <v>0.34980582524271842</v>
      </c>
      <c r="I152" s="133">
        <f t="shared" si="94"/>
        <v>0.36805825242718448</v>
      </c>
      <c r="J152" s="133">
        <f t="shared" si="94"/>
        <v>119.16708737864077</v>
      </c>
      <c r="K152" s="133">
        <f t="shared" si="94"/>
        <v>0</v>
      </c>
      <c r="L152" s="133">
        <f t="shared" si="94"/>
        <v>11.337961165048542</v>
      </c>
      <c r="M152" s="133">
        <f t="shared" si="94"/>
        <v>147.92485436893205</v>
      </c>
      <c r="N152" s="133">
        <f t="shared" si="94"/>
        <v>348.24145631067961</v>
      </c>
      <c r="O152" s="133">
        <f t="shared" si="94"/>
        <v>99.87291262135922</v>
      </c>
      <c r="P152" s="133">
        <f t="shared" si="94"/>
        <v>7.9953592233009712</v>
      </c>
      <c r="Q152" s="133"/>
      <c r="R152" s="133">
        <f>SUM(R146:R150)</f>
        <v>0.49000000000000005</v>
      </c>
      <c r="S152" s="149"/>
    </row>
    <row r="153" spans="1:19" ht="15.75" customHeight="1" x14ac:dyDescent="0.25">
      <c r="A153" s="136"/>
      <c r="B153" s="131" t="s">
        <v>181</v>
      </c>
      <c r="C153" s="189">
        <f>SUM(C152:R152)</f>
        <v>2222.0125436893204</v>
      </c>
      <c r="D153" s="86">
        <f t="shared" ref="D153:R153" si="95">SUM(D152)</f>
        <v>24.669708737864077</v>
      </c>
      <c r="E153" s="86">
        <f t="shared" si="95"/>
        <v>21.569611650485438</v>
      </c>
      <c r="F153" s="86">
        <f t="shared" si="95"/>
        <v>93.644077669902927</v>
      </c>
      <c r="G153" s="86">
        <f t="shared" si="95"/>
        <v>667.38165048543692</v>
      </c>
      <c r="H153" s="86">
        <f t="shared" si="95"/>
        <v>0.34980582524271842</v>
      </c>
      <c r="I153" s="86">
        <f t="shared" si="95"/>
        <v>0.36805825242718448</v>
      </c>
      <c r="J153" s="86">
        <f t="shared" si="95"/>
        <v>119.16708737864077</v>
      </c>
      <c r="K153" s="86">
        <f t="shared" si="95"/>
        <v>0</v>
      </c>
      <c r="L153" s="86">
        <f t="shared" si="95"/>
        <v>11.337961165048542</v>
      </c>
      <c r="M153" s="86">
        <f t="shared" si="95"/>
        <v>147.92485436893205</v>
      </c>
      <c r="N153" s="86">
        <f t="shared" si="95"/>
        <v>348.24145631067961</v>
      </c>
      <c r="O153" s="86">
        <f t="shared" si="95"/>
        <v>99.87291262135922</v>
      </c>
      <c r="P153" s="86">
        <f t="shared" si="95"/>
        <v>7.9953592233009712</v>
      </c>
      <c r="Q153" s="86">
        <f t="shared" si="95"/>
        <v>0</v>
      </c>
      <c r="R153" s="86">
        <f t="shared" si="95"/>
        <v>0.49000000000000005</v>
      </c>
      <c r="S153" s="149"/>
    </row>
    <row r="154" spans="1:19" ht="15.75" customHeight="1" x14ac:dyDescent="0.25">
      <c r="A154" s="284" t="s">
        <v>196</v>
      </c>
      <c r="B154" s="285"/>
      <c r="C154" s="208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149"/>
    </row>
    <row r="155" spans="1:19" ht="15.75" customHeight="1" x14ac:dyDescent="0.25">
      <c r="A155" s="118"/>
      <c r="B155" s="119" t="s">
        <v>163</v>
      </c>
      <c r="C155" s="191">
        <v>60</v>
      </c>
      <c r="D155" s="192">
        <v>0.55859999999999999</v>
      </c>
      <c r="E155" s="192">
        <v>7.9799999999999996E-2</v>
      </c>
      <c r="F155" s="192">
        <v>1.5162</v>
      </c>
      <c r="G155" s="192">
        <f>F155*4+E155*9+D155*4</f>
        <v>9.0173999999999985</v>
      </c>
      <c r="H155" s="192">
        <v>2.6600000000000002E-2</v>
      </c>
      <c r="I155" s="192">
        <v>1.3300000000000001E-2</v>
      </c>
      <c r="J155" s="192">
        <v>3.9102000000000001</v>
      </c>
      <c r="K155" s="192">
        <v>0</v>
      </c>
      <c r="L155" s="192">
        <v>7.9799999999999996E-2</v>
      </c>
      <c r="M155" s="192">
        <v>13.565999999999999</v>
      </c>
      <c r="N155" s="192">
        <v>23.94</v>
      </c>
      <c r="O155" s="192">
        <v>11.172000000000001</v>
      </c>
      <c r="P155" s="192">
        <v>0.39900000000000002</v>
      </c>
      <c r="Q155" s="211">
        <v>0.13600000000000001</v>
      </c>
      <c r="R155" s="211">
        <v>0</v>
      </c>
      <c r="S155" s="149"/>
    </row>
    <row r="156" spans="1:19" ht="15.75" customHeight="1" x14ac:dyDescent="0.25">
      <c r="A156" s="118">
        <v>278</v>
      </c>
      <c r="B156" s="119" t="s">
        <v>171</v>
      </c>
      <c r="C156" s="191">
        <v>90</v>
      </c>
      <c r="D156" s="86">
        <v>4.2699999999999996</v>
      </c>
      <c r="E156" s="86">
        <v>4.7699999999999996</v>
      </c>
      <c r="F156" s="86">
        <v>5.59</v>
      </c>
      <c r="G156" s="192">
        <f t="shared" ref="G156:G162" si="96">F156*4+E156*9+D156*4</f>
        <v>82.36999999999999</v>
      </c>
      <c r="H156" s="86">
        <v>0.02</v>
      </c>
      <c r="I156" s="86">
        <v>0.03</v>
      </c>
      <c r="J156" s="86">
        <v>0.39</v>
      </c>
      <c r="K156" s="86">
        <v>0.18</v>
      </c>
      <c r="L156" s="86">
        <v>0</v>
      </c>
      <c r="M156" s="86">
        <v>15.2</v>
      </c>
      <c r="N156" s="86">
        <v>48.2</v>
      </c>
      <c r="O156" s="86">
        <v>9.99</v>
      </c>
      <c r="P156" s="86">
        <v>0.47</v>
      </c>
      <c r="Q156" s="192">
        <v>0.96</v>
      </c>
      <c r="R156" s="192">
        <v>0</v>
      </c>
      <c r="S156" s="149"/>
    </row>
    <row r="157" spans="1:19" ht="15.75" customHeight="1" x14ac:dyDescent="0.25">
      <c r="A157" s="246">
        <v>265</v>
      </c>
      <c r="B157" s="119" t="s">
        <v>172</v>
      </c>
      <c r="C157" s="191">
        <v>50</v>
      </c>
      <c r="D157" s="86">
        <v>0.7</v>
      </c>
      <c r="E157" s="86">
        <v>2.4900000000000002</v>
      </c>
      <c r="F157" s="86">
        <v>2.93</v>
      </c>
      <c r="G157" s="192">
        <f t="shared" si="96"/>
        <v>36.93</v>
      </c>
      <c r="H157" s="86">
        <v>0.01</v>
      </c>
      <c r="I157" s="86">
        <v>0.01</v>
      </c>
      <c r="J157" s="86">
        <v>1.9E-2</v>
      </c>
      <c r="K157" s="86">
        <v>0.17</v>
      </c>
      <c r="L157" s="86">
        <v>0</v>
      </c>
      <c r="M157" s="86">
        <v>13.65</v>
      </c>
      <c r="N157" s="86">
        <v>11.36</v>
      </c>
      <c r="O157" s="86">
        <v>2.64</v>
      </c>
      <c r="P157" s="86">
        <v>0.1</v>
      </c>
      <c r="Q157" s="192">
        <v>0.13</v>
      </c>
      <c r="R157" s="192">
        <v>0</v>
      </c>
      <c r="S157" s="149"/>
    </row>
    <row r="158" spans="1:19" ht="15.75" customHeight="1" x14ac:dyDescent="0.25">
      <c r="A158" s="118">
        <v>302</v>
      </c>
      <c r="B158" s="119" t="s">
        <v>213</v>
      </c>
      <c r="C158" s="191">
        <v>150</v>
      </c>
      <c r="D158" s="194">
        <v>7.8</v>
      </c>
      <c r="E158" s="194">
        <v>3.6</v>
      </c>
      <c r="F158" s="194">
        <v>39</v>
      </c>
      <c r="G158" s="192">
        <f t="shared" si="96"/>
        <v>219.6</v>
      </c>
      <c r="H158" s="194">
        <v>0.18</v>
      </c>
      <c r="I158" s="194">
        <v>0.1</v>
      </c>
      <c r="J158" s="194">
        <v>0</v>
      </c>
      <c r="K158" s="194">
        <v>0.35</v>
      </c>
      <c r="L158" s="194">
        <v>0.44</v>
      </c>
      <c r="M158" s="194">
        <v>23.55</v>
      </c>
      <c r="N158" s="194">
        <v>185.6</v>
      </c>
      <c r="O158" s="194">
        <v>123.9</v>
      </c>
      <c r="P158" s="194">
        <v>4.2</v>
      </c>
      <c r="Q158" s="192">
        <v>1.1000000000000001</v>
      </c>
      <c r="R158" s="192">
        <v>0</v>
      </c>
      <c r="S158" s="149"/>
    </row>
    <row r="159" spans="1:19" ht="15.75" customHeight="1" x14ac:dyDescent="0.25">
      <c r="A159" s="118">
        <v>342</v>
      </c>
      <c r="B159" s="119" t="s">
        <v>92</v>
      </c>
      <c r="C159" s="191">
        <v>200</v>
      </c>
      <c r="D159" s="192">
        <v>0.6</v>
      </c>
      <c r="E159" s="192">
        <v>0.4</v>
      </c>
      <c r="F159" s="192">
        <v>10.4</v>
      </c>
      <c r="G159" s="192">
        <f t="shared" si="96"/>
        <v>47.6</v>
      </c>
      <c r="H159" s="192">
        <v>0.02</v>
      </c>
      <c r="I159" s="192">
        <v>0.04</v>
      </c>
      <c r="J159" s="192">
        <v>3.4</v>
      </c>
      <c r="K159" s="192">
        <v>0</v>
      </c>
      <c r="L159" s="192">
        <v>0.4</v>
      </c>
      <c r="M159" s="192">
        <v>21.2</v>
      </c>
      <c r="N159" s="192">
        <v>22.6</v>
      </c>
      <c r="O159" s="192">
        <v>14.6</v>
      </c>
      <c r="P159" s="192">
        <v>3.2</v>
      </c>
      <c r="Q159" s="192">
        <v>0.12</v>
      </c>
      <c r="R159" s="192">
        <v>0</v>
      </c>
      <c r="S159" s="149"/>
    </row>
    <row r="160" spans="1:19" ht="15.75" customHeight="1" x14ac:dyDescent="0.25">
      <c r="A160" s="222" t="s">
        <v>158</v>
      </c>
      <c r="B160" s="119" t="s">
        <v>221</v>
      </c>
      <c r="C160" s="191">
        <v>30</v>
      </c>
      <c r="D160" s="192">
        <v>1.6625000000000001</v>
      </c>
      <c r="E160" s="192">
        <v>0.3</v>
      </c>
      <c r="F160" s="192">
        <v>10.462499999999999</v>
      </c>
      <c r="G160" s="192">
        <f t="shared" si="96"/>
        <v>51.199999999999996</v>
      </c>
      <c r="H160" s="192">
        <v>0.13124999999999998</v>
      </c>
      <c r="I160" s="192">
        <v>8.7499999999999981E-2</v>
      </c>
      <c r="J160" s="192">
        <v>0.17499999999999996</v>
      </c>
      <c r="K160" s="192">
        <v>0</v>
      </c>
      <c r="L160" s="192">
        <v>0.13124999999999998</v>
      </c>
      <c r="M160" s="192">
        <v>31.937499999999996</v>
      </c>
      <c r="N160" s="192">
        <v>54.6875</v>
      </c>
      <c r="O160" s="192">
        <v>17.5</v>
      </c>
      <c r="P160" s="192">
        <v>1.2249999999999999</v>
      </c>
      <c r="Q160" s="192">
        <v>0.3</v>
      </c>
      <c r="R160" s="192">
        <v>0.02</v>
      </c>
      <c r="S160" s="149"/>
    </row>
    <row r="161" spans="1:19" ht="15.75" customHeight="1" x14ac:dyDescent="0.25">
      <c r="A161" s="222" t="s">
        <v>159</v>
      </c>
      <c r="B161" s="116" t="s">
        <v>222</v>
      </c>
      <c r="C161" s="191">
        <v>20</v>
      </c>
      <c r="D161" s="192">
        <f>1.35*2</f>
        <v>2.7</v>
      </c>
      <c r="E161" s="192">
        <f>0.172*2</f>
        <v>0.34399999999999997</v>
      </c>
      <c r="F161" s="192">
        <f>10.03*2</f>
        <v>20.059999999999999</v>
      </c>
      <c r="G161" s="192">
        <f t="shared" si="96"/>
        <v>94.135999999999996</v>
      </c>
      <c r="H161" s="192">
        <v>2.4E-2</v>
      </c>
      <c r="I161" s="192">
        <v>5.0000000000000001E-3</v>
      </c>
      <c r="J161" s="192">
        <v>0</v>
      </c>
      <c r="K161" s="192">
        <v>0</v>
      </c>
      <c r="L161" s="192">
        <v>0.42</v>
      </c>
      <c r="M161" s="192">
        <v>8</v>
      </c>
      <c r="N161" s="192">
        <v>26</v>
      </c>
      <c r="O161" s="192">
        <v>5.6</v>
      </c>
      <c r="P161" s="192">
        <v>0.4</v>
      </c>
      <c r="Q161" s="192">
        <v>0.3</v>
      </c>
      <c r="R161" s="192">
        <v>0</v>
      </c>
      <c r="S161" s="149"/>
    </row>
    <row r="162" spans="1:19" ht="15.75" customHeight="1" x14ac:dyDescent="0.25">
      <c r="A162" s="175"/>
      <c r="B162" s="176" t="s">
        <v>173</v>
      </c>
      <c r="C162" s="215">
        <v>25</v>
      </c>
      <c r="D162" s="86">
        <f>7.5*0.25</f>
        <v>1.875</v>
      </c>
      <c r="E162" s="86">
        <f>18*0.25</f>
        <v>4.5</v>
      </c>
      <c r="F162" s="86">
        <f>67*0.25</f>
        <v>16.75</v>
      </c>
      <c r="G162" s="192">
        <f t="shared" si="96"/>
        <v>115</v>
      </c>
      <c r="H162" s="86">
        <v>0.03</v>
      </c>
      <c r="I162" s="86">
        <v>4.0000000000000001E-3</v>
      </c>
      <c r="J162" s="86">
        <v>0</v>
      </c>
      <c r="K162" s="86">
        <v>0.2</v>
      </c>
      <c r="L162" s="86">
        <v>0</v>
      </c>
      <c r="M162" s="86">
        <v>7.24</v>
      </c>
      <c r="N162" s="86">
        <v>26.87</v>
      </c>
      <c r="O162" s="86">
        <v>5.5</v>
      </c>
      <c r="P162" s="86">
        <v>0.45</v>
      </c>
      <c r="Q162" s="192">
        <v>0</v>
      </c>
      <c r="R162" s="192">
        <v>0</v>
      </c>
      <c r="S162" s="149"/>
    </row>
    <row r="163" spans="1:19" ht="15.75" customHeight="1" x14ac:dyDescent="0.25">
      <c r="A163" s="118"/>
      <c r="B163" s="120"/>
      <c r="C163" s="197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48"/>
    </row>
    <row r="164" spans="1:19" ht="15.75" customHeight="1" x14ac:dyDescent="0.25">
      <c r="A164" s="122"/>
      <c r="B164" s="137" t="s">
        <v>21</v>
      </c>
      <c r="C164" s="188">
        <f>SUM(C155:C162)</f>
        <v>625</v>
      </c>
      <c r="D164" s="124">
        <f t="shared" ref="D164:R164" si="97">SUM(D155:D162)</f>
        <v>20.1661</v>
      </c>
      <c r="E164" s="124">
        <f t="shared" si="97"/>
        <v>16.483800000000002</v>
      </c>
      <c r="F164" s="124">
        <f t="shared" si="97"/>
        <v>106.70869999999999</v>
      </c>
      <c r="G164" s="124">
        <f t="shared" si="97"/>
        <v>655.85339999999997</v>
      </c>
      <c r="H164" s="124">
        <f t="shared" si="97"/>
        <v>0.44184999999999997</v>
      </c>
      <c r="I164" s="124">
        <f t="shared" si="97"/>
        <v>0.2898</v>
      </c>
      <c r="J164" s="124">
        <f t="shared" si="97"/>
        <v>7.8942000000000005</v>
      </c>
      <c r="K164" s="124">
        <f t="shared" si="97"/>
        <v>0.89999999999999991</v>
      </c>
      <c r="L164" s="124">
        <f t="shared" si="97"/>
        <v>1.47105</v>
      </c>
      <c r="M164" s="124">
        <f t="shared" si="97"/>
        <v>134.34350000000001</v>
      </c>
      <c r="N164" s="124">
        <f t="shared" si="97"/>
        <v>399.25750000000005</v>
      </c>
      <c r="O164" s="124">
        <f t="shared" si="97"/>
        <v>190.90199999999999</v>
      </c>
      <c r="P164" s="124">
        <f t="shared" si="97"/>
        <v>10.443999999999999</v>
      </c>
      <c r="Q164" s="124">
        <f t="shared" si="97"/>
        <v>3.0459999999999998</v>
      </c>
      <c r="R164" s="124">
        <f t="shared" si="97"/>
        <v>0.02</v>
      </c>
      <c r="S164" s="148"/>
    </row>
    <row r="165" spans="1:19" ht="15.75" customHeight="1" x14ac:dyDescent="0.25">
      <c r="A165" s="138"/>
      <c r="B165" s="126" t="s">
        <v>98</v>
      </c>
      <c r="C165" s="195"/>
      <c r="D165" s="196">
        <v>19.25</v>
      </c>
      <c r="E165" s="196">
        <v>19.75</v>
      </c>
      <c r="F165" s="196">
        <v>83.75</v>
      </c>
      <c r="G165" s="196">
        <v>587.5</v>
      </c>
      <c r="H165" s="196">
        <v>0.3</v>
      </c>
      <c r="I165" s="196">
        <v>0.35</v>
      </c>
      <c r="J165" s="196">
        <v>15</v>
      </c>
      <c r="K165" s="196">
        <v>0.17499999999999999</v>
      </c>
      <c r="L165" s="196">
        <v>2.5</v>
      </c>
      <c r="M165" s="196">
        <v>275</v>
      </c>
      <c r="N165" s="196">
        <v>412.5</v>
      </c>
      <c r="O165" s="196">
        <v>62.5</v>
      </c>
      <c r="P165" s="196">
        <v>3</v>
      </c>
      <c r="Q165" s="196">
        <v>2.5</v>
      </c>
      <c r="R165" s="196">
        <v>2.5000000000000001E-2</v>
      </c>
      <c r="S165" s="148"/>
    </row>
    <row r="166" spans="1:19" ht="15.75" customHeight="1" x14ac:dyDescent="0.25">
      <c r="A166" s="138"/>
      <c r="B166" s="127" t="s">
        <v>178</v>
      </c>
      <c r="C166" s="195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48"/>
    </row>
    <row r="167" spans="1:19" ht="15.75" customHeight="1" x14ac:dyDescent="0.25">
      <c r="A167" s="115"/>
      <c r="B167" s="116" t="s">
        <v>197</v>
      </c>
      <c r="C167" s="197">
        <v>60</v>
      </c>
      <c r="D167" s="194">
        <v>0.42</v>
      </c>
      <c r="E167" s="194">
        <v>0.06</v>
      </c>
      <c r="F167" s="194">
        <v>1.1399999999999999</v>
      </c>
      <c r="G167" s="194">
        <f>D167*4+E167*9+F167*4</f>
        <v>6.7799999999999994</v>
      </c>
      <c r="H167" s="194">
        <v>2.4E-2</v>
      </c>
      <c r="I167" s="194">
        <v>1.2E-2</v>
      </c>
      <c r="J167" s="194">
        <v>2.94</v>
      </c>
      <c r="K167" s="194">
        <v>0</v>
      </c>
      <c r="L167" s="194">
        <v>0</v>
      </c>
      <c r="M167" s="194">
        <v>10.199999999999999</v>
      </c>
      <c r="N167" s="194">
        <v>18</v>
      </c>
      <c r="O167" s="194">
        <v>8.4</v>
      </c>
      <c r="P167" s="194">
        <v>0.3</v>
      </c>
      <c r="Q167" s="194">
        <v>0.12</v>
      </c>
      <c r="R167" s="201">
        <v>0</v>
      </c>
      <c r="S167" s="148"/>
    </row>
    <row r="168" spans="1:19" ht="15.75" customHeight="1" x14ac:dyDescent="0.25">
      <c r="A168" s="161" t="s">
        <v>198</v>
      </c>
      <c r="B168" s="162" t="s">
        <v>199</v>
      </c>
      <c r="C168" s="212">
        <v>200</v>
      </c>
      <c r="D168" s="194">
        <v>2.38</v>
      </c>
      <c r="E168" s="194">
        <v>5.077</v>
      </c>
      <c r="F168" s="194">
        <v>12.9</v>
      </c>
      <c r="G168" s="194">
        <f t="shared" ref="G168:G173" si="98">D168*4+E168*9+F168*4</f>
        <v>106.81299999999999</v>
      </c>
      <c r="H168" s="194">
        <v>5.5E-2</v>
      </c>
      <c r="I168" s="194">
        <v>2.1999999999999999E-2</v>
      </c>
      <c r="J168" s="194">
        <v>0.95</v>
      </c>
      <c r="K168" s="194">
        <v>0</v>
      </c>
      <c r="L168" s="194">
        <v>0.2</v>
      </c>
      <c r="M168" s="194">
        <v>27.3</v>
      </c>
      <c r="N168" s="194">
        <v>36.770000000000003</v>
      </c>
      <c r="O168" s="194">
        <v>15.22</v>
      </c>
      <c r="P168" s="194">
        <v>0.72</v>
      </c>
      <c r="Q168" s="194">
        <v>0.21</v>
      </c>
      <c r="R168" s="201">
        <v>0</v>
      </c>
      <c r="S168" s="148"/>
    </row>
    <row r="169" spans="1:19" ht="15.75" customHeight="1" x14ac:dyDescent="0.25">
      <c r="A169" s="154">
        <v>234</v>
      </c>
      <c r="B169" s="154" t="s">
        <v>200</v>
      </c>
      <c r="C169" s="189">
        <v>90</v>
      </c>
      <c r="D169" s="194">
        <v>6.99</v>
      </c>
      <c r="E169" s="194">
        <v>5.8</v>
      </c>
      <c r="F169" s="194">
        <v>9.9700000000000006</v>
      </c>
      <c r="G169" s="194">
        <f t="shared" si="98"/>
        <v>120.03999999999999</v>
      </c>
      <c r="H169" s="194">
        <v>4.7E-2</v>
      </c>
      <c r="I169" s="194">
        <v>7.0000000000000007E-2</v>
      </c>
      <c r="J169" s="194">
        <v>0.88</v>
      </c>
      <c r="K169" s="194">
        <v>0.15</v>
      </c>
      <c r="L169" s="194">
        <v>0.4</v>
      </c>
      <c r="M169" s="194">
        <v>40.92</v>
      </c>
      <c r="N169" s="194">
        <v>92.31</v>
      </c>
      <c r="O169" s="194">
        <v>27.56</v>
      </c>
      <c r="P169" s="194">
        <v>0.77</v>
      </c>
      <c r="Q169" s="194">
        <v>0.9</v>
      </c>
      <c r="R169" s="201">
        <v>0.86</v>
      </c>
      <c r="S169" s="148"/>
    </row>
    <row r="170" spans="1:19" ht="15.75" customHeight="1" x14ac:dyDescent="0.25">
      <c r="A170" s="247">
        <v>125</v>
      </c>
      <c r="B170" s="158" t="s">
        <v>84</v>
      </c>
      <c r="C170" s="212">
        <v>150</v>
      </c>
      <c r="D170" s="86">
        <v>2.67</v>
      </c>
      <c r="E170" s="86">
        <v>5.24</v>
      </c>
      <c r="F170" s="86">
        <v>18.54</v>
      </c>
      <c r="G170" s="194">
        <f t="shared" si="98"/>
        <v>132</v>
      </c>
      <c r="H170" s="86">
        <v>0.15</v>
      </c>
      <c r="I170" s="86">
        <v>0.1</v>
      </c>
      <c r="J170" s="86">
        <v>19.11</v>
      </c>
      <c r="K170" s="86">
        <v>0.08</v>
      </c>
      <c r="L170" s="86">
        <v>0</v>
      </c>
      <c r="M170" s="86">
        <v>18.100000000000001</v>
      </c>
      <c r="N170" s="86">
        <v>73.900000000000006</v>
      </c>
      <c r="O170" s="86">
        <v>26.92</v>
      </c>
      <c r="P170" s="145">
        <v>1.08</v>
      </c>
      <c r="Q170" s="86">
        <v>0.37</v>
      </c>
      <c r="R170" s="201">
        <v>0</v>
      </c>
      <c r="S170" s="148"/>
    </row>
    <row r="171" spans="1:19" ht="15.75" customHeight="1" x14ac:dyDescent="0.25">
      <c r="A171" s="116">
        <v>397</v>
      </c>
      <c r="B171" s="116" t="s">
        <v>245</v>
      </c>
      <c r="C171" s="197">
        <v>200</v>
      </c>
      <c r="D171" s="199">
        <v>0.12</v>
      </c>
      <c r="E171" s="199">
        <v>0.1</v>
      </c>
      <c r="F171" s="199">
        <v>27.5</v>
      </c>
      <c r="G171" s="86">
        <f t="shared" si="98"/>
        <v>111.38</v>
      </c>
      <c r="H171" s="199">
        <v>0.01</v>
      </c>
      <c r="I171" s="199" t="s">
        <v>185</v>
      </c>
      <c r="J171" s="199">
        <v>2.0699999999999998</v>
      </c>
      <c r="K171" s="199">
        <v>0</v>
      </c>
      <c r="L171" s="199">
        <v>0</v>
      </c>
      <c r="M171" s="199">
        <v>16.2</v>
      </c>
      <c r="N171" s="199">
        <v>7.2</v>
      </c>
      <c r="O171" s="199">
        <v>7.51</v>
      </c>
      <c r="P171" s="202">
        <v>0.89</v>
      </c>
      <c r="Q171" s="199">
        <v>7.0000000000000007E-2</v>
      </c>
      <c r="R171" s="201">
        <v>0</v>
      </c>
      <c r="S171" s="148"/>
    </row>
    <row r="172" spans="1:19" ht="15.75" customHeight="1" x14ac:dyDescent="0.25">
      <c r="A172" s="222" t="s">
        <v>215</v>
      </c>
      <c r="B172" s="119" t="s">
        <v>223</v>
      </c>
      <c r="C172" s="197">
        <v>45</v>
      </c>
      <c r="D172" s="213">
        <v>4.05</v>
      </c>
      <c r="E172" s="213">
        <v>0.51</v>
      </c>
      <c r="F172" s="213">
        <v>30.09</v>
      </c>
      <c r="G172" s="86">
        <f t="shared" si="98"/>
        <v>141.15</v>
      </c>
      <c r="H172" s="213">
        <v>0.06</v>
      </c>
      <c r="I172" s="213" t="s">
        <v>193</v>
      </c>
      <c r="J172" s="213">
        <v>0</v>
      </c>
      <c r="K172" s="213">
        <v>0</v>
      </c>
      <c r="L172" s="213">
        <v>0.66</v>
      </c>
      <c r="M172" s="213">
        <v>12</v>
      </c>
      <c r="N172" s="213">
        <v>39</v>
      </c>
      <c r="O172" s="213">
        <v>8.4</v>
      </c>
      <c r="P172" s="213">
        <v>0.66</v>
      </c>
      <c r="Q172" s="213">
        <v>0</v>
      </c>
      <c r="R172" s="201">
        <v>0</v>
      </c>
      <c r="S172" s="148"/>
    </row>
    <row r="173" spans="1:19" ht="15.75" customHeight="1" x14ac:dyDescent="0.25">
      <c r="A173" s="223" t="s">
        <v>159</v>
      </c>
      <c r="B173" s="116" t="s">
        <v>224</v>
      </c>
      <c r="C173" s="197">
        <v>24</v>
      </c>
      <c r="D173" s="199">
        <v>2.66</v>
      </c>
      <c r="E173" s="199">
        <v>0.48</v>
      </c>
      <c r="F173" s="199">
        <v>16.739999999999998</v>
      </c>
      <c r="G173" s="194">
        <f t="shared" si="98"/>
        <v>81.919999999999987</v>
      </c>
      <c r="H173" s="199">
        <v>0.22</v>
      </c>
      <c r="I173" s="199">
        <v>0.14000000000000001</v>
      </c>
      <c r="J173" s="199">
        <v>0.28000000000000003</v>
      </c>
      <c r="K173" s="199">
        <v>0</v>
      </c>
      <c r="L173" s="199">
        <v>0.22</v>
      </c>
      <c r="M173" s="199">
        <v>51.1</v>
      </c>
      <c r="N173" s="199">
        <v>87.5</v>
      </c>
      <c r="O173" s="199">
        <v>28</v>
      </c>
      <c r="P173" s="202">
        <v>1.96</v>
      </c>
      <c r="Q173" s="199">
        <v>0</v>
      </c>
      <c r="R173" s="201">
        <v>0.04</v>
      </c>
      <c r="S173" s="148"/>
    </row>
    <row r="174" spans="1:19" ht="15.75" customHeight="1" x14ac:dyDescent="0.25">
      <c r="A174" s="116"/>
      <c r="B174" s="116" t="s">
        <v>210</v>
      </c>
      <c r="C174" s="197">
        <v>120</v>
      </c>
      <c r="D174" s="194">
        <v>1.08</v>
      </c>
      <c r="E174" s="194">
        <v>0.12</v>
      </c>
      <c r="F174" s="194">
        <v>10.8</v>
      </c>
      <c r="G174" s="199">
        <f>D174*4+E174*9+F174*4</f>
        <v>48.6</v>
      </c>
      <c r="H174" s="194">
        <v>0.03</v>
      </c>
      <c r="I174" s="194">
        <v>0.06</v>
      </c>
      <c r="J174" s="194">
        <v>12</v>
      </c>
      <c r="K174" s="194">
        <v>0</v>
      </c>
      <c r="L174" s="194">
        <v>1.32</v>
      </c>
      <c r="M174" s="194">
        <v>33.6</v>
      </c>
      <c r="N174" s="194">
        <v>31.2</v>
      </c>
      <c r="O174" s="194">
        <v>9.6</v>
      </c>
      <c r="P174" s="194">
        <v>0.84</v>
      </c>
      <c r="Q174" s="194">
        <v>0.09</v>
      </c>
      <c r="R174" s="201">
        <v>0</v>
      </c>
      <c r="S174" s="148"/>
    </row>
    <row r="175" spans="1:19" ht="15.75" customHeight="1" x14ac:dyDescent="0.25">
      <c r="A175" s="139"/>
      <c r="B175" s="140" t="s">
        <v>21</v>
      </c>
      <c r="C175" s="141">
        <f t="shared" ref="C175:R175" si="99">SUM(C167:C174)</f>
        <v>889</v>
      </c>
      <c r="D175" s="133">
        <f t="shared" si="99"/>
        <v>20.369999999999997</v>
      </c>
      <c r="E175" s="133">
        <f t="shared" si="99"/>
        <v>17.387000000000004</v>
      </c>
      <c r="F175" s="133">
        <f t="shared" si="99"/>
        <v>127.67999999999999</v>
      </c>
      <c r="G175" s="133">
        <f t="shared" si="99"/>
        <v>748.68299999999999</v>
      </c>
      <c r="H175" s="133">
        <f t="shared" si="99"/>
        <v>0.59600000000000009</v>
      </c>
      <c r="I175" s="133">
        <f t="shared" si="99"/>
        <v>0.40400000000000003</v>
      </c>
      <c r="J175" s="133">
        <f t="shared" si="99"/>
        <v>38.230000000000004</v>
      </c>
      <c r="K175" s="133">
        <f t="shared" si="99"/>
        <v>0.22999999999999998</v>
      </c>
      <c r="L175" s="133">
        <f t="shared" si="99"/>
        <v>2.8000000000000003</v>
      </c>
      <c r="M175" s="133">
        <f t="shared" si="99"/>
        <v>209.42000000000002</v>
      </c>
      <c r="N175" s="133">
        <f t="shared" si="99"/>
        <v>385.88</v>
      </c>
      <c r="O175" s="133">
        <f t="shared" si="99"/>
        <v>131.61000000000001</v>
      </c>
      <c r="P175" s="133">
        <f t="shared" si="99"/>
        <v>7.22</v>
      </c>
      <c r="Q175" s="133">
        <f t="shared" si="99"/>
        <v>1.7600000000000002</v>
      </c>
      <c r="R175" s="133">
        <f t="shared" si="99"/>
        <v>0.9</v>
      </c>
      <c r="S175" s="148"/>
    </row>
    <row r="176" spans="1:19" ht="15.75" customHeight="1" x14ac:dyDescent="0.25">
      <c r="A176" s="138"/>
      <c r="B176" s="131" t="s">
        <v>181</v>
      </c>
      <c r="C176" s="189">
        <f>SUM(C175:R175+C164:R164)</f>
        <v>1514</v>
      </c>
      <c r="D176" s="86">
        <f t="shared" ref="D176:R176" si="100">SUM(D175)</f>
        <v>20.369999999999997</v>
      </c>
      <c r="E176" s="86">
        <f t="shared" si="100"/>
        <v>17.387000000000004</v>
      </c>
      <c r="F176" s="86">
        <f t="shared" si="100"/>
        <v>127.67999999999999</v>
      </c>
      <c r="G176" s="86">
        <f t="shared" si="100"/>
        <v>748.68299999999999</v>
      </c>
      <c r="H176" s="86">
        <f t="shared" si="100"/>
        <v>0.59600000000000009</v>
      </c>
      <c r="I176" s="86">
        <f t="shared" si="100"/>
        <v>0.40400000000000003</v>
      </c>
      <c r="J176" s="86">
        <f t="shared" si="100"/>
        <v>38.230000000000004</v>
      </c>
      <c r="K176" s="86">
        <f t="shared" si="100"/>
        <v>0.22999999999999998</v>
      </c>
      <c r="L176" s="86">
        <f t="shared" si="100"/>
        <v>2.8000000000000003</v>
      </c>
      <c r="M176" s="86">
        <f t="shared" si="100"/>
        <v>209.42000000000002</v>
      </c>
      <c r="N176" s="86">
        <f t="shared" si="100"/>
        <v>385.88</v>
      </c>
      <c r="O176" s="86">
        <f t="shared" si="100"/>
        <v>131.61000000000001</v>
      </c>
      <c r="P176" s="86">
        <f t="shared" si="100"/>
        <v>7.22</v>
      </c>
      <c r="Q176" s="86">
        <f t="shared" si="100"/>
        <v>1.7600000000000002</v>
      </c>
      <c r="R176" s="86">
        <f t="shared" si="100"/>
        <v>0.9</v>
      </c>
      <c r="S176" s="148"/>
    </row>
    <row r="177" spans="1:19" ht="15.75" customHeight="1" x14ac:dyDescent="0.25">
      <c r="A177" s="241"/>
      <c r="B177" s="242"/>
      <c r="C177" s="243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148"/>
    </row>
    <row r="178" spans="1:19" ht="15.75" customHeight="1" x14ac:dyDescent="0.25">
      <c r="A178" s="218"/>
      <c r="B178" s="228" t="s">
        <v>189</v>
      </c>
      <c r="C178" s="303" t="s">
        <v>177</v>
      </c>
      <c r="D178" s="301" t="s">
        <v>148</v>
      </c>
      <c r="E178" s="301"/>
      <c r="F178" s="301"/>
      <c r="G178" s="304" t="s">
        <v>149</v>
      </c>
      <c r="H178" s="301" t="s">
        <v>150</v>
      </c>
      <c r="I178" s="301"/>
      <c r="J178" s="301"/>
      <c r="K178" s="301"/>
      <c r="L178" s="301"/>
      <c r="M178" s="296" t="s">
        <v>151</v>
      </c>
      <c r="N178" s="297"/>
      <c r="O178" s="297"/>
      <c r="P178" s="297"/>
      <c r="Q178" s="297"/>
      <c r="R178" s="298"/>
      <c r="S178" s="148"/>
    </row>
    <row r="179" spans="1:19" ht="15.75" customHeight="1" x14ac:dyDescent="0.25">
      <c r="A179" s="284" t="s">
        <v>204</v>
      </c>
      <c r="B179" s="285"/>
      <c r="C179" s="287"/>
      <c r="D179" s="170" t="s">
        <v>0</v>
      </c>
      <c r="E179" s="170" t="s">
        <v>1</v>
      </c>
      <c r="F179" s="170" t="s">
        <v>2</v>
      </c>
      <c r="G179" s="293"/>
      <c r="H179" s="170" t="s">
        <v>41</v>
      </c>
      <c r="I179" s="170" t="s">
        <v>45</v>
      </c>
      <c r="J179" s="170" t="s">
        <v>42</v>
      </c>
      <c r="K179" s="170" t="s">
        <v>43</v>
      </c>
      <c r="L179" s="170" t="s">
        <v>44</v>
      </c>
      <c r="M179" s="170" t="s">
        <v>46</v>
      </c>
      <c r="N179" s="170" t="s">
        <v>47</v>
      </c>
      <c r="O179" s="170" t="s">
        <v>48</v>
      </c>
      <c r="P179" s="170" t="s">
        <v>49</v>
      </c>
      <c r="Q179" s="170" t="s">
        <v>100</v>
      </c>
      <c r="R179" s="170" t="s">
        <v>99</v>
      </c>
      <c r="S179" s="148"/>
    </row>
    <row r="180" spans="1:19" ht="15.75" customHeight="1" x14ac:dyDescent="0.25">
      <c r="A180" s="269"/>
      <c r="B180" s="272" t="s">
        <v>237</v>
      </c>
      <c r="C180" s="273">
        <v>10</v>
      </c>
      <c r="D180" s="270"/>
      <c r="E180" s="270"/>
      <c r="F180" s="270"/>
      <c r="G180" s="271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148"/>
    </row>
    <row r="181" spans="1:19" ht="15.75" customHeight="1" x14ac:dyDescent="0.25">
      <c r="A181" s="118">
        <v>222</v>
      </c>
      <c r="B181" s="119" t="s">
        <v>236</v>
      </c>
      <c r="C181" s="191">
        <v>150</v>
      </c>
      <c r="D181" s="86">
        <v>16.48</v>
      </c>
      <c r="E181" s="86">
        <v>13.92</v>
      </c>
      <c r="F181" s="86">
        <v>33.479999999999997</v>
      </c>
      <c r="G181" s="86">
        <f>F181*4+E181*9+D181*4</f>
        <v>325.12</v>
      </c>
      <c r="H181" s="86">
        <v>0.1</v>
      </c>
      <c r="I181" s="86">
        <v>0.26</v>
      </c>
      <c r="J181" s="86">
        <v>0.42</v>
      </c>
      <c r="K181" s="86">
        <v>0.83</v>
      </c>
      <c r="L181" s="86">
        <v>0</v>
      </c>
      <c r="M181" s="86">
        <v>170.72</v>
      </c>
      <c r="N181" s="86">
        <v>224.08</v>
      </c>
      <c r="O181" s="86">
        <v>29.82</v>
      </c>
      <c r="P181" s="86">
        <v>1.18</v>
      </c>
      <c r="Q181" s="192">
        <v>0.59</v>
      </c>
      <c r="R181" s="216">
        <v>0</v>
      </c>
      <c r="S181" s="163"/>
    </row>
    <row r="182" spans="1:19" ht="15.75" customHeight="1" x14ac:dyDescent="0.25">
      <c r="A182" s="136">
        <v>12</v>
      </c>
      <c r="B182" s="177" t="s">
        <v>91</v>
      </c>
      <c r="C182" s="190">
        <v>30</v>
      </c>
      <c r="D182" s="192">
        <v>1.1278195488721805</v>
      </c>
      <c r="E182" s="192">
        <v>3.0075187969924809E-3</v>
      </c>
      <c r="F182" s="192">
        <v>8.5413533834586453</v>
      </c>
      <c r="G182" s="86">
        <f t="shared" ref="G182:G185" si="101">F182*4+E182*9+D182*4</f>
        <v>38.703759398496231</v>
      </c>
      <c r="H182" s="192">
        <v>7.5187969924812026E-3</v>
      </c>
      <c r="I182" s="192">
        <v>2.2556390977443608E-2</v>
      </c>
      <c r="J182" s="192">
        <v>0.15037593984962405</v>
      </c>
      <c r="K182" s="192">
        <v>0</v>
      </c>
      <c r="L182" s="192">
        <v>0</v>
      </c>
      <c r="M182" s="192">
        <v>47.669172932330824</v>
      </c>
      <c r="N182" s="192">
        <v>34.436090225563909</v>
      </c>
      <c r="O182" s="192">
        <v>5.1127819548872173</v>
      </c>
      <c r="P182" s="192">
        <v>3.007518796992481E-2</v>
      </c>
      <c r="Q182" s="192">
        <v>0.15</v>
      </c>
      <c r="R182" s="216">
        <v>0</v>
      </c>
      <c r="S182" s="148"/>
    </row>
    <row r="183" spans="1:19" ht="15.75" customHeight="1" x14ac:dyDescent="0.25">
      <c r="A183" s="118">
        <v>397</v>
      </c>
      <c r="B183" s="119" t="s">
        <v>6</v>
      </c>
      <c r="C183" s="191">
        <v>200</v>
      </c>
      <c r="D183" s="194">
        <v>4.07</v>
      </c>
      <c r="E183" s="194">
        <v>3.5</v>
      </c>
      <c r="F183" s="194">
        <v>17.5</v>
      </c>
      <c r="G183" s="86">
        <f t="shared" si="101"/>
        <v>117.78</v>
      </c>
      <c r="H183" s="194">
        <f>0.28*0.18</f>
        <v>5.04E-2</v>
      </c>
      <c r="I183" s="194">
        <v>0.18</v>
      </c>
      <c r="J183" s="194">
        <v>1.57</v>
      </c>
      <c r="K183" s="194">
        <v>0.24</v>
      </c>
      <c r="L183" s="194">
        <v>0</v>
      </c>
      <c r="M183" s="194">
        <v>152.19999999999999</v>
      </c>
      <c r="N183" s="194">
        <v>124.5</v>
      </c>
      <c r="O183" s="194">
        <v>21.34</v>
      </c>
      <c r="P183" s="194">
        <v>0.47</v>
      </c>
      <c r="Q183" s="192">
        <v>0.5</v>
      </c>
      <c r="R183" s="216">
        <v>0</v>
      </c>
      <c r="S183" s="148"/>
    </row>
    <row r="184" spans="1:19" ht="15.75" customHeight="1" x14ac:dyDescent="0.25">
      <c r="A184" s="222" t="s">
        <v>158</v>
      </c>
      <c r="B184" s="119" t="s">
        <v>221</v>
      </c>
      <c r="C184" s="191">
        <v>30</v>
      </c>
      <c r="D184" s="192">
        <f>1.35*2</f>
        <v>2.7</v>
      </c>
      <c r="E184" s="192">
        <f>0.172*2</f>
        <v>0.34399999999999997</v>
      </c>
      <c r="F184" s="192">
        <f>10.03*2</f>
        <v>20.059999999999999</v>
      </c>
      <c r="G184" s="192">
        <f t="shared" si="101"/>
        <v>94.135999999999996</v>
      </c>
      <c r="H184" s="192">
        <v>2.4E-2</v>
      </c>
      <c r="I184" s="192">
        <v>5.0000000000000001E-3</v>
      </c>
      <c r="J184" s="192">
        <v>0</v>
      </c>
      <c r="K184" s="192">
        <v>0</v>
      </c>
      <c r="L184" s="192">
        <v>0.42</v>
      </c>
      <c r="M184" s="192">
        <v>8</v>
      </c>
      <c r="N184" s="192">
        <v>26</v>
      </c>
      <c r="O184" s="192">
        <v>5.6</v>
      </c>
      <c r="P184" s="192">
        <v>0.4</v>
      </c>
      <c r="Q184" s="192">
        <v>0.3</v>
      </c>
      <c r="R184" s="216">
        <v>0</v>
      </c>
      <c r="S184" s="148"/>
    </row>
    <row r="185" spans="1:19" ht="15.75" customHeight="1" x14ac:dyDescent="0.25">
      <c r="A185" s="173"/>
      <c r="B185" s="119" t="s">
        <v>182</v>
      </c>
      <c r="C185" s="191">
        <v>150</v>
      </c>
      <c r="D185" s="194">
        <f>5*1.8</f>
        <v>9</v>
      </c>
      <c r="E185" s="194">
        <f>3.2*1.8</f>
        <v>5.7600000000000007</v>
      </c>
      <c r="F185" s="194">
        <f>3.5*1.8</f>
        <v>6.3</v>
      </c>
      <c r="G185" s="86">
        <f t="shared" si="101"/>
        <v>113.04</v>
      </c>
      <c r="H185" s="194">
        <f>0.04*0.75</f>
        <v>0.03</v>
      </c>
      <c r="I185" s="194">
        <v>0.26</v>
      </c>
      <c r="J185" s="194">
        <v>0.54</v>
      </c>
      <c r="K185" s="194">
        <v>0.36</v>
      </c>
      <c r="L185" s="194">
        <v>0</v>
      </c>
      <c r="M185" s="194">
        <v>223.2</v>
      </c>
      <c r="N185" s="194">
        <v>165.6</v>
      </c>
      <c r="O185" s="194">
        <v>25.2</v>
      </c>
      <c r="P185" s="194">
        <v>0.18</v>
      </c>
      <c r="Q185" s="192">
        <v>0.72</v>
      </c>
      <c r="R185" s="216">
        <v>0</v>
      </c>
      <c r="S185" s="148"/>
    </row>
    <row r="186" spans="1:19" ht="15.75" customHeight="1" x14ac:dyDescent="0.25">
      <c r="A186" s="118"/>
      <c r="B186" s="126"/>
      <c r="C186" s="195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48"/>
    </row>
    <row r="187" spans="1:19" ht="15.75" customHeight="1" x14ac:dyDescent="0.25">
      <c r="A187" s="122"/>
      <c r="B187" s="137" t="s">
        <v>21</v>
      </c>
      <c r="C187" s="188">
        <f>SUM(C176:C184)</f>
        <v>1934</v>
      </c>
      <c r="D187" s="124">
        <f>SUM(D176:D184)</f>
        <v>44.747819548872179</v>
      </c>
      <c r="E187" s="124">
        <f>SUM(E176:E184)</f>
        <v>35.154007518796995</v>
      </c>
      <c r="F187" s="124">
        <f>SUM(F176:F184)</f>
        <v>207.26135338345864</v>
      </c>
      <c r="G187" s="178">
        <f>SUM(G176:G183)</f>
        <v>1230.2867593984961</v>
      </c>
      <c r="H187" s="124">
        <f>SUM(H176:H184)</f>
        <v>0.77791879699248123</v>
      </c>
      <c r="I187" s="124">
        <f>SUM(I176:I183)</f>
        <v>0.86655639097744364</v>
      </c>
      <c r="J187" s="124">
        <f>SUM(J176:J184)</f>
        <v>40.37037593984963</v>
      </c>
      <c r="K187" s="124">
        <f>SUM(K176:K183)</f>
        <v>1.3</v>
      </c>
      <c r="L187" s="124">
        <f>SUM(L176:L184)</f>
        <v>3.22</v>
      </c>
      <c r="M187" s="124">
        <f>SUM(M176:M184)</f>
        <v>588.00917293233078</v>
      </c>
      <c r="N187" s="124">
        <f>SUM(N176:N184)</f>
        <v>794.89609022556397</v>
      </c>
      <c r="O187" s="124">
        <f>SUM(O176:O183)</f>
        <v>187.88278195488724</v>
      </c>
      <c r="P187" s="124">
        <f>SUM(P176:P183)</f>
        <v>8.9000751879699251</v>
      </c>
      <c r="Q187" s="124">
        <f>SUM(Q176:Q184)</f>
        <v>3.3</v>
      </c>
      <c r="R187" s="124">
        <f>SUM(R176:R184)</f>
        <v>0.9</v>
      </c>
      <c r="S187" s="148"/>
    </row>
    <row r="188" spans="1:19" ht="15.75" customHeight="1" x14ac:dyDescent="0.25">
      <c r="A188" s="138"/>
      <c r="B188" s="126" t="s">
        <v>98</v>
      </c>
      <c r="C188" s="195"/>
      <c r="D188" s="196">
        <v>19.25</v>
      </c>
      <c r="E188" s="196">
        <v>19.75</v>
      </c>
      <c r="F188" s="196">
        <v>83.75</v>
      </c>
      <c r="G188" s="196">
        <v>587.5</v>
      </c>
      <c r="H188" s="196">
        <v>0.3</v>
      </c>
      <c r="I188" s="196">
        <v>0.35</v>
      </c>
      <c r="J188" s="196">
        <v>15</v>
      </c>
      <c r="K188" s="196">
        <f>SUM(J176:J184)</f>
        <v>40.37037593984963</v>
      </c>
      <c r="L188" s="196">
        <v>2.5</v>
      </c>
      <c r="M188" s="196">
        <v>275</v>
      </c>
      <c r="N188" s="196">
        <v>412.5</v>
      </c>
      <c r="O188" s="196">
        <v>62.5</v>
      </c>
      <c r="P188" s="196">
        <v>3</v>
      </c>
      <c r="Q188" s="196">
        <v>2.5</v>
      </c>
      <c r="R188" s="196">
        <v>2.5000000000000001E-2</v>
      </c>
      <c r="S188" s="148"/>
    </row>
    <row r="189" spans="1:19" ht="15.75" customHeight="1" x14ac:dyDescent="0.25">
      <c r="A189" s="142"/>
      <c r="B189" s="127" t="s">
        <v>178</v>
      </c>
      <c r="C189" s="190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8"/>
    </row>
    <row r="190" spans="1:19" ht="15.75" customHeight="1" x14ac:dyDescent="0.25">
      <c r="A190" s="157" t="s">
        <v>201</v>
      </c>
      <c r="B190" s="154" t="s">
        <v>202</v>
      </c>
      <c r="C190" s="189">
        <v>200</v>
      </c>
      <c r="D190" s="198">
        <v>1.59</v>
      </c>
      <c r="E190" s="198">
        <v>4.9000000000000004</v>
      </c>
      <c r="F190" s="198">
        <v>9.15</v>
      </c>
      <c r="G190" s="198">
        <f t="shared" ref="G190:G191" si="102">D190*4+E190*9+F190*4</f>
        <v>87.06</v>
      </c>
      <c r="H190" s="198">
        <v>7.0000000000000007E-2</v>
      </c>
      <c r="I190" s="198">
        <v>0.05</v>
      </c>
      <c r="J190" s="198">
        <v>10.38</v>
      </c>
      <c r="K190" s="198">
        <v>0</v>
      </c>
      <c r="L190" s="198">
        <v>0.3</v>
      </c>
      <c r="M190" s="198">
        <v>34.85</v>
      </c>
      <c r="N190" s="198">
        <v>49.28</v>
      </c>
      <c r="O190" s="198">
        <v>20.75</v>
      </c>
      <c r="P190" s="200">
        <v>0.78</v>
      </c>
      <c r="Q190" s="198">
        <v>0.57999999999999996</v>
      </c>
      <c r="R190" s="201">
        <v>0.01</v>
      </c>
      <c r="S190" s="148"/>
    </row>
    <row r="191" spans="1:19" ht="15.75" customHeight="1" x14ac:dyDescent="0.25">
      <c r="A191" s="157">
        <v>267</v>
      </c>
      <c r="B191" s="154" t="s">
        <v>203</v>
      </c>
      <c r="C191" s="189">
        <v>90</v>
      </c>
      <c r="D191" s="198">
        <v>13.2</v>
      </c>
      <c r="E191" s="198">
        <v>18.8</v>
      </c>
      <c r="F191" s="198">
        <v>9.1</v>
      </c>
      <c r="G191" s="198">
        <f t="shared" si="102"/>
        <v>258.39999999999998</v>
      </c>
      <c r="H191" s="198">
        <v>0.09</v>
      </c>
      <c r="I191" s="198">
        <v>0.18</v>
      </c>
      <c r="J191" s="198">
        <v>0</v>
      </c>
      <c r="K191" s="198">
        <v>0.45</v>
      </c>
      <c r="L191" s="198">
        <v>0.3</v>
      </c>
      <c r="M191" s="198">
        <v>18.329999999999998</v>
      </c>
      <c r="N191" s="198">
        <v>208.98</v>
      </c>
      <c r="O191" s="198">
        <v>32.299999999999997</v>
      </c>
      <c r="P191" s="200">
        <v>3.81</v>
      </c>
      <c r="Q191" s="198">
        <v>1.86</v>
      </c>
      <c r="R191" s="201">
        <v>0.06</v>
      </c>
      <c r="S191" s="148"/>
    </row>
    <row r="192" spans="1:19" ht="15.75" customHeight="1" x14ac:dyDescent="0.25">
      <c r="A192" s="128"/>
      <c r="B192" s="116" t="s">
        <v>225</v>
      </c>
      <c r="C192" s="203">
        <v>150</v>
      </c>
      <c r="D192" s="194">
        <v>3.2</v>
      </c>
      <c r="E192" s="194">
        <v>5.2</v>
      </c>
      <c r="F192" s="194">
        <v>20.8</v>
      </c>
      <c r="G192" s="199">
        <f>D192*4+E192*9+F192*4</f>
        <v>142.80000000000001</v>
      </c>
      <c r="H192" s="194">
        <v>0.06</v>
      </c>
      <c r="I192" s="194">
        <v>0.02</v>
      </c>
      <c r="J192" s="194">
        <v>0</v>
      </c>
      <c r="K192" s="194">
        <v>0</v>
      </c>
      <c r="L192" s="198">
        <v>0.5</v>
      </c>
      <c r="M192" s="194">
        <v>26.82</v>
      </c>
      <c r="N192" s="194">
        <v>111.2</v>
      </c>
      <c r="O192" s="194">
        <v>15.99</v>
      </c>
      <c r="P192" s="194">
        <v>0.57999999999999996</v>
      </c>
      <c r="Q192" s="194">
        <v>0</v>
      </c>
      <c r="R192" s="201">
        <v>0</v>
      </c>
      <c r="S192" s="148"/>
    </row>
    <row r="193" spans="1:19" ht="15.75" customHeight="1" x14ac:dyDescent="0.25">
      <c r="A193" s="154"/>
      <c r="B193" s="154" t="s">
        <v>238</v>
      </c>
      <c r="C193" s="189">
        <v>200</v>
      </c>
      <c r="D193" s="207">
        <v>1</v>
      </c>
      <c r="E193" s="207">
        <v>0</v>
      </c>
      <c r="F193" s="207">
        <v>20.200000000000003</v>
      </c>
      <c r="G193" s="199">
        <f t="shared" ref="G193" si="103">D193*4+E193*9+F193*4</f>
        <v>84.800000000000011</v>
      </c>
      <c r="H193" s="194">
        <v>2.2000000000000002E-2</v>
      </c>
      <c r="I193" s="194">
        <v>2.2000000000000002E-2</v>
      </c>
      <c r="J193" s="194">
        <v>4</v>
      </c>
      <c r="K193" s="194">
        <v>0</v>
      </c>
      <c r="L193" s="194">
        <v>0.2</v>
      </c>
      <c r="M193" s="194">
        <v>14</v>
      </c>
      <c r="N193" s="194">
        <v>14</v>
      </c>
      <c r="O193" s="194">
        <v>8</v>
      </c>
      <c r="P193" s="194">
        <v>2.8000000000000003</v>
      </c>
      <c r="Q193" s="194">
        <v>0</v>
      </c>
      <c r="R193" s="201">
        <v>0</v>
      </c>
      <c r="S193" s="148"/>
    </row>
    <row r="194" spans="1:19" ht="15.75" customHeight="1" x14ac:dyDescent="0.25">
      <c r="A194" s="222" t="s">
        <v>215</v>
      </c>
      <c r="B194" s="119" t="s">
        <v>223</v>
      </c>
      <c r="C194" s="197">
        <v>45</v>
      </c>
      <c r="D194" s="213">
        <v>2.7</v>
      </c>
      <c r="E194" s="213">
        <v>0.34</v>
      </c>
      <c r="F194" s="213">
        <v>20.059999999999999</v>
      </c>
      <c r="G194" s="213">
        <v>94.1</v>
      </c>
      <c r="H194" s="213">
        <v>0.04</v>
      </c>
      <c r="I194" s="213">
        <v>0.01</v>
      </c>
      <c r="J194" s="213">
        <v>0</v>
      </c>
      <c r="K194" s="213">
        <v>0</v>
      </c>
      <c r="L194" s="213">
        <v>0.44</v>
      </c>
      <c r="M194" s="213">
        <v>8</v>
      </c>
      <c r="N194" s="213">
        <v>26</v>
      </c>
      <c r="O194" s="213">
        <v>5.6</v>
      </c>
      <c r="P194" s="213">
        <v>0.44</v>
      </c>
      <c r="Q194" s="213">
        <v>0</v>
      </c>
      <c r="R194" s="201">
        <v>0</v>
      </c>
      <c r="S194" s="148"/>
    </row>
    <row r="195" spans="1:19" ht="15.75" customHeight="1" x14ac:dyDescent="0.25">
      <c r="A195" s="223" t="s">
        <v>159</v>
      </c>
      <c r="B195" s="116" t="s">
        <v>224</v>
      </c>
      <c r="C195" s="197">
        <v>24</v>
      </c>
      <c r="D195" s="199">
        <v>1.33</v>
      </c>
      <c r="E195" s="199">
        <v>0.24</v>
      </c>
      <c r="F195" s="199">
        <v>8.3699999999999992</v>
      </c>
      <c r="G195" s="86">
        <f t="shared" ref="G195:G196" si="104">D195*4+E195*9+F195*4</f>
        <v>40.959999999999994</v>
      </c>
      <c r="H195" s="199">
        <v>0.11</v>
      </c>
      <c r="I195" s="199">
        <v>7.0000000000000007E-2</v>
      </c>
      <c r="J195" s="199">
        <v>0.14000000000000001</v>
      </c>
      <c r="K195" s="199">
        <v>0</v>
      </c>
      <c r="L195" s="199">
        <v>0.11</v>
      </c>
      <c r="M195" s="199">
        <v>25.55</v>
      </c>
      <c r="N195" s="199">
        <v>43.75</v>
      </c>
      <c r="O195" s="199">
        <v>14</v>
      </c>
      <c r="P195" s="202">
        <v>0.98</v>
      </c>
      <c r="Q195" s="199">
        <v>0</v>
      </c>
      <c r="R195" s="201">
        <v>0.02</v>
      </c>
      <c r="S195" s="148"/>
    </row>
    <row r="196" spans="1:19" ht="15.75" customHeight="1" x14ac:dyDescent="0.25">
      <c r="A196" s="116"/>
      <c r="B196" s="116" t="s">
        <v>182</v>
      </c>
      <c r="C196" s="197">
        <v>150</v>
      </c>
      <c r="D196" s="198">
        <v>4.37</v>
      </c>
      <c r="E196" s="198">
        <f>2.7*1.8</f>
        <v>4.8600000000000003</v>
      </c>
      <c r="F196" s="198">
        <v>7.1749999999999998</v>
      </c>
      <c r="G196" s="198">
        <f t="shared" si="104"/>
        <v>89.92</v>
      </c>
      <c r="H196" s="198">
        <v>3.5000000000000003E-2</v>
      </c>
      <c r="I196" s="198">
        <v>0.245</v>
      </c>
      <c r="J196" s="198">
        <v>0.52</v>
      </c>
      <c r="K196" s="198">
        <v>0.35</v>
      </c>
      <c r="L196" s="198">
        <v>0</v>
      </c>
      <c r="M196" s="198">
        <v>217</v>
      </c>
      <c r="N196" s="198">
        <v>57.96</v>
      </c>
      <c r="O196" s="198">
        <v>24.5</v>
      </c>
      <c r="P196" s="198">
        <v>0.17499999999999999</v>
      </c>
      <c r="Q196" s="198">
        <v>0.7</v>
      </c>
      <c r="R196" s="201">
        <v>0</v>
      </c>
      <c r="S196" s="148"/>
    </row>
    <row r="197" spans="1:19" ht="15.75" customHeight="1" x14ac:dyDescent="0.25">
      <c r="A197" s="139"/>
      <c r="B197" s="133" t="s">
        <v>21</v>
      </c>
      <c r="C197" s="141">
        <f t="shared" ref="C197:R197" si="105">SUM(C190:C196)</f>
        <v>859</v>
      </c>
      <c r="D197" s="141">
        <f t="shared" si="105"/>
        <v>27.389999999999997</v>
      </c>
      <c r="E197" s="141">
        <f t="shared" si="105"/>
        <v>34.340000000000003</v>
      </c>
      <c r="F197" s="141">
        <f t="shared" si="105"/>
        <v>94.855000000000004</v>
      </c>
      <c r="G197" s="141">
        <f t="shared" si="105"/>
        <v>798.04</v>
      </c>
      <c r="H197" s="141">
        <f t="shared" si="105"/>
        <v>0.42699999999999994</v>
      </c>
      <c r="I197" s="141">
        <f t="shared" si="105"/>
        <v>0.59699999999999998</v>
      </c>
      <c r="J197" s="141">
        <f t="shared" si="105"/>
        <v>15.040000000000001</v>
      </c>
      <c r="K197" s="141">
        <f t="shared" si="105"/>
        <v>0.8</v>
      </c>
      <c r="L197" s="141">
        <f t="shared" si="105"/>
        <v>1.85</v>
      </c>
      <c r="M197" s="141">
        <f t="shared" si="105"/>
        <v>344.55</v>
      </c>
      <c r="N197" s="141">
        <f t="shared" si="105"/>
        <v>511.16999999999996</v>
      </c>
      <c r="O197" s="141">
        <f t="shared" si="105"/>
        <v>121.13999999999999</v>
      </c>
      <c r="P197" s="141">
        <f t="shared" si="105"/>
        <v>9.5650000000000013</v>
      </c>
      <c r="Q197" s="141">
        <f t="shared" si="105"/>
        <v>3.1399999999999997</v>
      </c>
      <c r="R197" s="141">
        <f t="shared" si="105"/>
        <v>0.09</v>
      </c>
      <c r="S197" s="148"/>
    </row>
    <row r="198" spans="1:19" ht="15.75" customHeight="1" x14ac:dyDescent="0.25">
      <c r="A198" s="155"/>
      <c r="B198" s="131"/>
      <c r="C198" s="141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48"/>
    </row>
    <row r="199" spans="1:19" ht="15.75" customHeight="1" x14ac:dyDescent="0.25">
      <c r="A199" s="138"/>
      <c r="B199" s="131" t="s">
        <v>181</v>
      </c>
      <c r="C199" s="189">
        <f>SUM(C197:R197+C187:R187)</f>
        <v>2793</v>
      </c>
      <c r="D199" s="86">
        <f t="shared" ref="D199:R199" si="106">SUM(D197)</f>
        <v>27.389999999999997</v>
      </c>
      <c r="E199" s="86">
        <f t="shared" si="106"/>
        <v>34.340000000000003</v>
      </c>
      <c r="F199" s="86">
        <f t="shared" si="106"/>
        <v>94.855000000000004</v>
      </c>
      <c r="G199" s="86">
        <f t="shared" si="106"/>
        <v>798.04</v>
      </c>
      <c r="H199" s="86">
        <f t="shared" si="106"/>
        <v>0.42699999999999994</v>
      </c>
      <c r="I199" s="86">
        <f t="shared" si="106"/>
        <v>0.59699999999999998</v>
      </c>
      <c r="J199" s="86">
        <f t="shared" si="106"/>
        <v>15.040000000000001</v>
      </c>
      <c r="K199" s="86">
        <f t="shared" si="106"/>
        <v>0.8</v>
      </c>
      <c r="L199" s="86">
        <f t="shared" si="106"/>
        <v>1.85</v>
      </c>
      <c r="M199" s="86">
        <f t="shared" si="106"/>
        <v>344.55</v>
      </c>
      <c r="N199" s="86">
        <f t="shared" si="106"/>
        <v>511.16999999999996</v>
      </c>
      <c r="O199" s="86">
        <f t="shared" si="106"/>
        <v>121.13999999999999</v>
      </c>
      <c r="P199" s="86">
        <f t="shared" si="106"/>
        <v>9.5650000000000013</v>
      </c>
      <c r="Q199" s="86">
        <f t="shared" si="106"/>
        <v>3.1399999999999997</v>
      </c>
      <c r="R199" s="86">
        <f t="shared" si="106"/>
        <v>0.09</v>
      </c>
      <c r="S199" s="148"/>
    </row>
    <row r="200" spans="1:19" ht="15.75" customHeight="1" x14ac:dyDescent="0.25">
      <c r="A200" s="284" t="s">
        <v>205</v>
      </c>
      <c r="B200" s="285"/>
      <c r="C200" s="208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148"/>
    </row>
    <row r="201" spans="1:19" ht="15.75" customHeight="1" x14ac:dyDescent="0.25">
      <c r="A201" s="118">
        <v>246</v>
      </c>
      <c r="B201" s="119" t="s">
        <v>160</v>
      </c>
      <c r="C201" s="191">
        <v>60</v>
      </c>
      <c r="D201" s="192">
        <v>0.48719999999999997</v>
      </c>
      <c r="E201" s="192">
        <v>6.9599999999999995E-2</v>
      </c>
      <c r="F201" s="192">
        <v>1.3223999999999998</v>
      </c>
      <c r="G201" s="192">
        <f>F201*4+E201*9+D201*4</f>
        <v>7.8647999999999989</v>
      </c>
      <c r="H201" s="192">
        <v>2.3199999999999998E-2</v>
      </c>
      <c r="I201" s="192">
        <v>1.1599999999999999E-2</v>
      </c>
      <c r="J201" s="192">
        <v>3.4103999999999997</v>
      </c>
      <c r="K201" s="192">
        <v>0</v>
      </c>
      <c r="L201" s="192">
        <v>6.9599999999999995E-2</v>
      </c>
      <c r="M201" s="192">
        <v>11.831999999999999</v>
      </c>
      <c r="N201" s="192">
        <v>20.88</v>
      </c>
      <c r="O201" s="192">
        <v>9.7439999999999998</v>
      </c>
      <c r="P201" s="192">
        <v>0.34799999999999998</v>
      </c>
      <c r="Q201" s="192">
        <v>0.11899999999999999</v>
      </c>
      <c r="R201" s="192">
        <v>0</v>
      </c>
      <c r="S201" s="148"/>
    </row>
    <row r="202" spans="1:19" ht="15.75" customHeight="1" x14ac:dyDescent="0.25">
      <c r="A202" s="118">
        <v>297</v>
      </c>
      <c r="B202" s="119" t="s">
        <v>175</v>
      </c>
      <c r="C202" s="191">
        <v>90</v>
      </c>
      <c r="D202" s="192">
        <v>6.86</v>
      </c>
      <c r="E202" s="192">
        <v>10.24</v>
      </c>
      <c r="F202" s="192">
        <v>4.05</v>
      </c>
      <c r="G202" s="192">
        <f t="shared" ref="G202:G206" si="107">F202*4+E202*9+D202*4</f>
        <v>135.80000000000001</v>
      </c>
      <c r="H202" s="192">
        <v>0.02</v>
      </c>
      <c r="I202" s="192">
        <v>0.06</v>
      </c>
      <c r="J202" s="192">
        <v>0.51</v>
      </c>
      <c r="K202" s="192">
        <v>0.39</v>
      </c>
      <c r="L202" s="192">
        <v>2.4049999999999998</v>
      </c>
      <c r="M202" s="192">
        <v>24.21</v>
      </c>
      <c r="N202" s="192">
        <v>53.55</v>
      </c>
      <c r="O202" s="192">
        <v>7.21</v>
      </c>
      <c r="P202" s="192">
        <v>0.56999999999999995</v>
      </c>
      <c r="Q202" s="192">
        <v>1.99</v>
      </c>
      <c r="R202" s="192">
        <v>0.02</v>
      </c>
      <c r="S202" s="148"/>
    </row>
    <row r="203" spans="1:19" ht="15.75" customHeight="1" x14ac:dyDescent="0.25">
      <c r="A203" s="172">
        <v>203</v>
      </c>
      <c r="B203" s="135" t="s">
        <v>36</v>
      </c>
      <c r="C203" s="210">
        <v>150</v>
      </c>
      <c r="D203" s="194">
        <v>4.1399999999999997</v>
      </c>
      <c r="E203" s="194">
        <v>5</v>
      </c>
      <c r="F203" s="194">
        <v>23.4</v>
      </c>
      <c r="G203" s="192">
        <f t="shared" si="107"/>
        <v>155.16</v>
      </c>
      <c r="H203" s="194">
        <v>0.04</v>
      </c>
      <c r="I203" s="194">
        <v>8.0000000000000002E-3</v>
      </c>
      <c r="J203" s="194">
        <v>0</v>
      </c>
      <c r="K203" s="194">
        <v>0</v>
      </c>
      <c r="L203" s="194">
        <v>0.56999999999999995</v>
      </c>
      <c r="M203" s="194">
        <v>8.1999999999999993</v>
      </c>
      <c r="N203" s="194">
        <v>27.2</v>
      </c>
      <c r="O203" s="194">
        <v>6.32</v>
      </c>
      <c r="P203" s="194">
        <v>0.62</v>
      </c>
      <c r="Q203" s="192">
        <v>0</v>
      </c>
      <c r="R203" s="192">
        <v>0</v>
      </c>
      <c r="S203" s="148"/>
    </row>
    <row r="204" spans="1:19" ht="15.75" customHeight="1" x14ac:dyDescent="0.25">
      <c r="A204" s="118">
        <v>379</v>
      </c>
      <c r="B204" s="119" t="s">
        <v>66</v>
      </c>
      <c r="C204" s="191">
        <v>200</v>
      </c>
      <c r="D204" s="192">
        <v>2.9</v>
      </c>
      <c r="E204" s="192">
        <v>2.5</v>
      </c>
      <c r="F204" s="192">
        <v>14.7</v>
      </c>
      <c r="G204" s="192">
        <f t="shared" si="107"/>
        <v>92.899999999999991</v>
      </c>
      <c r="H204" s="192">
        <v>0.02</v>
      </c>
      <c r="I204" s="192">
        <v>0.13</v>
      </c>
      <c r="J204" s="192">
        <v>0.6</v>
      </c>
      <c r="K204" s="192">
        <v>0.1</v>
      </c>
      <c r="L204" s="192">
        <v>0.1</v>
      </c>
      <c r="M204" s="192">
        <v>120.3</v>
      </c>
      <c r="N204" s="192">
        <v>90</v>
      </c>
      <c r="O204" s="192">
        <v>14</v>
      </c>
      <c r="P204" s="192">
        <v>0.13</v>
      </c>
      <c r="Q204" s="192">
        <v>0.4</v>
      </c>
      <c r="R204" s="192">
        <v>0</v>
      </c>
      <c r="S204" s="148"/>
    </row>
    <row r="205" spans="1:19" ht="15.75" customHeight="1" x14ac:dyDescent="0.25">
      <c r="A205" s="222" t="s">
        <v>158</v>
      </c>
      <c r="B205" s="119" t="s">
        <v>221</v>
      </c>
      <c r="C205" s="191">
        <v>30</v>
      </c>
      <c r="D205" s="192">
        <v>1.6625000000000001</v>
      </c>
      <c r="E205" s="192">
        <v>0.3</v>
      </c>
      <c r="F205" s="192">
        <v>10.462499999999999</v>
      </c>
      <c r="G205" s="192">
        <f t="shared" si="107"/>
        <v>51.199999999999996</v>
      </c>
      <c r="H205" s="192">
        <v>0.13124999999999998</v>
      </c>
      <c r="I205" s="192">
        <v>8.7499999999999981E-2</v>
      </c>
      <c r="J205" s="192">
        <v>0.17499999999999996</v>
      </c>
      <c r="K205" s="192">
        <v>0</v>
      </c>
      <c r="L205" s="192">
        <v>0.13124999999999998</v>
      </c>
      <c r="M205" s="192">
        <v>31.937499999999996</v>
      </c>
      <c r="N205" s="192">
        <v>54.6875</v>
      </c>
      <c r="O205" s="192">
        <v>17.5</v>
      </c>
      <c r="P205" s="192">
        <v>1.2249999999999999</v>
      </c>
      <c r="Q205" s="192">
        <v>0.3</v>
      </c>
      <c r="R205" s="192">
        <v>0.02</v>
      </c>
      <c r="S205" s="148"/>
    </row>
    <row r="206" spans="1:19" ht="15.75" customHeight="1" x14ac:dyDescent="0.25">
      <c r="A206" s="222" t="s">
        <v>159</v>
      </c>
      <c r="B206" s="116" t="s">
        <v>222</v>
      </c>
      <c r="C206" s="191">
        <v>20</v>
      </c>
      <c r="D206" s="192">
        <f>1.35*2</f>
        <v>2.7</v>
      </c>
      <c r="E206" s="192">
        <f>0.172*2</f>
        <v>0.34399999999999997</v>
      </c>
      <c r="F206" s="192">
        <f>10.03*2</f>
        <v>20.059999999999999</v>
      </c>
      <c r="G206" s="192">
        <f t="shared" si="107"/>
        <v>94.135999999999996</v>
      </c>
      <c r="H206" s="192">
        <v>2.4E-2</v>
      </c>
      <c r="I206" s="192">
        <v>5.0000000000000001E-3</v>
      </c>
      <c r="J206" s="192">
        <v>0</v>
      </c>
      <c r="K206" s="192">
        <v>0</v>
      </c>
      <c r="L206" s="192">
        <v>0.42</v>
      </c>
      <c r="M206" s="192">
        <v>8</v>
      </c>
      <c r="N206" s="192">
        <v>26</v>
      </c>
      <c r="O206" s="192">
        <v>5.6</v>
      </c>
      <c r="P206" s="192">
        <v>0.4</v>
      </c>
      <c r="Q206" s="192">
        <v>0.3</v>
      </c>
      <c r="R206" s="192">
        <v>0</v>
      </c>
      <c r="S206" s="148"/>
    </row>
    <row r="207" spans="1:19" ht="15.75" customHeight="1" x14ac:dyDescent="0.25">
      <c r="A207" s="118">
        <v>368</v>
      </c>
      <c r="B207" s="119" t="s">
        <v>156</v>
      </c>
      <c r="C207" s="197">
        <v>120</v>
      </c>
      <c r="D207" s="194">
        <v>1.08</v>
      </c>
      <c r="E207" s="194">
        <v>0.12</v>
      </c>
      <c r="F207" s="194">
        <v>10.8</v>
      </c>
      <c r="G207" s="199">
        <f>D207*4+E207*9+F207*4</f>
        <v>48.6</v>
      </c>
      <c r="H207" s="194">
        <v>0.03</v>
      </c>
      <c r="I207" s="194">
        <v>0.06</v>
      </c>
      <c r="J207" s="194">
        <v>12</v>
      </c>
      <c r="K207" s="194">
        <v>0</v>
      </c>
      <c r="L207" s="194">
        <v>1.32</v>
      </c>
      <c r="M207" s="194">
        <v>33.6</v>
      </c>
      <c r="N207" s="194">
        <v>31.2</v>
      </c>
      <c r="O207" s="194">
        <v>9.6</v>
      </c>
      <c r="P207" s="194">
        <v>0.84</v>
      </c>
      <c r="Q207" s="194">
        <v>0.09</v>
      </c>
      <c r="R207" s="201">
        <v>0</v>
      </c>
      <c r="S207" s="148"/>
    </row>
    <row r="208" spans="1:19" ht="15.75" customHeight="1" x14ac:dyDescent="0.25">
      <c r="A208" s="118"/>
      <c r="B208" s="119"/>
      <c r="C208" s="191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48"/>
    </row>
    <row r="209" spans="1:19" ht="15.75" customHeight="1" x14ac:dyDescent="0.25">
      <c r="A209" s="122"/>
      <c r="B209" s="123" t="s">
        <v>21</v>
      </c>
      <c r="C209" s="188">
        <f>SUM(C201:C208)</f>
        <v>670</v>
      </c>
      <c r="D209" s="124">
        <f>SUM(D201:D208)</f>
        <v>19.829700000000003</v>
      </c>
      <c r="E209" s="124">
        <f>SUM(E201:E208)</f>
        <v>18.573600000000003</v>
      </c>
      <c r="F209" s="124">
        <f>SUM(F201:F208)</f>
        <v>84.794899999999984</v>
      </c>
      <c r="G209" s="124">
        <f t="shared" ref="G209:R209" si="108">SUM(G201:G207)</f>
        <v>585.66079999999999</v>
      </c>
      <c r="H209" s="124">
        <f t="shared" si="108"/>
        <v>0.28844999999999998</v>
      </c>
      <c r="I209" s="124">
        <f t="shared" si="108"/>
        <v>0.36209999999999998</v>
      </c>
      <c r="J209" s="124">
        <f t="shared" si="108"/>
        <v>16.695399999999999</v>
      </c>
      <c r="K209" s="124">
        <f t="shared" si="108"/>
        <v>0.49</v>
      </c>
      <c r="L209" s="124">
        <f t="shared" si="108"/>
        <v>5.0158499999999995</v>
      </c>
      <c r="M209" s="124">
        <f t="shared" si="108"/>
        <v>238.0795</v>
      </c>
      <c r="N209" s="124">
        <f t="shared" si="108"/>
        <v>303.51749999999998</v>
      </c>
      <c r="O209" s="124">
        <f t="shared" si="108"/>
        <v>69.974000000000004</v>
      </c>
      <c r="P209" s="124">
        <f t="shared" si="108"/>
        <v>4.133</v>
      </c>
      <c r="Q209" s="124">
        <f t="shared" si="108"/>
        <v>3.1989999999999994</v>
      </c>
      <c r="R209" s="124">
        <f t="shared" si="108"/>
        <v>0.04</v>
      </c>
      <c r="S209" s="148"/>
    </row>
    <row r="210" spans="1:19" ht="15.75" customHeight="1" x14ac:dyDescent="0.25">
      <c r="A210" s="156"/>
      <c r="B210" s="126" t="s">
        <v>98</v>
      </c>
      <c r="C210" s="195"/>
      <c r="D210" s="196">
        <v>19.25</v>
      </c>
      <c r="E210" s="196">
        <v>19.75</v>
      </c>
      <c r="F210" s="196">
        <v>83.75</v>
      </c>
      <c r="G210" s="196">
        <v>587.5</v>
      </c>
      <c r="H210" s="196">
        <v>0.3</v>
      </c>
      <c r="I210" s="196">
        <v>0.35</v>
      </c>
      <c r="J210" s="196">
        <v>15</v>
      </c>
      <c r="K210" s="196">
        <v>0.17499999999999999</v>
      </c>
      <c r="L210" s="196">
        <v>2.5</v>
      </c>
      <c r="M210" s="196">
        <v>275</v>
      </c>
      <c r="N210" s="196">
        <v>412.5</v>
      </c>
      <c r="O210" s="196">
        <v>62.5</v>
      </c>
      <c r="P210" s="196">
        <v>3</v>
      </c>
      <c r="Q210" s="196">
        <v>2.5</v>
      </c>
      <c r="R210" s="196">
        <v>2.5000000000000001E-2</v>
      </c>
      <c r="S210" s="148"/>
    </row>
    <row r="211" spans="1:19" ht="15.75" customHeight="1" x14ac:dyDescent="0.25">
      <c r="A211" s="142"/>
      <c r="B211" s="127" t="s">
        <v>178</v>
      </c>
      <c r="C211" s="190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8"/>
    </row>
    <row r="212" spans="1:19" ht="15.75" customHeight="1" x14ac:dyDescent="0.25">
      <c r="A212" s="142">
        <v>246</v>
      </c>
      <c r="B212" s="221" t="s">
        <v>217</v>
      </c>
      <c r="C212" s="193">
        <v>60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6"/>
      <c r="Q212" s="144"/>
      <c r="R212" s="144"/>
      <c r="S212" s="148"/>
    </row>
    <row r="213" spans="1:19" ht="15.75" customHeight="1" x14ac:dyDescent="0.25">
      <c r="A213" s="164">
        <v>128</v>
      </c>
      <c r="B213" s="153" t="s">
        <v>206</v>
      </c>
      <c r="C213" s="203">
        <v>200</v>
      </c>
      <c r="D213" s="86">
        <v>1.8</v>
      </c>
      <c r="E213" s="86">
        <v>4.92</v>
      </c>
      <c r="F213" s="86">
        <v>10.93</v>
      </c>
      <c r="G213" s="86">
        <f t="shared" ref="G213:G219" si="109">D213*4+E213*9+F213*4</f>
        <v>95.2</v>
      </c>
      <c r="H213" s="86">
        <v>0.05</v>
      </c>
      <c r="I213" s="86">
        <v>0.05</v>
      </c>
      <c r="J213" s="86">
        <v>10.68</v>
      </c>
      <c r="K213" s="86">
        <v>0</v>
      </c>
      <c r="L213" s="86">
        <v>0.5</v>
      </c>
      <c r="M213" s="86">
        <v>49.73</v>
      </c>
      <c r="N213" s="86">
        <v>54.6</v>
      </c>
      <c r="O213" s="86">
        <v>26.13</v>
      </c>
      <c r="P213" s="145">
        <v>1.23</v>
      </c>
      <c r="Q213" s="86">
        <v>0.74</v>
      </c>
      <c r="R213" s="201">
        <v>7.0000000000000007E-2</v>
      </c>
      <c r="S213" s="148"/>
    </row>
    <row r="214" spans="1:19" ht="15.75" customHeight="1" x14ac:dyDescent="0.25">
      <c r="A214" s="116">
        <v>250</v>
      </c>
      <c r="B214" s="116" t="s">
        <v>218</v>
      </c>
      <c r="C214" s="197">
        <v>90</v>
      </c>
      <c r="D214" s="86">
        <v>12.5</v>
      </c>
      <c r="E214" s="86">
        <v>6.4</v>
      </c>
      <c r="F214" s="86">
        <v>1.3</v>
      </c>
      <c r="G214" s="86">
        <f t="shared" si="109"/>
        <v>112.8</v>
      </c>
      <c r="H214" s="86">
        <v>2.7E-2</v>
      </c>
      <c r="I214" s="86">
        <v>4.5999999999999999E-2</v>
      </c>
      <c r="J214" s="86">
        <v>1.1299999999999999</v>
      </c>
      <c r="K214" s="86">
        <v>0.3</v>
      </c>
      <c r="L214" s="86">
        <v>0.5</v>
      </c>
      <c r="M214" s="86">
        <v>74.63</v>
      </c>
      <c r="N214" s="86">
        <v>89</v>
      </c>
      <c r="O214" s="86">
        <v>26.85</v>
      </c>
      <c r="P214" s="145">
        <v>0.53</v>
      </c>
      <c r="Q214" s="86">
        <v>0.67</v>
      </c>
      <c r="R214" s="201">
        <v>0</v>
      </c>
      <c r="S214" s="148"/>
    </row>
    <row r="215" spans="1:19" ht="15.75" customHeight="1" x14ac:dyDescent="0.25">
      <c r="A215" s="128">
        <v>205</v>
      </c>
      <c r="B215" s="153" t="s">
        <v>246</v>
      </c>
      <c r="C215" s="203">
        <v>150</v>
      </c>
      <c r="D215" s="194">
        <v>4.3099999999999996</v>
      </c>
      <c r="E215" s="194">
        <v>4.99</v>
      </c>
      <c r="F215" s="194">
        <v>23.77</v>
      </c>
      <c r="G215" s="86">
        <f t="shared" si="109"/>
        <v>157.23000000000002</v>
      </c>
      <c r="H215" s="194">
        <v>0.06</v>
      </c>
      <c r="I215" s="194">
        <v>0.03</v>
      </c>
      <c r="J215" s="194">
        <v>2.2599999999999998</v>
      </c>
      <c r="K215" s="194">
        <v>0</v>
      </c>
      <c r="L215" s="86">
        <v>0.05</v>
      </c>
      <c r="M215" s="194">
        <v>16.18</v>
      </c>
      <c r="N215" s="194">
        <v>42.4</v>
      </c>
      <c r="O215" s="194">
        <v>14.45</v>
      </c>
      <c r="P215" s="194">
        <v>0.86</v>
      </c>
      <c r="Q215" s="194">
        <v>0.95</v>
      </c>
      <c r="R215" s="201">
        <v>0</v>
      </c>
      <c r="S215" s="148"/>
    </row>
    <row r="216" spans="1:19" ht="15.75" customHeight="1" x14ac:dyDescent="0.25">
      <c r="A216" s="129">
        <v>392</v>
      </c>
      <c r="B216" s="116" t="s">
        <v>180</v>
      </c>
      <c r="C216" s="197">
        <v>200</v>
      </c>
      <c r="D216" s="86">
        <v>7.0000000000000007E-2</v>
      </c>
      <c r="E216" s="86">
        <v>0.02</v>
      </c>
      <c r="F216" s="86">
        <v>10.06</v>
      </c>
      <c r="G216" s="86">
        <f t="shared" si="109"/>
        <v>40.700000000000003</v>
      </c>
      <c r="H216" s="86">
        <v>0</v>
      </c>
      <c r="I216" s="86">
        <v>0</v>
      </c>
      <c r="J216" s="86">
        <v>0.03</v>
      </c>
      <c r="K216" s="86">
        <v>0</v>
      </c>
      <c r="L216" s="86">
        <v>0</v>
      </c>
      <c r="M216" s="86">
        <v>11.1</v>
      </c>
      <c r="N216" s="86">
        <v>2.8</v>
      </c>
      <c r="O216" s="86">
        <v>1.4</v>
      </c>
      <c r="P216" s="145">
        <v>0.28000000000000003</v>
      </c>
      <c r="Q216" s="86">
        <v>0</v>
      </c>
      <c r="R216" s="201">
        <v>0</v>
      </c>
      <c r="S216" s="148"/>
    </row>
    <row r="217" spans="1:19" ht="15.75" customHeight="1" x14ac:dyDescent="0.25">
      <c r="A217" s="222" t="s">
        <v>215</v>
      </c>
      <c r="B217" s="119" t="s">
        <v>223</v>
      </c>
      <c r="C217" s="197">
        <v>30</v>
      </c>
      <c r="D217" s="213">
        <v>4.05</v>
      </c>
      <c r="E217" s="213">
        <v>0.51</v>
      </c>
      <c r="F217" s="213">
        <v>30.09</v>
      </c>
      <c r="G217" s="86">
        <f t="shared" si="109"/>
        <v>141.15</v>
      </c>
      <c r="H217" s="213">
        <v>0.06</v>
      </c>
      <c r="I217" s="213">
        <v>1.4999999999999999E-2</v>
      </c>
      <c r="J217" s="213">
        <v>0</v>
      </c>
      <c r="K217" s="213">
        <v>0</v>
      </c>
      <c r="L217" s="213">
        <v>0.66</v>
      </c>
      <c r="M217" s="213">
        <v>12</v>
      </c>
      <c r="N217" s="213">
        <v>39</v>
      </c>
      <c r="O217" s="213">
        <v>8.4</v>
      </c>
      <c r="P217" s="213">
        <v>0.66</v>
      </c>
      <c r="Q217" s="213">
        <v>0</v>
      </c>
      <c r="R217" s="201">
        <v>0</v>
      </c>
      <c r="S217" s="148"/>
    </row>
    <row r="218" spans="1:19" ht="15.75" customHeight="1" x14ac:dyDescent="0.25">
      <c r="A218" s="223" t="s">
        <v>159</v>
      </c>
      <c r="B218" s="116" t="s">
        <v>224</v>
      </c>
      <c r="C218" s="197">
        <v>20</v>
      </c>
      <c r="D218" s="199">
        <v>1.33</v>
      </c>
      <c r="E218" s="199">
        <v>0.24</v>
      </c>
      <c r="F218" s="199">
        <v>8.3699999999999992</v>
      </c>
      <c r="G218" s="86">
        <f t="shared" si="109"/>
        <v>40.959999999999994</v>
      </c>
      <c r="H218" s="199">
        <v>0.11</v>
      </c>
      <c r="I218" s="199">
        <v>7.0000000000000007E-2</v>
      </c>
      <c r="J218" s="199">
        <v>0.14000000000000001</v>
      </c>
      <c r="K218" s="199">
        <v>0</v>
      </c>
      <c r="L218" s="199">
        <v>0.11</v>
      </c>
      <c r="M218" s="199">
        <v>25.55</v>
      </c>
      <c r="N218" s="199">
        <v>43.75</v>
      </c>
      <c r="O218" s="199">
        <v>14</v>
      </c>
      <c r="P218" s="202">
        <v>0.98</v>
      </c>
      <c r="Q218" s="199">
        <v>0</v>
      </c>
      <c r="R218" s="201">
        <v>0.2</v>
      </c>
      <c r="S218" s="148"/>
    </row>
    <row r="219" spans="1:19" ht="15.75" customHeight="1" x14ac:dyDescent="0.25">
      <c r="A219" s="160"/>
      <c r="B219" s="116" t="s">
        <v>216</v>
      </c>
      <c r="C219" s="197">
        <v>40</v>
      </c>
      <c r="D219" s="86">
        <f>6.8*0.32</f>
        <v>2.1760000000000002</v>
      </c>
      <c r="E219" s="86">
        <f>32.4*0.35</f>
        <v>11.339999999999998</v>
      </c>
      <c r="F219" s="86">
        <f>65.6*0.35</f>
        <v>22.959999999999997</v>
      </c>
      <c r="G219" s="86">
        <f t="shared" si="109"/>
        <v>202.60399999999998</v>
      </c>
      <c r="H219" s="86">
        <v>0.04</v>
      </c>
      <c r="I219" s="86">
        <v>0.06</v>
      </c>
      <c r="J219" s="86">
        <v>0</v>
      </c>
      <c r="K219" s="86">
        <v>0.2797</v>
      </c>
      <c r="L219" s="86">
        <f>7.7*0.45</f>
        <v>3.4650000000000003</v>
      </c>
      <c r="M219" s="86">
        <v>10.14</v>
      </c>
      <c r="N219" s="86">
        <v>37.590000000000003</v>
      </c>
      <c r="O219" s="86">
        <v>7.69</v>
      </c>
      <c r="P219" s="145">
        <v>0.64</v>
      </c>
      <c r="Q219" s="86">
        <v>0</v>
      </c>
      <c r="R219" s="201">
        <v>0</v>
      </c>
      <c r="S219" s="148"/>
    </row>
    <row r="220" spans="1:19" ht="15.75" customHeight="1" x14ac:dyDescent="0.25">
      <c r="A220" s="155"/>
      <c r="B220" s="133" t="s">
        <v>21</v>
      </c>
      <c r="C220" s="141">
        <f t="shared" ref="C220:R220" si="110">SUM(C213:C219)</f>
        <v>730</v>
      </c>
      <c r="D220" s="133">
        <f t="shared" si="110"/>
        <v>26.236000000000004</v>
      </c>
      <c r="E220" s="133">
        <f t="shared" si="110"/>
        <v>28.42</v>
      </c>
      <c r="F220" s="133">
        <f t="shared" si="110"/>
        <v>107.48</v>
      </c>
      <c r="G220" s="133">
        <f t="shared" si="110"/>
        <v>790.64400000000001</v>
      </c>
      <c r="H220" s="133">
        <f t="shared" si="110"/>
        <v>0.34699999999999998</v>
      </c>
      <c r="I220" s="133">
        <f t="shared" si="110"/>
        <v>0.27100000000000002</v>
      </c>
      <c r="J220" s="133">
        <f t="shared" si="110"/>
        <v>14.239999999999998</v>
      </c>
      <c r="K220" s="133">
        <f t="shared" si="110"/>
        <v>0.57969999999999999</v>
      </c>
      <c r="L220" s="133">
        <f t="shared" si="110"/>
        <v>5.2850000000000001</v>
      </c>
      <c r="M220" s="133">
        <f t="shared" si="110"/>
        <v>199.32999999999998</v>
      </c>
      <c r="N220" s="133">
        <f t="shared" si="110"/>
        <v>309.14</v>
      </c>
      <c r="O220" s="133">
        <f t="shared" si="110"/>
        <v>98.920000000000016</v>
      </c>
      <c r="P220" s="133">
        <f t="shared" si="110"/>
        <v>5.1800000000000006</v>
      </c>
      <c r="Q220" s="133">
        <f t="shared" si="110"/>
        <v>2.3600000000000003</v>
      </c>
      <c r="R220" s="133">
        <f t="shared" si="110"/>
        <v>0.27</v>
      </c>
      <c r="S220" s="148"/>
    </row>
    <row r="221" spans="1:19" ht="15.75" customHeight="1" x14ac:dyDescent="0.25">
      <c r="A221" s="155"/>
      <c r="B221" s="131" t="s">
        <v>181</v>
      </c>
      <c r="C221" s="141">
        <f>SUM(C209:R209+C220:R220)</f>
        <v>1400</v>
      </c>
      <c r="D221" s="133">
        <f t="shared" ref="D221:R221" si="111">SUM(D220)</f>
        <v>26.236000000000004</v>
      </c>
      <c r="E221" s="133">
        <f t="shared" si="111"/>
        <v>28.42</v>
      </c>
      <c r="F221" s="133">
        <f t="shared" si="111"/>
        <v>107.48</v>
      </c>
      <c r="G221" s="133">
        <f t="shared" si="111"/>
        <v>790.64400000000001</v>
      </c>
      <c r="H221" s="133">
        <f t="shared" si="111"/>
        <v>0.34699999999999998</v>
      </c>
      <c r="I221" s="133">
        <f t="shared" si="111"/>
        <v>0.27100000000000002</v>
      </c>
      <c r="J221" s="133">
        <f t="shared" si="111"/>
        <v>14.239999999999998</v>
      </c>
      <c r="K221" s="133">
        <f t="shared" si="111"/>
        <v>0.57969999999999999</v>
      </c>
      <c r="L221" s="133">
        <f t="shared" si="111"/>
        <v>5.2850000000000001</v>
      </c>
      <c r="M221" s="133">
        <f t="shared" si="111"/>
        <v>199.32999999999998</v>
      </c>
      <c r="N221" s="133">
        <f t="shared" si="111"/>
        <v>309.14</v>
      </c>
      <c r="O221" s="133">
        <f t="shared" si="111"/>
        <v>98.920000000000016</v>
      </c>
      <c r="P221" s="133">
        <f t="shared" si="111"/>
        <v>5.1800000000000006</v>
      </c>
      <c r="Q221" s="133">
        <f t="shared" si="111"/>
        <v>2.3600000000000003</v>
      </c>
      <c r="R221" s="133">
        <f t="shared" si="111"/>
        <v>0.27</v>
      </c>
      <c r="S221" s="148"/>
    </row>
    <row r="222" spans="1:19" ht="15.75" customHeight="1" x14ac:dyDescent="0.25">
      <c r="A222" s="156"/>
      <c r="B222" s="126"/>
      <c r="C222" s="217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48"/>
    </row>
    <row r="223" spans="1:19" ht="15.75" customHeight="1" x14ac:dyDescent="0.25">
      <c r="A223" s="156"/>
      <c r="B223" s="126"/>
      <c r="C223" s="217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48"/>
    </row>
    <row r="224" spans="1:19" ht="15.75" customHeight="1" x14ac:dyDescent="0.25">
      <c r="A224" s="156"/>
      <c r="B224" s="174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148"/>
    </row>
    <row r="225" spans="1:19" ht="15.75" customHeight="1" x14ac:dyDescent="0.25">
      <c r="A225" s="179"/>
      <c r="B225" s="180"/>
      <c r="C225" s="86"/>
      <c r="D225" s="291" t="s">
        <v>148</v>
      </c>
      <c r="E225" s="291"/>
      <c r="F225" s="291"/>
      <c r="G225" s="300" t="s">
        <v>149</v>
      </c>
      <c r="H225" s="302" t="s">
        <v>150</v>
      </c>
      <c r="I225" s="302"/>
      <c r="J225" s="302"/>
      <c r="K225" s="302"/>
      <c r="L225" s="302"/>
      <c r="M225" s="302" t="s">
        <v>147</v>
      </c>
      <c r="N225" s="302"/>
      <c r="O225" s="302"/>
      <c r="P225" s="302"/>
      <c r="Q225" s="181"/>
      <c r="R225" s="165"/>
      <c r="S225" s="148"/>
    </row>
    <row r="226" spans="1:19" ht="15.75" customHeight="1" x14ac:dyDescent="0.25">
      <c r="A226" s="179"/>
      <c r="B226" s="117"/>
      <c r="C226" s="86"/>
      <c r="D226" s="170" t="s">
        <v>0</v>
      </c>
      <c r="E226" s="170" t="s">
        <v>1</v>
      </c>
      <c r="F226" s="170" t="s">
        <v>2</v>
      </c>
      <c r="G226" s="301"/>
      <c r="H226" s="181" t="s">
        <v>41</v>
      </c>
      <c r="I226" s="181" t="s">
        <v>45</v>
      </c>
      <c r="J226" s="181" t="s">
        <v>42</v>
      </c>
      <c r="K226" s="181" t="s">
        <v>43</v>
      </c>
      <c r="L226" s="181" t="s">
        <v>44</v>
      </c>
      <c r="M226" s="170" t="s">
        <v>46</v>
      </c>
      <c r="N226" s="170" t="s">
        <v>47</v>
      </c>
      <c r="O226" s="170" t="s">
        <v>48</v>
      </c>
      <c r="P226" s="170" t="s">
        <v>49</v>
      </c>
      <c r="Q226" s="170" t="s">
        <v>100</v>
      </c>
      <c r="R226" s="170" t="s">
        <v>99</v>
      </c>
      <c r="S226" s="148"/>
    </row>
    <row r="227" spans="1:19" ht="15.75" customHeight="1" x14ac:dyDescent="0.25">
      <c r="A227" s="179"/>
      <c r="B227" s="117" t="s">
        <v>104</v>
      </c>
      <c r="C227" s="192"/>
      <c r="D227" s="86">
        <v>77</v>
      </c>
      <c r="E227" s="86">
        <v>79</v>
      </c>
      <c r="F227" s="86">
        <v>335</v>
      </c>
      <c r="G227" s="171">
        <v>2350</v>
      </c>
      <c r="H227" s="86">
        <v>1.2</v>
      </c>
      <c r="I227" s="86">
        <v>1.4</v>
      </c>
      <c r="J227" s="86">
        <v>60</v>
      </c>
      <c r="K227" s="86">
        <v>0.7</v>
      </c>
      <c r="L227" s="86">
        <v>10</v>
      </c>
      <c r="M227" s="86">
        <v>1100</v>
      </c>
      <c r="N227" s="86">
        <v>1650</v>
      </c>
      <c r="O227" s="86">
        <v>250</v>
      </c>
      <c r="P227" s="86">
        <v>12</v>
      </c>
      <c r="Q227" s="86">
        <v>10</v>
      </c>
      <c r="R227" s="86">
        <v>0.1</v>
      </c>
      <c r="S227" s="148"/>
    </row>
    <row r="228" spans="1:19" ht="15.75" customHeight="1" x14ac:dyDescent="0.25">
      <c r="A228" s="179"/>
      <c r="B228" s="182" t="s">
        <v>97</v>
      </c>
      <c r="C228" s="182"/>
      <c r="D228" s="182">
        <f>D227*0.25</f>
        <v>19.25</v>
      </c>
      <c r="E228" s="182">
        <f t="shared" ref="E228:R228" si="112">E227*0.25</f>
        <v>19.75</v>
      </c>
      <c r="F228" s="182">
        <f t="shared" si="112"/>
        <v>83.75</v>
      </c>
      <c r="G228" s="182">
        <f t="shared" si="112"/>
        <v>587.5</v>
      </c>
      <c r="H228" s="182">
        <f t="shared" si="112"/>
        <v>0.3</v>
      </c>
      <c r="I228" s="182">
        <f t="shared" si="112"/>
        <v>0.35</v>
      </c>
      <c r="J228" s="182">
        <f t="shared" si="112"/>
        <v>15</v>
      </c>
      <c r="K228" s="182">
        <f t="shared" si="112"/>
        <v>0.17499999999999999</v>
      </c>
      <c r="L228" s="182">
        <f t="shared" si="112"/>
        <v>2.5</v>
      </c>
      <c r="M228" s="182">
        <f t="shared" si="112"/>
        <v>275</v>
      </c>
      <c r="N228" s="182">
        <f t="shared" si="112"/>
        <v>412.5</v>
      </c>
      <c r="O228" s="182">
        <f t="shared" si="112"/>
        <v>62.5</v>
      </c>
      <c r="P228" s="182">
        <f t="shared" si="112"/>
        <v>3</v>
      </c>
      <c r="Q228" s="182">
        <f t="shared" si="112"/>
        <v>2.5</v>
      </c>
      <c r="R228" s="182">
        <f t="shared" si="112"/>
        <v>2.5000000000000001E-2</v>
      </c>
      <c r="S228" s="148"/>
    </row>
    <row r="229" spans="1:19" ht="15.75" customHeight="1" x14ac:dyDescent="0.25">
      <c r="A229" s="179"/>
      <c r="B229" s="117"/>
      <c r="C229" s="192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148"/>
    </row>
    <row r="230" spans="1:19" ht="15.75" customHeight="1" x14ac:dyDescent="0.25">
      <c r="A230" s="183"/>
      <c r="B230" s="184" t="s">
        <v>101</v>
      </c>
      <c r="C230" s="185"/>
      <c r="D230" s="185">
        <f t="shared" ref="D230:R230" si="113">(D211+D189+D164+D143+D119+D98+D75+D55+D32+D23)/10</f>
        <v>15.533802409638554</v>
      </c>
      <c r="E230" s="185">
        <f t="shared" si="113"/>
        <v>15.081554000000002</v>
      </c>
      <c r="F230" s="185">
        <f t="shared" si="113"/>
        <v>57.088904674698789</v>
      </c>
      <c r="G230" s="185">
        <f t="shared" si="113"/>
        <v>434.78681433734948</v>
      </c>
      <c r="H230" s="185">
        <f t="shared" si="113"/>
        <v>0.31483004819277111</v>
      </c>
      <c r="I230" s="185">
        <f t="shared" si="113"/>
        <v>0.35557604819277111</v>
      </c>
      <c r="J230" s="185">
        <f t="shared" si="113"/>
        <v>17.463709638554214</v>
      </c>
      <c r="K230" s="185">
        <f t="shared" si="113"/>
        <v>1.0279</v>
      </c>
      <c r="L230" s="185">
        <f t="shared" si="113"/>
        <v>4.0015904819277113</v>
      </c>
      <c r="M230" s="185">
        <f t="shared" si="113"/>
        <v>152.42726373493977</v>
      </c>
      <c r="N230" s="185">
        <f t="shared" si="113"/>
        <v>284.85845373493976</v>
      </c>
      <c r="O230" s="185">
        <f t="shared" si="113"/>
        <v>85.508549277108429</v>
      </c>
      <c r="P230" s="185">
        <f t="shared" si="113"/>
        <v>8.9387347469879508</v>
      </c>
      <c r="Q230" s="185">
        <f t="shared" si="113"/>
        <v>2.1853799999999994</v>
      </c>
      <c r="R230" s="185">
        <f t="shared" si="113"/>
        <v>7.5099999999999986E-2</v>
      </c>
      <c r="S230" s="148"/>
    </row>
    <row r="231" spans="1:19" ht="15.75" customHeight="1" x14ac:dyDescent="0.25">
      <c r="A231" s="156"/>
      <c r="B231" s="186"/>
      <c r="C231" s="18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48"/>
    </row>
    <row r="232" spans="1:19" ht="15.75" customHeight="1" x14ac:dyDescent="0.25">
      <c r="A232" s="102"/>
      <c r="B232" s="103"/>
      <c r="C232" s="66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5"/>
      <c r="S232" s="148"/>
    </row>
    <row r="233" spans="1:19" ht="15.75" customHeight="1" x14ac:dyDescent="0.25">
      <c r="A233" s="110"/>
      <c r="B233" s="111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148"/>
    </row>
    <row r="234" spans="1:19" ht="15.75" customHeight="1" x14ac:dyDescent="0.25">
      <c r="A234" s="110"/>
      <c r="B234" s="111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148"/>
    </row>
    <row r="235" spans="1:19" ht="15.75" customHeight="1" x14ac:dyDescent="0.25">
      <c r="A235" s="110"/>
      <c r="B235" s="111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148"/>
    </row>
    <row r="236" spans="1:19" ht="15.75" customHeight="1" x14ac:dyDescent="0.25">
      <c r="A236" s="110"/>
      <c r="B236" s="111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148"/>
    </row>
    <row r="237" spans="1:19" ht="15.75" customHeight="1" x14ac:dyDescent="0.25">
      <c r="A237" s="110"/>
      <c r="B237" s="111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148"/>
    </row>
    <row r="238" spans="1:19" ht="15.75" customHeight="1" x14ac:dyDescent="0.25">
      <c r="A238" s="110"/>
      <c r="B238" s="111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148"/>
    </row>
    <row r="239" spans="1:19" ht="15.75" customHeight="1" x14ac:dyDescent="0.25">
      <c r="A239" s="110"/>
      <c r="B239" s="111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148"/>
    </row>
    <row r="240" spans="1:19" ht="15.75" customHeight="1" x14ac:dyDescent="0.25">
      <c r="A240" s="110"/>
      <c r="B240" s="111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148"/>
    </row>
    <row r="241" spans="1:19" ht="15.75" customHeight="1" x14ac:dyDescent="0.25">
      <c r="A241" s="110"/>
      <c r="B241" s="111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148"/>
    </row>
    <row r="242" spans="1:19" ht="15.75" customHeight="1" x14ac:dyDescent="0.25">
      <c r="A242" s="110"/>
      <c r="B242" s="111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148"/>
    </row>
    <row r="243" spans="1:19" ht="15.75" customHeight="1" x14ac:dyDescent="0.25">
      <c r="A243" s="110"/>
      <c r="B243" s="111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148"/>
    </row>
    <row r="244" spans="1:19" ht="15.75" customHeight="1" x14ac:dyDescent="0.25">
      <c r="A244" s="110"/>
      <c r="B244" s="111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148"/>
    </row>
    <row r="245" spans="1:19" ht="15.75" customHeight="1" x14ac:dyDescent="0.25">
      <c r="A245" s="110"/>
      <c r="B245" s="111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148"/>
    </row>
    <row r="246" spans="1:19" ht="15.75" customHeight="1" x14ac:dyDescent="0.25">
      <c r="A246" s="110"/>
      <c r="B246" s="111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148"/>
    </row>
    <row r="247" spans="1:19" ht="15.75" customHeight="1" x14ac:dyDescent="0.25">
      <c r="A247" s="110"/>
      <c r="B247" s="111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148"/>
    </row>
    <row r="248" spans="1:19" ht="15.75" customHeight="1" x14ac:dyDescent="0.25">
      <c r="A248" s="110"/>
      <c r="B248" s="111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148"/>
    </row>
    <row r="249" spans="1:19" ht="15.75" customHeight="1" x14ac:dyDescent="0.25">
      <c r="A249" s="110"/>
      <c r="B249" s="111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148"/>
    </row>
    <row r="250" spans="1:19" ht="15.75" customHeight="1" x14ac:dyDescent="0.25">
      <c r="A250" s="110"/>
      <c r="B250" s="111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148"/>
    </row>
    <row r="251" spans="1:19" ht="15.75" customHeight="1" x14ac:dyDescent="0.25">
      <c r="A251" s="110"/>
      <c r="B251" s="111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148"/>
    </row>
    <row r="252" spans="1:19" ht="15.75" customHeight="1" x14ac:dyDescent="0.25">
      <c r="A252" s="110"/>
      <c r="B252" s="111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148"/>
    </row>
    <row r="253" spans="1:19" ht="15.75" customHeight="1" x14ac:dyDescent="0.25">
      <c r="A253" s="110"/>
      <c r="B253" s="111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148"/>
    </row>
    <row r="254" spans="1:19" ht="15.75" customHeight="1" x14ac:dyDescent="0.25">
      <c r="A254" s="110"/>
      <c r="B254" s="111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148"/>
    </row>
    <row r="255" spans="1:19" ht="15.75" customHeight="1" x14ac:dyDescent="0.25">
      <c r="A255" s="110"/>
      <c r="B255" s="111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148"/>
    </row>
    <row r="256" spans="1:19" ht="15.75" customHeight="1" x14ac:dyDescent="0.25">
      <c r="A256" s="110"/>
      <c r="B256" s="111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148"/>
    </row>
    <row r="257" spans="1:19" ht="15.75" customHeight="1" x14ac:dyDescent="0.25">
      <c r="A257" s="110"/>
      <c r="B257" s="111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148"/>
    </row>
    <row r="258" spans="1:19" ht="15.75" customHeight="1" x14ac:dyDescent="0.25">
      <c r="A258" s="110"/>
      <c r="B258" s="111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148"/>
    </row>
    <row r="259" spans="1:19" ht="15.75" customHeight="1" x14ac:dyDescent="0.25">
      <c r="A259" s="110"/>
      <c r="B259" s="111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148"/>
    </row>
    <row r="260" spans="1:19" ht="15.75" customHeight="1" x14ac:dyDescent="0.25">
      <c r="A260" s="110"/>
      <c r="B260" s="111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148"/>
    </row>
    <row r="261" spans="1:19" ht="15.75" customHeight="1" x14ac:dyDescent="0.25">
      <c r="A261" s="110"/>
      <c r="B261" s="111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148"/>
    </row>
    <row r="262" spans="1:19" ht="15.75" customHeight="1" x14ac:dyDescent="0.25">
      <c r="A262" s="110"/>
      <c r="B262" s="111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148"/>
    </row>
    <row r="263" spans="1:19" ht="15.75" customHeight="1" x14ac:dyDescent="0.25">
      <c r="A263" s="110"/>
      <c r="B263" s="111"/>
      <c r="C263" s="9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8"/>
    </row>
    <row r="264" spans="1:19" ht="15.75" customHeight="1" x14ac:dyDescent="0.25">
      <c r="A264" s="110"/>
      <c r="B264" s="111"/>
      <c r="C264" s="9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8"/>
    </row>
    <row r="265" spans="1:19" ht="15.75" customHeight="1" x14ac:dyDescent="0.25">
      <c r="A265" s="110"/>
      <c r="B265" s="111"/>
      <c r="C265" s="9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8"/>
    </row>
    <row r="266" spans="1:19" ht="15.75" customHeight="1" x14ac:dyDescent="0.25">
      <c r="A266" s="110"/>
      <c r="B266" s="111"/>
      <c r="C266" s="9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8"/>
    </row>
    <row r="267" spans="1:19" ht="15.75" customHeight="1" x14ac:dyDescent="0.25">
      <c r="A267" s="110"/>
      <c r="B267" s="111"/>
      <c r="C267" s="9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8"/>
    </row>
    <row r="268" spans="1:19" ht="15.75" customHeight="1" x14ac:dyDescent="0.25">
      <c r="A268" s="110"/>
      <c r="B268" s="111"/>
      <c r="C268" s="9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8"/>
    </row>
    <row r="269" spans="1:19" ht="15.75" customHeight="1" x14ac:dyDescent="0.25">
      <c r="A269" s="110"/>
      <c r="B269" s="111"/>
      <c r="C269" s="9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8"/>
    </row>
    <row r="270" spans="1:19" ht="15.75" customHeight="1" x14ac:dyDescent="0.25">
      <c r="A270" s="110"/>
      <c r="B270" s="111"/>
      <c r="C270" s="9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8"/>
    </row>
    <row r="271" spans="1:19" ht="15.75" customHeight="1" x14ac:dyDescent="0.25">
      <c r="A271" s="110"/>
      <c r="B271" s="111"/>
      <c r="C271" s="9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8"/>
    </row>
    <row r="272" spans="1:19" ht="15.75" customHeight="1" x14ac:dyDescent="0.25">
      <c r="A272" s="110"/>
      <c r="B272" s="111"/>
      <c r="C272" s="9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8"/>
    </row>
    <row r="273" spans="1:19" ht="15.75" customHeight="1" x14ac:dyDescent="0.25">
      <c r="A273" s="110"/>
      <c r="B273" s="111"/>
      <c r="C273" s="9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8"/>
    </row>
    <row r="274" spans="1:19" ht="15.75" customHeight="1" x14ac:dyDescent="0.25">
      <c r="A274" s="110"/>
      <c r="B274" s="111"/>
      <c r="C274" s="9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8"/>
    </row>
    <row r="275" spans="1:19" ht="15.75" customHeight="1" x14ac:dyDescent="0.25">
      <c r="A275" s="110"/>
      <c r="B275" s="111"/>
      <c r="C275" s="9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8"/>
    </row>
    <row r="276" spans="1:19" ht="15.75" customHeight="1" x14ac:dyDescent="0.25">
      <c r="A276" s="110"/>
      <c r="B276" s="111"/>
      <c r="C276" s="9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8"/>
    </row>
    <row r="277" spans="1:19" ht="15.75" customHeight="1" x14ac:dyDescent="0.25">
      <c r="A277" s="110"/>
      <c r="B277" s="111"/>
      <c r="C277" s="9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8"/>
    </row>
    <row r="278" spans="1:19" ht="15.75" customHeight="1" x14ac:dyDescent="0.25">
      <c r="A278" s="110"/>
      <c r="B278" s="111"/>
      <c r="C278" s="9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8"/>
    </row>
    <row r="279" spans="1:19" ht="15.75" customHeight="1" x14ac:dyDescent="0.25">
      <c r="A279" s="110"/>
      <c r="B279" s="111"/>
      <c r="C279" s="9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8"/>
    </row>
    <row r="280" spans="1:19" ht="15.75" customHeight="1" x14ac:dyDescent="0.25">
      <c r="A280" s="110"/>
      <c r="B280" s="111"/>
      <c r="C280" s="9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8"/>
    </row>
    <row r="281" spans="1:19" ht="15.75" customHeight="1" x14ac:dyDescent="0.25">
      <c r="A281" s="110"/>
      <c r="B281" s="111"/>
      <c r="C281" s="9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8"/>
    </row>
    <row r="282" spans="1:19" ht="15.75" customHeight="1" x14ac:dyDescent="0.25">
      <c r="A282" s="110"/>
      <c r="B282" s="111"/>
      <c r="C282" s="9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8"/>
    </row>
    <row r="283" spans="1:19" ht="15.75" customHeight="1" x14ac:dyDescent="0.25">
      <c r="A283" s="110"/>
      <c r="B283" s="111"/>
      <c r="C283" s="9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8"/>
    </row>
    <row r="284" spans="1:19" ht="15.75" customHeight="1" x14ac:dyDescent="0.25">
      <c r="A284" s="110"/>
      <c r="B284" s="111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148"/>
      <c r="S284" s="148"/>
    </row>
    <row r="285" spans="1:19" ht="15.75" customHeight="1" x14ac:dyDescent="0.25">
      <c r="A285" s="110"/>
      <c r="B285" s="111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148"/>
      <c r="S285" s="148"/>
    </row>
    <row r="286" spans="1:19" ht="15.75" customHeight="1" x14ac:dyDescent="0.25">
      <c r="A286" s="110"/>
      <c r="B286" s="111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148"/>
      <c r="S286" s="148"/>
    </row>
    <row r="287" spans="1:19" ht="15.75" customHeight="1" x14ac:dyDescent="0.25">
      <c r="A287" s="110"/>
      <c r="B287" s="111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148"/>
      <c r="S287" s="148"/>
    </row>
    <row r="288" spans="1:19" ht="15.75" customHeight="1" x14ac:dyDescent="0.25">
      <c r="A288" s="110"/>
      <c r="B288" s="111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148"/>
      <c r="S288" s="148"/>
    </row>
    <row r="289" spans="1:19" ht="15.75" customHeight="1" x14ac:dyDescent="0.25">
      <c r="A289" s="110"/>
      <c r="B289" s="111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148"/>
      <c r="S289" s="148"/>
    </row>
    <row r="290" spans="1:19" ht="15.75" customHeight="1" x14ac:dyDescent="0.25">
      <c r="A290" s="110"/>
      <c r="B290" s="111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148"/>
      <c r="S290" s="148"/>
    </row>
    <row r="291" spans="1:19" ht="15.75" customHeight="1" x14ac:dyDescent="0.25">
      <c r="A291" s="110"/>
      <c r="B291" s="111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148"/>
      <c r="S291" s="148"/>
    </row>
    <row r="292" spans="1:19" ht="15.75" customHeight="1" x14ac:dyDescent="0.25">
      <c r="A292" s="110"/>
      <c r="B292" s="111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148"/>
      <c r="S292" s="148"/>
    </row>
    <row r="293" spans="1:19" ht="15.75" customHeight="1" x14ac:dyDescent="0.25">
      <c r="A293" s="110"/>
      <c r="B293" s="111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148"/>
      <c r="S293" s="148"/>
    </row>
    <row r="294" spans="1:19" ht="15.75" customHeight="1" x14ac:dyDescent="0.25">
      <c r="A294" s="110"/>
      <c r="B294" s="111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148"/>
      <c r="S294" s="148"/>
    </row>
    <row r="295" spans="1:19" ht="15.75" customHeight="1" x14ac:dyDescent="0.25">
      <c r="A295" s="110"/>
      <c r="B295" s="111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148"/>
      <c r="S295" s="148"/>
    </row>
    <row r="296" spans="1:19" ht="15.75" customHeight="1" x14ac:dyDescent="0.25">
      <c r="A296" s="110"/>
      <c r="B296" s="111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148"/>
      <c r="S296" s="148"/>
    </row>
    <row r="297" spans="1:19" ht="15.75" customHeight="1" x14ac:dyDescent="0.25">
      <c r="A297" s="110"/>
      <c r="B297" s="111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148"/>
      <c r="S297" s="148"/>
    </row>
    <row r="298" spans="1:19" ht="15.75" customHeight="1" x14ac:dyDescent="0.25">
      <c r="A298" s="110"/>
      <c r="B298" s="111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148"/>
      <c r="S298" s="148"/>
    </row>
    <row r="299" spans="1:19" ht="15.75" customHeight="1" x14ac:dyDescent="0.25">
      <c r="A299" s="110"/>
      <c r="B299" s="111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148"/>
      <c r="S299" s="148"/>
    </row>
    <row r="300" spans="1:19" ht="15.75" customHeight="1" x14ac:dyDescent="0.25">
      <c r="A300" s="110"/>
      <c r="B300" s="111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148"/>
      <c r="S300" s="148"/>
    </row>
    <row r="301" spans="1:19" ht="15.75" customHeight="1" x14ac:dyDescent="0.25">
      <c r="A301" s="110"/>
      <c r="B301" s="111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148"/>
      <c r="S301" s="148"/>
    </row>
    <row r="302" spans="1:19" ht="15.75" customHeight="1" x14ac:dyDescent="0.25">
      <c r="A302" s="110"/>
      <c r="B302" s="111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148"/>
      <c r="S302" s="148"/>
    </row>
    <row r="303" spans="1:19" ht="15.75" customHeight="1" x14ac:dyDescent="0.25">
      <c r="A303" s="110"/>
      <c r="B303" s="111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148"/>
      <c r="S303" s="148"/>
    </row>
    <row r="304" spans="1:19" ht="15.75" customHeight="1" x14ac:dyDescent="0.25">
      <c r="A304" s="110"/>
      <c r="B304" s="111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148"/>
      <c r="S304" s="148"/>
    </row>
    <row r="305" spans="1:19" ht="15.75" customHeight="1" x14ac:dyDescent="0.25">
      <c r="A305" s="110"/>
      <c r="B305" s="111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148"/>
      <c r="S305" s="148"/>
    </row>
    <row r="306" spans="1:19" ht="15.75" customHeight="1" x14ac:dyDescent="0.25">
      <c r="A306" s="110"/>
      <c r="B306" s="111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148"/>
      <c r="S306" s="148"/>
    </row>
    <row r="307" spans="1:19" ht="15.75" customHeight="1" x14ac:dyDescent="0.25">
      <c r="A307" s="110"/>
      <c r="B307" s="111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148"/>
      <c r="S307" s="148"/>
    </row>
    <row r="308" spans="1:19" ht="15.75" customHeight="1" x14ac:dyDescent="0.25">
      <c r="A308" s="110"/>
      <c r="B308" s="111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148"/>
      <c r="S308" s="148"/>
    </row>
    <row r="309" spans="1:19" ht="15.75" customHeight="1" x14ac:dyDescent="0.25">
      <c r="A309" s="110"/>
      <c r="B309" s="111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148"/>
      <c r="S309" s="148"/>
    </row>
    <row r="310" spans="1:19" ht="15.75" customHeight="1" x14ac:dyDescent="0.25">
      <c r="A310" s="110"/>
      <c r="B310" s="111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148"/>
      <c r="S310" s="148"/>
    </row>
    <row r="311" spans="1:19" ht="15.75" customHeight="1" x14ac:dyDescent="0.25">
      <c r="A311" s="110"/>
      <c r="B311" s="111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148"/>
      <c r="S311" s="148"/>
    </row>
    <row r="312" spans="1:19" ht="15.75" customHeight="1" x14ac:dyDescent="0.25">
      <c r="A312" s="110"/>
      <c r="B312" s="111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148"/>
      <c r="S312" s="148"/>
    </row>
    <row r="313" spans="1:19" ht="15.75" customHeight="1" x14ac:dyDescent="0.25">
      <c r="A313" s="110"/>
      <c r="B313" s="111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148"/>
      <c r="S313" s="148"/>
    </row>
    <row r="314" spans="1:19" ht="15.75" customHeight="1" x14ac:dyDescent="0.25">
      <c r="A314" s="110"/>
      <c r="B314" s="111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148"/>
      <c r="S314" s="148"/>
    </row>
    <row r="315" spans="1:19" ht="15.75" customHeight="1" x14ac:dyDescent="0.25">
      <c r="A315" s="110"/>
      <c r="B315" s="111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148"/>
      <c r="S315" s="148"/>
    </row>
    <row r="316" spans="1:19" ht="15.75" customHeight="1" x14ac:dyDescent="0.25">
      <c r="A316" s="110"/>
      <c r="B316" s="111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148"/>
      <c r="S316" s="148"/>
    </row>
    <row r="317" spans="1:19" ht="15.75" customHeight="1" x14ac:dyDescent="0.25">
      <c r="A317" s="110"/>
      <c r="B317" s="111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148"/>
      <c r="S317" s="148"/>
    </row>
    <row r="318" spans="1:19" ht="15.75" customHeight="1" x14ac:dyDescent="0.25">
      <c r="A318" s="110"/>
      <c r="B318" s="111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148"/>
      <c r="S318" s="148"/>
    </row>
    <row r="319" spans="1:19" ht="15.75" customHeight="1" x14ac:dyDescent="0.25">
      <c r="A319" s="110"/>
      <c r="B319" s="111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148"/>
      <c r="S319" s="148"/>
    </row>
    <row r="320" spans="1:19" ht="15.75" customHeight="1" x14ac:dyDescent="0.25">
      <c r="A320" s="110"/>
      <c r="B320" s="111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148"/>
      <c r="S320" s="148"/>
    </row>
    <row r="321" spans="1:19" ht="15.75" customHeight="1" x14ac:dyDescent="0.25">
      <c r="A321" s="110"/>
      <c r="B321" s="111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148"/>
      <c r="S321" s="148"/>
    </row>
    <row r="322" spans="1:19" ht="15.75" customHeight="1" x14ac:dyDescent="0.25">
      <c r="A322" s="110"/>
      <c r="B322" s="111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148"/>
      <c r="S322" s="148"/>
    </row>
    <row r="323" spans="1:19" ht="15.75" customHeight="1" x14ac:dyDescent="0.25">
      <c r="A323" s="110"/>
      <c r="B323" s="111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148"/>
      <c r="S323" s="148"/>
    </row>
    <row r="324" spans="1:19" ht="15.75" customHeight="1" x14ac:dyDescent="0.25">
      <c r="A324" s="110"/>
      <c r="B324" s="111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148"/>
      <c r="S324" s="148"/>
    </row>
    <row r="325" spans="1:19" ht="15.75" customHeight="1" x14ac:dyDescent="0.25">
      <c r="A325" s="110"/>
      <c r="B325" s="111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148"/>
      <c r="S325" s="148"/>
    </row>
    <row r="326" spans="1:19" ht="15.75" customHeight="1" x14ac:dyDescent="0.25">
      <c r="A326" s="110"/>
      <c r="B326" s="111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148"/>
      <c r="S326" s="148"/>
    </row>
    <row r="327" spans="1:19" ht="15.75" customHeight="1" x14ac:dyDescent="0.25">
      <c r="A327" s="110"/>
      <c r="B327" s="111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148"/>
      <c r="S327" s="148"/>
    </row>
    <row r="328" spans="1:19" ht="15.75" customHeight="1" x14ac:dyDescent="0.25">
      <c r="A328" s="110"/>
      <c r="B328" s="111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148"/>
      <c r="S328" s="148"/>
    </row>
    <row r="329" spans="1:19" ht="15.75" customHeight="1" x14ac:dyDescent="0.25">
      <c r="A329" s="110"/>
      <c r="B329" s="111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148"/>
      <c r="S329" s="148"/>
    </row>
    <row r="330" spans="1:19" ht="15.75" customHeight="1" x14ac:dyDescent="0.25">
      <c r="A330" s="110"/>
      <c r="B330" s="111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148"/>
      <c r="S330" s="148"/>
    </row>
    <row r="331" spans="1:19" ht="15.75" customHeight="1" x14ac:dyDescent="0.25">
      <c r="A331" s="110"/>
      <c r="B331" s="111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148"/>
      <c r="S331" s="148"/>
    </row>
    <row r="332" spans="1:19" ht="15.75" customHeight="1" x14ac:dyDescent="0.25">
      <c r="A332" s="110"/>
      <c r="B332" s="111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148"/>
      <c r="S332" s="148"/>
    </row>
    <row r="333" spans="1:19" ht="15.75" customHeight="1" x14ac:dyDescent="0.25">
      <c r="A333" s="110"/>
      <c r="B333" s="111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148"/>
      <c r="S333" s="148"/>
    </row>
    <row r="334" spans="1:19" ht="15.75" customHeight="1" x14ac:dyDescent="0.25">
      <c r="A334" s="110"/>
      <c r="B334" s="111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148"/>
      <c r="S334" s="148"/>
    </row>
    <row r="335" spans="1:19" ht="15.75" customHeight="1" x14ac:dyDescent="0.25">
      <c r="A335" s="110"/>
      <c r="B335" s="111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148"/>
      <c r="S335" s="148"/>
    </row>
    <row r="336" spans="1:19" ht="15.75" customHeight="1" x14ac:dyDescent="0.25">
      <c r="A336" s="110"/>
      <c r="B336" s="111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148"/>
      <c r="S336" s="148"/>
    </row>
    <row r="337" spans="1:19" ht="15.75" customHeight="1" x14ac:dyDescent="0.25">
      <c r="A337" s="110"/>
      <c r="B337" s="111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148"/>
      <c r="S337" s="148"/>
    </row>
    <row r="338" spans="1:19" ht="15.75" customHeight="1" x14ac:dyDescent="0.25">
      <c r="A338" s="110"/>
      <c r="B338" s="111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148"/>
      <c r="S338" s="148"/>
    </row>
    <row r="339" spans="1:19" ht="15.75" customHeight="1" x14ac:dyDescent="0.25">
      <c r="A339" s="110"/>
      <c r="B339" s="111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148"/>
      <c r="S339" s="148"/>
    </row>
    <row r="340" spans="1:19" ht="15.75" customHeight="1" x14ac:dyDescent="0.25">
      <c r="A340" s="110"/>
      <c r="B340" s="111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148"/>
      <c r="S340" s="148"/>
    </row>
    <row r="341" spans="1:19" ht="15.75" customHeight="1" x14ac:dyDescent="0.25">
      <c r="A341" s="110"/>
      <c r="B341" s="111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148"/>
      <c r="S341" s="148"/>
    </row>
    <row r="342" spans="1:19" ht="15.75" customHeight="1" x14ac:dyDescent="0.25">
      <c r="A342" s="110"/>
      <c r="B342" s="111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148"/>
      <c r="S342" s="148"/>
    </row>
    <row r="343" spans="1:19" ht="15.75" customHeight="1" x14ac:dyDescent="0.25">
      <c r="A343" s="110"/>
      <c r="B343" s="111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148"/>
      <c r="S343" s="148"/>
    </row>
    <row r="344" spans="1:19" ht="15.75" customHeight="1" x14ac:dyDescent="0.25">
      <c r="A344" s="110"/>
      <c r="B344" s="111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148"/>
      <c r="S344" s="148"/>
    </row>
    <row r="345" spans="1:19" ht="15.75" customHeight="1" x14ac:dyDescent="0.25">
      <c r="A345" s="110"/>
      <c r="B345" s="111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148"/>
      <c r="S345" s="148"/>
    </row>
    <row r="346" spans="1:19" ht="15.75" customHeight="1" x14ac:dyDescent="0.25">
      <c r="A346" s="110"/>
      <c r="B346" s="111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148"/>
      <c r="S346" s="148"/>
    </row>
    <row r="347" spans="1:19" ht="15.75" customHeight="1" x14ac:dyDescent="0.25">
      <c r="A347" s="110"/>
      <c r="B347" s="111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148"/>
      <c r="S347" s="148"/>
    </row>
    <row r="348" spans="1:19" ht="15.75" customHeight="1" x14ac:dyDescent="0.25">
      <c r="A348" s="110"/>
      <c r="B348" s="111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148"/>
      <c r="S348" s="148"/>
    </row>
    <row r="349" spans="1:19" ht="15.75" customHeight="1" x14ac:dyDescent="0.25">
      <c r="A349" s="110"/>
      <c r="B349" s="111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148"/>
      <c r="S349" s="148"/>
    </row>
    <row r="350" spans="1:19" ht="15.75" customHeight="1" x14ac:dyDescent="0.25">
      <c r="A350" s="110"/>
      <c r="B350" s="111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148"/>
      <c r="S350" s="148"/>
    </row>
    <row r="351" spans="1:19" ht="15.75" customHeight="1" x14ac:dyDescent="0.25">
      <c r="A351" s="110"/>
      <c r="B351" s="111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148"/>
      <c r="S351" s="148"/>
    </row>
    <row r="352" spans="1:19" ht="15.75" customHeight="1" x14ac:dyDescent="0.25">
      <c r="A352" s="110"/>
      <c r="B352" s="111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148"/>
      <c r="S352" s="148"/>
    </row>
    <row r="353" spans="1:19" ht="15.75" customHeight="1" x14ac:dyDescent="0.25">
      <c r="A353" s="110"/>
      <c r="B353" s="111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148"/>
      <c r="S353" s="148"/>
    </row>
    <row r="354" spans="1:19" ht="15.75" customHeight="1" x14ac:dyDescent="0.25">
      <c r="A354" s="110"/>
      <c r="B354" s="111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148"/>
      <c r="S354" s="148"/>
    </row>
    <row r="355" spans="1:19" ht="15.75" customHeight="1" x14ac:dyDescent="0.25">
      <c r="A355" s="110"/>
      <c r="B355" s="111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148"/>
      <c r="S355" s="148"/>
    </row>
    <row r="356" spans="1:19" ht="15.75" customHeight="1" x14ac:dyDescent="0.25">
      <c r="A356" s="110"/>
      <c r="B356" s="111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148"/>
      <c r="S356" s="148"/>
    </row>
    <row r="357" spans="1:19" ht="15.75" customHeight="1" x14ac:dyDescent="0.25">
      <c r="A357" s="110"/>
      <c r="B357" s="111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148"/>
      <c r="S357" s="148"/>
    </row>
    <row r="358" spans="1:19" ht="15.75" customHeight="1" x14ac:dyDescent="0.25">
      <c r="A358" s="110"/>
      <c r="B358" s="111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148"/>
      <c r="S358" s="148"/>
    </row>
    <row r="359" spans="1:19" ht="15.75" customHeight="1" x14ac:dyDescent="0.25">
      <c r="A359" s="110"/>
      <c r="B359" s="111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148"/>
      <c r="S359" s="148"/>
    </row>
    <row r="360" spans="1:19" ht="15.75" customHeight="1" x14ac:dyDescent="0.25">
      <c r="A360" s="110"/>
      <c r="B360" s="111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148"/>
      <c r="S360" s="148"/>
    </row>
    <row r="361" spans="1:19" ht="15.75" customHeight="1" x14ac:dyDescent="0.25">
      <c r="A361" s="110"/>
      <c r="B361" s="111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148"/>
      <c r="S361" s="148"/>
    </row>
    <row r="362" spans="1:19" ht="15.75" customHeight="1" x14ac:dyDescent="0.25">
      <c r="A362" s="110"/>
      <c r="B362" s="111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148"/>
      <c r="S362" s="148"/>
    </row>
    <row r="363" spans="1:19" ht="15.75" customHeight="1" x14ac:dyDescent="0.25">
      <c r="A363" s="110"/>
      <c r="B363" s="111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148"/>
      <c r="S363" s="148"/>
    </row>
    <row r="364" spans="1:19" ht="15.75" customHeight="1" x14ac:dyDescent="0.25">
      <c r="A364" s="110"/>
      <c r="B364" s="111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148"/>
      <c r="S364" s="148"/>
    </row>
    <row r="365" spans="1:19" ht="15.75" customHeight="1" x14ac:dyDescent="0.25">
      <c r="A365" s="110"/>
      <c r="B365" s="111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148"/>
      <c r="S365" s="148"/>
    </row>
    <row r="366" spans="1:19" ht="15.75" customHeight="1" x14ac:dyDescent="0.25">
      <c r="A366" s="110"/>
      <c r="B366" s="111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148"/>
      <c r="S366" s="148"/>
    </row>
    <row r="367" spans="1:19" ht="15.75" customHeight="1" x14ac:dyDescent="0.25">
      <c r="A367" s="110"/>
      <c r="B367" s="111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148"/>
      <c r="S367" s="148"/>
    </row>
    <row r="368" spans="1:19" ht="15.75" customHeight="1" x14ac:dyDescent="0.25">
      <c r="A368" s="110"/>
      <c r="B368" s="111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148"/>
      <c r="S368" s="148"/>
    </row>
    <row r="369" spans="1:19" ht="15.75" customHeight="1" x14ac:dyDescent="0.25">
      <c r="A369" s="110"/>
      <c r="B369" s="111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148"/>
      <c r="S369" s="148"/>
    </row>
    <row r="370" spans="1:19" ht="15.75" customHeight="1" x14ac:dyDescent="0.25">
      <c r="A370" s="110"/>
      <c r="B370" s="111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148"/>
      <c r="S370" s="148"/>
    </row>
    <row r="371" spans="1:19" ht="15.75" customHeight="1" x14ac:dyDescent="0.25">
      <c r="A371" s="110"/>
      <c r="B371" s="111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148"/>
      <c r="S371" s="148"/>
    </row>
    <row r="372" spans="1:19" ht="15.75" customHeight="1" x14ac:dyDescent="0.25">
      <c r="A372" s="110"/>
      <c r="B372" s="111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148"/>
      <c r="S372" s="148"/>
    </row>
    <row r="373" spans="1:19" ht="15.75" customHeight="1" x14ac:dyDescent="0.25">
      <c r="A373" s="110"/>
      <c r="B373" s="111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148"/>
      <c r="S373" s="148"/>
    </row>
    <row r="374" spans="1:19" ht="15.75" customHeight="1" x14ac:dyDescent="0.25">
      <c r="A374" s="110"/>
      <c r="B374" s="111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148"/>
      <c r="S374" s="148"/>
    </row>
    <row r="375" spans="1:19" ht="15.75" customHeight="1" x14ac:dyDescent="0.25">
      <c r="A375" s="110"/>
      <c r="B375" s="111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148"/>
      <c r="S375" s="148"/>
    </row>
    <row r="376" spans="1:19" ht="15.75" customHeight="1" x14ac:dyDescent="0.25">
      <c r="A376" s="110"/>
      <c r="B376" s="111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148"/>
      <c r="S376" s="148"/>
    </row>
    <row r="377" spans="1:19" ht="15.75" customHeight="1" x14ac:dyDescent="0.25">
      <c r="A377" s="110"/>
      <c r="B377" s="111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148"/>
      <c r="S377" s="148"/>
    </row>
    <row r="378" spans="1:19" ht="15.75" customHeight="1" x14ac:dyDescent="0.25">
      <c r="A378" s="110"/>
      <c r="B378" s="111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148"/>
      <c r="S378" s="148"/>
    </row>
    <row r="379" spans="1:19" ht="15.75" customHeight="1" x14ac:dyDescent="0.25">
      <c r="A379" s="110"/>
      <c r="B379" s="111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148"/>
      <c r="S379" s="148"/>
    </row>
    <row r="380" spans="1:19" ht="15.75" customHeight="1" x14ac:dyDescent="0.25">
      <c r="A380" s="110"/>
      <c r="B380" s="111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148"/>
      <c r="S380" s="148"/>
    </row>
    <row r="381" spans="1:19" ht="15.75" customHeight="1" x14ac:dyDescent="0.25">
      <c r="A381" s="110"/>
      <c r="B381" s="111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148"/>
      <c r="S381" s="148"/>
    </row>
    <row r="382" spans="1:19" ht="15.75" customHeight="1" x14ac:dyDescent="0.25">
      <c r="A382" s="110"/>
      <c r="B382" s="111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148"/>
      <c r="S382" s="148"/>
    </row>
    <row r="383" spans="1:19" ht="15.75" customHeight="1" x14ac:dyDescent="0.25">
      <c r="A383" s="110"/>
      <c r="B383" s="111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148"/>
      <c r="S383" s="148"/>
    </row>
    <row r="384" spans="1:19" ht="15.75" customHeight="1" x14ac:dyDescent="0.25">
      <c r="A384" s="110"/>
      <c r="B384" s="111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148"/>
      <c r="S384" s="148"/>
    </row>
    <row r="385" spans="1:19" ht="15.75" customHeight="1" x14ac:dyDescent="0.25">
      <c r="A385" s="110"/>
      <c r="B385" s="111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148"/>
      <c r="S385" s="148"/>
    </row>
    <row r="386" spans="1:19" ht="15.75" customHeight="1" x14ac:dyDescent="0.25">
      <c r="A386" s="110"/>
      <c r="B386" s="111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148"/>
      <c r="S386" s="148"/>
    </row>
    <row r="387" spans="1:19" ht="15.75" customHeight="1" x14ac:dyDescent="0.25">
      <c r="A387" s="110"/>
      <c r="B387" s="111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148"/>
      <c r="S387" s="148"/>
    </row>
    <row r="388" spans="1:19" ht="15.75" customHeight="1" x14ac:dyDescent="0.25">
      <c r="A388" s="110"/>
      <c r="B388" s="111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148"/>
      <c r="S388" s="148"/>
    </row>
    <row r="389" spans="1:19" ht="15.75" customHeight="1" x14ac:dyDescent="0.25">
      <c r="A389" s="110"/>
      <c r="B389" s="111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148"/>
      <c r="S389" s="148"/>
    </row>
    <row r="390" spans="1:19" ht="15.75" customHeight="1" x14ac:dyDescent="0.25">
      <c r="A390" s="110"/>
      <c r="B390" s="111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148"/>
      <c r="S390" s="148"/>
    </row>
    <row r="391" spans="1:19" ht="15.75" customHeight="1" x14ac:dyDescent="0.25">
      <c r="A391" s="110"/>
      <c r="B391" s="111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148"/>
      <c r="S391" s="148"/>
    </row>
    <row r="392" spans="1:19" ht="15.75" customHeight="1" x14ac:dyDescent="0.25">
      <c r="A392" s="110"/>
      <c r="B392" s="111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148"/>
      <c r="S392" s="148"/>
    </row>
    <row r="393" spans="1:19" ht="15.75" customHeight="1" x14ac:dyDescent="0.25">
      <c r="A393" s="110"/>
      <c r="B393" s="111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148"/>
      <c r="S393" s="148"/>
    </row>
    <row r="394" spans="1:19" ht="15.75" customHeight="1" x14ac:dyDescent="0.25">
      <c r="A394" s="110"/>
      <c r="B394" s="111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148"/>
      <c r="S394" s="148"/>
    </row>
    <row r="395" spans="1:19" ht="15.75" customHeight="1" x14ac:dyDescent="0.25">
      <c r="A395" s="110"/>
      <c r="B395" s="111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148"/>
      <c r="S395" s="148"/>
    </row>
    <row r="396" spans="1:19" ht="15.75" customHeight="1" x14ac:dyDescent="0.25">
      <c r="A396" s="110"/>
      <c r="B396" s="111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148"/>
      <c r="S396" s="148"/>
    </row>
    <row r="397" spans="1:19" ht="15.75" customHeight="1" x14ac:dyDescent="0.25">
      <c r="A397" s="110"/>
      <c r="B397" s="111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148"/>
      <c r="S397" s="148"/>
    </row>
    <row r="398" spans="1:19" ht="15.75" customHeight="1" x14ac:dyDescent="0.25">
      <c r="A398" s="110"/>
      <c r="B398" s="111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148"/>
      <c r="S398" s="148"/>
    </row>
    <row r="399" spans="1:19" ht="15.75" customHeight="1" x14ac:dyDescent="0.25">
      <c r="A399" s="110"/>
      <c r="B399" s="111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148"/>
      <c r="S399" s="148"/>
    </row>
    <row r="400" spans="1:19" ht="15.75" customHeight="1" x14ac:dyDescent="0.25">
      <c r="A400" s="110"/>
      <c r="B400" s="111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148"/>
      <c r="S400" s="148"/>
    </row>
    <row r="401" spans="1:19" ht="15.75" customHeight="1" x14ac:dyDescent="0.25">
      <c r="A401" s="110"/>
      <c r="B401" s="111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148"/>
      <c r="S401" s="148"/>
    </row>
    <row r="402" spans="1:19" ht="15.75" customHeight="1" x14ac:dyDescent="0.25">
      <c r="A402" s="110"/>
      <c r="B402" s="111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148"/>
      <c r="S402" s="148"/>
    </row>
    <row r="403" spans="1:19" ht="15.75" customHeight="1" x14ac:dyDescent="0.25">
      <c r="A403" s="110"/>
      <c r="B403" s="111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148"/>
      <c r="S403" s="148"/>
    </row>
    <row r="404" spans="1:19" ht="15.75" customHeight="1" x14ac:dyDescent="0.25">
      <c r="A404" s="110"/>
      <c r="B404" s="111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148"/>
      <c r="S404" s="148"/>
    </row>
    <row r="405" spans="1:19" ht="15.75" customHeight="1" x14ac:dyDescent="0.25">
      <c r="A405" s="110"/>
      <c r="B405" s="111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148"/>
      <c r="S405" s="148"/>
    </row>
    <row r="406" spans="1:19" ht="15.75" customHeight="1" x14ac:dyDescent="0.25">
      <c r="A406" s="110"/>
      <c r="B406" s="111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148"/>
      <c r="S406" s="148"/>
    </row>
    <row r="407" spans="1:19" ht="15.75" customHeight="1" x14ac:dyDescent="0.25">
      <c r="A407" s="110"/>
      <c r="B407" s="111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148"/>
      <c r="S407" s="148"/>
    </row>
    <row r="408" spans="1:19" ht="15.75" customHeight="1" x14ac:dyDescent="0.25">
      <c r="A408" s="110"/>
      <c r="B408" s="111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148"/>
      <c r="S408" s="148"/>
    </row>
    <row r="409" spans="1:19" ht="15.75" customHeight="1" x14ac:dyDescent="0.25">
      <c r="A409" s="110"/>
      <c r="B409" s="111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148"/>
      <c r="S409" s="148"/>
    </row>
    <row r="410" spans="1:19" ht="15.75" customHeight="1" x14ac:dyDescent="0.25">
      <c r="A410" s="110"/>
      <c r="B410" s="111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148"/>
      <c r="S410" s="148"/>
    </row>
    <row r="411" spans="1:19" ht="15.75" customHeight="1" x14ac:dyDescent="0.25">
      <c r="A411" s="110"/>
      <c r="B411" s="111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148"/>
      <c r="S411" s="148"/>
    </row>
    <row r="412" spans="1:19" ht="15.75" customHeight="1" x14ac:dyDescent="0.25">
      <c r="A412" s="110"/>
      <c r="B412" s="111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148"/>
      <c r="S412" s="148"/>
    </row>
    <row r="413" spans="1:19" ht="15.75" customHeight="1" x14ac:dyDescent="0.25">
      <c r="A413" s="110"/>
      <c r="B413" s="111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148"/>
      <c r="S413" s="148"/>
    </row>
    <row r="414" spans="1:19" ht="15.75" customHeight="1" x14ac:dyDescent="0.25">
      <c r="A414" s="110"/>
      <c r="B414" s="111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148"/>
      <c r="S414" s="148"/>
    </row>
    <row r="415" spans="1:19" ht="15.75" customHeight="1" x14ac:dyDescent="0.25">
      <c r="A415" s="110"/>
      <c r="B415" s="111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148"/>
      <c r="S415" s="148"/>
    </row>
    <row r="416" spans="1:19" ht="15.75" customHeight="1" x14ac:dyDescent="0.25">
      <c r="A416" s="110"/>
      <c r="B416" s="111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148"/>
      <c r="S416" s="148"/>
    </row>
    <row r="417" spans="1:19" ht="15.75" customHeight="1" x14ac:dyDescent="0.25">
      <c r="A417" s="110"/>
      <c r="B417" s="111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148"/>
      <c r="S417" s="148"/>
    </row>
    <row r="418" spans="1:19" ht="15.75" customHeight="1" x14ac:dyDescent="0.25">
      <c r="A418" s="110"/>
      <c r="B418" s="111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148"/>
      <c r="S418" s="148"/>
    </row>
    <row r="419" spans="1:19" ht="15.75" customHeight="1" x14ac:dyDescent="0.25">
      <c r="A419" s="110"/>
      <c r="B419" s="111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148"/>
      <c r="S419" s="148"/>
    </row>
    <row r="420" spans="1:19" ht="15.75" customHeight="1" x14ac:dyDescent="0.25">
      <c r="A420" s="110"/>
      <c r="B420" s="111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148"/>
      <c r="S420" s="148"/>
    </row>
    <row r="421" spans="1:19" ht="15.75" customHeight="1" x14ac:dyDescent="0.25">
      <c r="A421" s="110"/>
      <c r="B421" s="111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148"/>
      <c r="S421" s="148"/>
    </row>
    <row r="422" spans="1:19" ht="15.75" customHeight="1" x14ac:dyDescent="0.25">
      <c r="A422" s="110"/>
      <c r="B422" s="111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148"/>
      <c r="S422" s="148"/>
    </row>
    <row r="423" spans="1:19" ht="15.75" customHeight="1" x14ac:dyDescent="0.25">
      <c r="A423" s="110"/>
      <c r="B423" s="111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148"/>
      <c r="S423" s="148"/>
    </row>
    <row r="424" spans="1:19" ht="15.75" customHeight="1" x14ac:dyDescent="0.25">
      <c r="A424" s="110"/>
      <c r="B424" s="111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148"/>
      <c r="S424" s="148"/>
    </row>
    <row r="425" spans="1:19" ht="15.75" customHeight="1" x14ac:dyDescent="0.25">
      <c r="A425" s="110"/>
      <c r="B425" s="111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148"/>
      <c r="S425" s="148"/>
    </row>
    <row r="426" spans="1:19" ht="15.75" customHeight="1" x14ac:dyDescent="0.25">
      <c r="A426" s="110"/>
      <c r="B426" s="111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148"/>
      <c r="S426" s="148"/>
    </row>
    <row r="427" spans="1:19" ht="15.75" customHeight="1" x14ac:dyDescent="0.25">
      <c r="A427" s="110"/>
      <c r="B427" s="111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148"/>
      <c r="S427" s="148"/>
    </row>
    <row r="428" spans="1:19" ht="15.75" customHeight="1" x14ac:dyDescent="0.25">
      <c r="A428" s="110"/>
      <c r="B428" s="111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148"/>
      <c r="S428" s="148"/>
    </row>
    <row r="429" spans="1:19" ht="15.75" customHeight="1" x14ac:dyDescent="0.25">
      <c r="A429" s="110"/>
      <c r="B429" s="111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148"/>
      <c r="S429" s="148"/>
    </row>
    <row r="430" spans="1:19" ht="15.75" customHeight="1" x14ac:dyDescent="0.25">
      <c r="A430" s="110"/>
      <c r="B430" s="111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148"/>
      <c r="S430" s="148"/>
    </row>
    <row r="431" spans="1:19" ht="15.75" customHeight="1" x14ac:dyDescent="0.25">
      <c r="A431" s="110"/>
      <c r="B431" s="111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148"/>
      <c r="S431" s="148"/>
    </row>
    <row r="432" spans="1:19" ht="15.75" customHeight="1" x14ac:dyDescent="0.25">
      <c r="A432" s="110"/>
      <c r="B432" s="111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148"/>
      <c r="S432" s="148"/>
    </row>
    <row r="433" spans="1:19" ht="15.75" customHeight="1" x14ac:dyDescent="0.25">
      <c r="A433" s="110"/>
      <c r="B433" s="111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148"/>
      <c r="S433" s="148"/>
    </row>
    <row r="434" spans="1:19" ht="15.75" customHeight="1" x14ac:dyDescent="0.25">
      <c r="A434" s="110"/>
      <c r="B434" s="111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148"/>
      <c r="S434" s="148"/>
    </row>
    <row r="435" spans="1:19" ht="15.75" customHeight="1" x14ac:dyDescent="0.25">
      <c r="A435" s="110"/>
      <c r="B435" s="111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148"/>
      <c r="S435" s="148"/>
    </row>
    <row r="436" spans="1:19" ht="15.75" customHeight="1" x14ac:dyDescent="0.25">
      <c r="A436" s="110"/>
      <c r="B436" s="111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148"/>
      <c r="S436" s="148"/>
    </row>
    <row r="437" spans="1:19" ht="15.75" customHeight="1" x14ac:dyDescent="0.25">
      <c r="A437" s="110"/>
      <c r="B437" s="111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148"/>
      <c r="S437" s="148"/>
    </row>
    <row r="438" spans="1:19" ht="15.75" customHeight="1" x14ac:dyDescent="0.25">
      <c r="A438" s="110"/>
      <c r="B438" s="111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148"/>
      <c r="S438" s="148"/>
    </row>
    <row r="439" spans="1:19" ht="15.75" customHeight="1" x14ac:dyDescent="0.25">
      <c r="A439" s="110"/>
      <c r="B439" s="111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148"/>
      <c r="S439" s="148"/>
    </row>
    <row r="440" spans="1:19" ht="15.75" customHeight="1" x14ac:dyDescent="0.25">
      <c r="A440" s="110"/>
      <c r="B440" s="111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148"/>
      <c r="S440" s="148"/>
    </row>
    <row r="441" spans="1:19" ht="15.75" customHeight="1" x14ac:dyDescent="0.25">
      <c r="A441" s="110"/>
      <c r="B441" s="111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148"/>
      <c r="S441" s="148"/>
    </row>
    <row r="442" spans="1:19" ht="15.75" customHeight="1" x14ac:dyDescent="0.25">
      <c r="A442" s="110"/>
      <c r="B442" s="111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148"/>
      <c r="S442" s="148"/>
    </row>
    <row r="443" spans="1:19" ht="15.75" customHeight="1" x14ac:dyDescent="0.25">
      <c r="A443" s="110"/>
      <c r="B443" s="111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148"/>
      <c r="S443" s="148"/>
    </row>
    <row r="444" spans="1:19" ht="15.75" customHeight="1" x14ac:dyDescent="0.25">
      <c r="A444" s="110"/>
      <c r="B444" s="111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148"/>
      <c r="S444" s="148"/>
    </row>
    <row r="445" spans="1:19" ht="15.75" customHeight="1" x14ac:dyDescent="0.25">
      <c r="A445" s="110"/>
      <c r="B445" s="111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148"/>
      <c r="S445" s="148"/>
    </row>
    <row r="446" spans="1:19" ht="15.75" customHeight="1" x14ac:dyDescent="0.25">
      <c r="A446" s="110"/>
      <c r="B446" s="111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148"/>
      <c r="S446" s="148"/>
    </row>
    <row r="447" spans="1:19" ht="15.75" customHeight="1" x14ac:dyDescent="0.25">
      <c r="A447" s="110"/>
      <c r="B447" s="111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148"/>
      <c r="S447" s="148"/>
    </row>
    <row r="448" spans="1:19" ht="15.75" customHeight="1" x14ac:dyDescent="0.25">
      <c r="A448" s="110"/>
      <c r="B448" s="111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148"/>
      <c r="S448" s="148"/>
    </row>
    <row r="449" spans="1:19" ht="15.75" customHeight="1" x14ac:dyDescent="0.25">
      <c r="A449" s="110"/>
      <c r="B449" s="111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148"/>
      <c r="S449" s="148"/>
    </row>
    <row r="450" spans="1:19" ht="15.75" customHeight="1" x14ac:dyDescent="0.25">
      <c r="A450" s="110"/>
      <c r="B450" s="111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148"/>
      <c r="S450" s="148"/>
    </row>
    <row r="451" spans="1:19" ht="15.75" customHeight="1" x14ac:dyDescent="0.25">
      <c r="A451" s="110"/>
      <c r="B451" s="111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148"/>
      <c r="S451" s="148"/>
    </row>
    <row r="452" spans="1:19" ht="15.75" customHeight="1" x14ac:dyDescent="0.25">
      <c r="A452" s="110"/>
      <c r="B452" s="111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148"/>
      <c r="S452" s="148"/>
    </row>
    <row r="453" spans="1:19" ht="15.75" customHeight="1" x14ac:dyDescent="0.25">
      <c r="A453" s="110"/>
      <c r="B453" s="111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148"/>
      <c r="S453" s="148"/>
    </row>
    <row r="454" spans="1:19" ht="15.75" customHeight="1" x14ac:dyDescent="0.25">
      <c r="A454" s="110"/>
      <c r="B454" s="111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148"/>
      <c r="S454" s="148"/>
    </row>
    <row r="455" spans="1:19" ht="15.75" customHeight="1" x14ac:dyDescent="0.25">
      <c r="A455" s="110"/>
      <c r="B455" s="111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148"/>
      <c r="S455" s="148"/>
    </row>
    <row r="456" spans="1:19" ht="15.75" customHeight="1" x14ac:dyDescent="0.25">
      <c r="A456" s="110"/>
      <c r="B456" s="111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148"/>
      <c r="S456" s="148"/>
    </row>
    <row r="457" spans="1:19" ht="15.75" customHeight="1" x14ac:dyDescent="0.25">
      <c r="A457" s="110"/>
      <c r="B457" s="111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148"/>
      <c r="S457" s="148"/>
    </row>
    <row r="458" spans="1:19" ht="15.75" customHeight="1" x14ac:dyDescent="0.25">
      <c r="A458" s="110"/>
      <c r="B458" s="111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148"/>
      <c r="S458" s="148"/>
    </row>
    <row r="459" spans="1:19" ht="15.75" customHeight="1" x14ac:dyDescent="0.25">
      <c r="A459" s="110"/>
      <c r="B459" s="111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148"/>
      <c r="S459" s="148"/>
    </row>
    <row r="460" spans="1:19" ht="15.75" customHeight="1" x14ac:dyDescent="0.25">
      <c r="A460" s="110"/>
      <c r="B460" s="111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148"/>
      <c r="S460" s="148"/>
    </row>
    <row r="461" spans="1:19" ht="15.75" customHeight="1" x14ac:dyDescent="0.25">
      <c r="A461" s="110"/>
      <c r="B461" s="111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148"/>
      <c r="S461" s="148"/>
    </row>
    <row r="462" spans="1:19" ht="15.75" customHeight="1" x14ac:dyDescent="0.25">
      <c r="A462" s="110"/>
      <c r="B462" s="111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148"/>
      <c r="S462" s="148"/>
    </row>
    <row r="463" spans="1:19" ht="15.75" customHeight="1" x14ac:dyDescent="0.25">
      <c r="A463" s="110"/>
      <c r="B463" s="111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148"/>
      <c r="S463" s="148"/>
    </row>
    <row r="464" spans="1:19" ht="15.75" customHeight="1" x14ac:dyDescent="0.25">
      <c r="A464" s="110"/>
      <c r="B464" s="111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148"/>
      <c r="S464" s="148"/>
    </row>
    <row r="465" spans="1:19" ht="15.75" customHeight="1" x14ac:dyDescent="0.25">
      <c r="A465" s="110"/>
      <c r="B465" s="111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148"/>
      <c r="S465" s="148"/>
    </row>
    <row r="466" spans="1:19" ht="15.75" customHeight="1" x14ac:dyDescent="0.25">
      <c r="A466" s="110"/>
      <c r="B466" s="111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148"/>
      <c r="S466" s="148"/>
    </row>
    <row r="467" spans="1:19" ht="15.75" customHeight="1" x14ac:dyDescent="0.25">
      <c r="A467" s="110"/>
      <c r="B467" s="111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148"/>
      <c r="S467" s="148"/>
    </row>
    <row r="468" spans="1:19" ht="15.75" customHeight="1" x14ac:dyDescent="0.25">
      <c r="A468" s="110"/>
      <c r="B468" s="111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148"/>
      <c r="S468" s="148"/>
    </row>
    <row r="469" spans="1:19" ht="15.75" customHeight="1" x14ac:dyDescent="0.25">
      <c r="A469" s="110"/>
      <c r="B469" s="111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148"/>
      <c r="S469" s="148"/>
    </row>
    <row r="470" spans="1:19" ht="15.75" customHeight="1" x14ac:dyDescent="0.25">
      <c r="A470" s="110"/>
      <c r="B470" s="111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148"/>
      <c r="S470" s="148"/>
    </row>
    <row r="471" spans="1:19" ht="15.75" customHeight="1" x14ac:dyDescent="0.25">
      <c r="A471" s="110"/>
      <c r="B471" s="111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148"/>
      <c r="S471" s="148"/>
    </row>
    <row r="472" spans="1:19" ht="15.75" customHeight="1" x14ac:dyDescent="0.25">
      <c r="A472" s="110"/>
      <c r="B472" s="111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148"/>
      <c r="S472" s="148"/>
    </row>
    <row r="473" spans="1:19" ht="15.75" customHeight="1" x14ac:dyDescent="0.25">
      <c r="A473" s="110"/>
      <c r="B473" s="111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148"/>
      <c r="S473" s="148"/>
    </row>
    <row r="474" spans="1:19" ht="15.75" customHeight="1" x14ac:dyDescent="0.25">
      <c r="A474" s="110"/>
      <c r="B474" s="111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148"/>
      <c r="S474" s="148"/>
    </row>
    <row r="475" spans="1:19" ht="15.75" customHeight="1" x14ac:dyDescent="0.25">
      <c r="A475" s="110"/>
      <c r="B475" s="111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148"/>
      <c r="S475" s="148"/>
    </row>
    <row r="476" spans="1:19" ht="15.75" customHeight="1" x14ac:dyDescent="0.25">
      <c r="A476" s="110"/>
      <c r="B476" s="111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148"/>
      <c r="S476" s="148"/>
    </row>
    <row r="477" spans="1:19" ht="15.75" customHeight="1" x14ac:dyDescent="0.25">
      <c r="A477" s="110"/>
      <c r="B477" s="111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148"/>
      <c r="S477" s="148"/>
    </row>
    <row r="478" spans="1:19" ht="15.75" customHeight="1" x14ac:dyDescent="0.25">
      <c r="A478" s="110"/>
      <c r="B478" s="111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148"/>
      <c r="S478" s="148"/>
    </row>
    <row r="479" spans="1:19" ht="15.75" customHeight="1" x14ac:dyDescent="0.25">
      <c r="A479" s="110"/>
      <c r="B479" s="111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148"/>
      <c r="S479" s="148"/>
    </row>
    <row r="480" spans="1:19" ht="15.75" customHeight="1" x14ac:dyDescent="0.25">
      <c r="A480" s="110"/>
      <c r="B480" s="111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148"/>
      <c r="S480" s="148"/>
    </row>
    <row r="481" spans="1:19" ht="15.75" customHeight="1" x14ac:dyDescent="0.25">
      <c r="A481" s="110"/>
      <c r="B481" s="111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148"/>
      <c r="S481" s="148"/>
    </row>
    <row r="482" spans="1:19" ht="15.75" customHeight="1" x14ac:dyDescent="0.25">
      <c r="A482" s="110"/>
      <c r="B482" s="111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148"/>
      <c r="S482" s="148"/>
    </row>
    <row r="483" spans="1:19" ht="15.75" customHeight="1" x14ac:dyDescent="0.25">
      <c r="A483" s="110"/>
      <c r="B483" s="111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148"/>
      <c r="S483" s="148"/>
    </row>
    <row r="484" spans="1:19" ht="15.75" customHeight="1" x14ac:dyDescent="0.25">
      <c r="A484" s="110"/>
      <c r="B484" s="111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148"/>
      <c r="S484" s="148"/>
    </row>
    <row r="485" spans="1:19" ht="15.75" customHeight="1" x14ac:dyDescent="0.25">
      <c r="A485" s="110"/>
      <c r="B485" s="111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148"/>
      <c r="S485" s="148"/>
    </row>
    <row r="486" spans="1:19" ht="15.75" customHeight="1" x14ac:dyDescent="0.25">
      <c r="A486" s="110"/>
      <c r="B486" s="111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148"/>
      <c r="S486" s="148"/>
    </row>
    <row r="487" spans="1:19" ht="15.75" customHeight="1" x14ac:dyDescent="0.25">
      <c r="A487" s="110"/>
      <c r="B487" s="111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148"/>
      <c r="S487" s="148"/>
    </row>
    <row r="488" spans="1:19" ht="15.75" customHeight="1" x14ac:dyDescent="0.25">
      <c r="A488" s="110"/>
      <c r="B488" s="111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148"/>
      <c r="S488" s="148"/>
    </row>
    <row r="489" spans="1:19" ht="15.75" customHeight="1" x14ac:dyDescent="0.25">
      <c r="A489" s="110"/>
      <c r="B489" s="111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148"/>
      <c r="S489" s="148"/>
    </row>
    <row r="490" spans="1:19" ht="15.75" customHeight="1" x14ac:dyDescent="0.25">
      <c r="A490" s="110"/>
      <c r="B490" s="111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148"/>
      <c r="S490" s="148"/>
    </row>
    <row r="491" spans="1:19" ht="15.75" customHeight="1" x14ac:dyDescent="0.25">
      <c r="A491" s="110"/>
      <c r="B491" s="111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148"/>
      <c r="S491" s="148"/>
    </row>
    <row r="492" spans="1:19" ht="15.75" customHeight="1" x14ac:dyDescent="0.25">
      <c r="A492" s="110"/>
      <c r="B492" s="111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148"/>
      <c r="S492" s="148"/>
    </row>
    <row r="493" spans="1:19" ht="15.75" customHeight="1" x14ac:dyDescent="0.25">
      <c r="A493" s="110"/>
      <c r="B493" s="111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148"/>
      <c r="S493" s="148"/>
    </row>
    <row r="494" spans="1:19" ht="15.75" customHeight="1" x14ac:dyDescent="0.25">
      <c r="A494" s="110"/>
      <c r="B494" s="111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148"/>
      <c r="S494" s="148"/>
    </row>
    <row r="495" spans="1:19" ht="15.75" customHeight="1" x14ac:dyDescent="0.25">
      <c r="A495" s="110"/>
      <c r="B495" s="111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148"/>
      <c r="S495" s="148"/>
    </row>
    <row r="496" spans="1:19" ht="15.75" customHeight="1" x14ac:dyDescent="0.25">
      <c r="A496" s="110"/>
      <c r="B496" s="111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148"/>
      <c r="S496" s="148"/>
    </row>
    <row r="497" spans="1:19" ht="15.75" customHeight="1" x14ac:dyDescent="0.25">
      <c r="A497" s="110"/>
      <c r="B497" s="111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148"/>
      <c r="S497" s="148"/>
    </row>
    <row r="498" spans="1:19" ht="15.75" customHeight="1" x14ac:dyDescent="0.25">
      <c r="A498" s="110"/>
      <c r="B498" s="111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148"/>
      <c r="S498" s="148"/>
    </row>
    <row r="499" spans="1:19" ht="15.75" customHeight="1" x14ac:dyDescent="0.25">
      <c r="A499" s="110"/>
      <c r="B499" s="111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148"/>
      <c r="S499" s="148"/>
    </row>
    <row r="500" spans="1:19" ht="15.75" customHeight="1" x14ac:dyDescent="0.25">
      <c r="A500" s="110"/>
      <c r="B500" s="111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148"/>
      <c r="S500" s="148"/>
    </row>
    <row r="501" spans="1:19" ht="15.75" customHeight="1" x14ac:dyDescent="0.25">
      <c r="A501" s="110"/>
      <c r="B501" s="111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148"/>
      <c r="S501" s="148"/>
    </row>
    <row r="502" spans="1:19" ht="15.75" customHeight="1" x14ac:dyDescent="0.25">
      <c r="A502" s="110"/>
      <c r="B502" s="111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148"/>
      <c r="S502" s="148"/>
    </row>
    <row r="503" spans="1:19" ht="15.75" customHeight="1" x14ac:dyDescent="0.25">
      <c r="A503" s="110"/>
      <c r="B503" s="111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148"/>
      <c r="S503" s="148"/>
    </row>
    <row r="504" spans="1:19" ht="15.75" customHeight="1" x14ac:dyDescent="0.25">
      <c r="A504" s="110"/>
      <c r="B504" s="111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148"/>
      <c r="S504" s="148"/>
    </row>
    <row r="505" spans="1:19" ht="15.75" customHeight="1" x14ac:dyDescent="0.25">
      <c r="A505" s="110"/>
      <c r="B505" s="111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148"/>
      <c r="S505" s="148"/>
    </row>
    <row r="506" spans="1:19" ht="15.75" customHeight="1" x14ac:dyDescent="0.25">
      <c r="A506" s="110"/>
      <c r="B506" s="111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148"/>
      <c r="S506" s="148"/>
    </row>
    <row r="507" spans="1:19" ht="15.75" customHeight="1" x14ac:dyDescent="0.25">
      <c r="A507" s="110"/>
      <c r="B507" s="111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148"/>
      <c r="S507" s="148"/>
    </row>
    <row r="508" spans="1:19" ht="15.75" customHeight="1" x14ac:dyDescent="0.25">
      <c r="A508" s="110"/>
      <c r="B508" s="111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148"/>
      <c r="S508" s="148"/>
    </row>
    <row r="509" spans="1:19" ht="15.75" customHeight="1" x14ac:dyDescent="0.25">
      <c r="A509" s="110"/>
      <c r="B509" s="111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148"/>
      <c r="S509" s="148"/>
    </row>
    <row r="510" spans="1:19" ht="15.75" customHeight="1" x14ac:dyDescent="0.25">
      <c r="A510" s="110"/>
      <c r="B510" s="111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148"/>
      <c r="S510" s="148"/>
    </row>
    <row r="511" spans="1:19" ht="15.75" customHeight="1" x14ac:dyDescent="0.25">
      <c r="A511" s="110"/>
      <c r="B511" s="111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148"/>
      <c r="S511" s="148"/>
    </row>
    <row r="512" spans="1:19" ht="15.75" customHeight="1" x14ac:dyDescent="0.25">
      <c r="A512" s="110"/>
      <c r="B512" s="111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148"/>
      <c r="S512" s="148"/>
    </row>
    <row r="513" spans="1:19" ht="15.75" customHeight="1" x14ac:dyDescent="0.25">
      <c r="A513" s="110"/>
      <c r="B513" s="111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148"/>
      <c r="S513" s="148"/>
    </row>
    <row r="514" spans="1:19" ht="15.75" customHeight="1" x14ac:dyDescent="0.25">
      <c r="A514" s="110"/>
      <c r="B514" s="111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148"/>
      <c r="S514" s="148"/>
    </row>
    <row r="515" spans="1:19" ht="15.75" customHeight="1" x14ac:dyDescent="0.25">
      <c r="A515" s="110"/>
      <c r="B515" s="111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148"/>
      <c r="S515" s="148"/>
    </row>
    <row r="516" spans="1:19" ht="15.75" customHeight="1" x14ac:dyDescent="0.25">
      <c r="A516" s="110"/>
      <c r="B516" s="111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148"/>
      <c r="S516" s="148"/>
    </row>
    <row r="517" spans="1:19" ht="15.75" customHeight="1" x14ac:dyDescent="0.25">
      <c r="A517" s="110"/>
      <c r="B517" s="111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148"/>
      <c r="S517" s="148"/>
    </row>
    <row r="518" spans="1:19" ht="15.75" customHeight="1" x14ac:dyDescent="0.25">
      <c r="A518" s="110"/>
      <c r="B518" s="111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148"/>
      <c r="S518" s="148"/>
    </row>
    <row r="519" spans="1:19" ht="15.75" customHeight="1" x14ac:dyDescent="0.25">
      <c r="A519" s="110"/>
      <c r="B519" s="111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148"/>
      <c r="S519" s="148"/>
    </row>
    <row r="520" spans="1:19" ht="15.75" customHeight="1" x14ac:dyDescent="0.25">
      <c r="A520" s="110"/>
      <c r="B520" s="111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148"/>
      <c r="S520" s="148"/>
    </row>
    <row r="521" spans="1:19" ht="15.75" customHeight="1" x14ac:dyDescent="0.25">
      <c r="A521" s="110"/>
      <c r="B521" s="111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148"/>
      <c r="S521" s="148"/>
    </row>
    <row r="522" spans="1:19" ht="15.75" customHeight="1" x14ac:dyDescent="0.25">
      <c r="A522" s="110"/>
      <c r="B522" s="111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148"/>
      <c r="S522" s="148"/>
    </row>
    <row r="523" spans="1:19" ht="15.75" customHeight="1" x14ac:dyDescent="0.25">
      <c r="A523" s="110"/>
      <c r="B523" s="111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148"/>
      <c r="S523" s="148"/>
    </row>
    <row r="524" spans="1:19" ht="15.75" customHeight="1" x14ac:dyDescent="0.25">
      <c r="A524" s="110"/>
      <c r="B524" s="111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148"/>
      <c r="S524" s="148"/>
    </row>
    <row r="525" spans="1:19" ht="15.75" customHeight="1" x14ac:dyDescent="0.25">
      <c r="A525" s="110"/>
      <c r="B525" s="111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148"/>
      <c r="S525" s="148"/>
    </row>
    <row r="526" spans="1:19" ht="15.75" customHeight="1" x14ac:dyDescent="0.25">
      <c r="A526" s="110"/>
      <c r="B526" s="111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148"/>
      <c r="S526" s="148"/>
    </row>
    <row r="527" spans="1:19" ht="15.75" customHeight="1" x14ac:dyDescent="0.25">
      <c r="A527" s="110"/>
      <c r="B527" s="111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148"/>
      <c r="S527" s="148"/>
    </row>
    <row r="528" spans="1:19" ht="15.75" customHeight="1" x14ac:dyDescent="0.25">
      <c r="A528" s="110"/>
      <c r="B528" s="111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148"/>
      <c r="S528" s="148"/>
    </row>
    <row r="529" spans="1:19" ht="15.75" customHeight="1" x14ac:dyDescent="0.25">
      <c r="A529" s="110"/>
      <c r="B529" s="111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148"/>
      <c r="S529" s="148"/>
    </row>
    <row r="530" spans="1:19" ht="15.75" customHeight="1" x14ac:dyDescent="0.25">
      <c r="A530" s="110"/>
      <c r="B530" s="111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148"/>
      <c r="S530" s="148"/>
    </row>
    <row r="531" spans="1:19" ht="15.75" customHeight="1" x14ac:dyDescent="0.25">
      <c r="A531" s="110"/>
      <c r="B531" s="111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148"/>
      <c r="S531" s="148"/>
    </row>
    <row r="532" spans="1:19" ht="15.75" customHeight="1" x14ac:dyDescent="0.25">
      <c r="A532" s="110"/>
      <c r="B532" s="111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148"/>
      <c r="S532" s="148"/>
    </row>
    <row r="533" spans="1:19" ht="15.75" customHeight="1" x14ac:dyDescent="0.25">
      <c r="A533" s="110"/>
      <c r="B533" s="111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148"/>
      <c r="S533" s="148"/>
    </row>
    <row r="534" spans="1:19" ht="15.75" customHeight="1" x14ac:dyDescent="0.25">
      <c r="A534" s="110"/>
      <c r="B534" s="111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148"/>
      <c r="S534" s="148"/>
    </row>
    <row r="535" spans="1:19" ht="15.75" customHeight="1" x14ac:dyDescent="0.25">
      <c r="A535" s="110"/>
      <c r="B535" s="111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148"/>
      <c r="S535" s="148"/>
    </row>
    <row r="536" spans="1:19" ht="15.75" customHeight="1" x14ac:dyDescent="0.25">
      <c r="A536" s="110"/>
      <c r="B536" s="111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148"/>
      <c r="S536" s="148"/>
    </row>
    <row r="537" spans="1:19" ht="15.75" customHeight="1" x14ac:dyDescent="0.25">
      <c r="A537" s="110"/>
      <c r="B537" s="111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148"/>
      <c r="S537" s="148"/>
    </row>
    <row r="538" spans="1:19" ht="15.75" customHeight="1" x14ac:dyDescent="0.25">
      <c r="A538" s="110"/>
      <c r="B538" s="111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148"/>
      <c r="S538" s="148"/>
    </row>
    <row r="539" spans="1:19" ht="15.75" customHeight="1" x14ac:dyDescent="0.25">
      <c r="A539" s="110"/>
      <c r="B539" s="111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148"/>
      <c r="S539" s="148"/>
    </row>
    <row r="540" spans="1:19" ht="15.75" customHeight="1" x14ac:dyDescent="0.25">
      <c r="A540" s="110"/>
      <c r="B540" s="111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148"/>
      <c r="S540" s="148"/>
    </row>
    <row r="541" spans="1:19" ht="15.75" customHeight="1" x14ac:dyDescent="0.25">
      <c r="A541" s="110"/>
      <c r="B541" s="111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148"/>
      <c r="S541" s="148"/>
    </row>
    <row r="542" spans="1:19" ht="15.75" customHeight="1" x14ac:dyDescent="0.25">
      <c r="A542" s="110"/>
      <c r="B542" s="111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148"/>
      <c r="S542" s="148"/>
    </row>
    <row r="543" spans="1:19" ht="15.75" customHeight="1" x14ac:dyDescent="0.25">
      <c r="A543" s="110"/>
      <c r="B543" s="111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148"/>
      <c r="S543" s="148"/>
    </row>
    <row r="544" spans="1:19" ht="15.75" customHeight="1" x14ac:dyDescent="0.25">
      <c r="A544" s="110"/>
      <c r="B544" s="111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148"/>
      <c r="S544" s="148"/>
    </row>
    <row r="545" spans="1:19" ht="15.75" customHeight="1" x14ac:dyDescent="0.25">
      <c r="A545" s="110"/>
      <c r="B545" s="111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148"/>
      <c r="S545" s="148"/>
    </row>
    <row r="546" spans="1:19" ht="15.75" customHeight="1" x14ac:dyDescent="0.25">
      <c r="A546" s="110"/>
      <c r="B546" s="111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148"/>
      <c r="S546" s="148"/>
    </row>
    <row r="547" spans="1:19" ht="15.75" customHeight="1" x14ac:dyDescent="0.25">
      <c r="A547" s="110"/>
      <c r="B547" s="111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148"/>
      <c r="S547" s="148"/>
    </row>
    <row r="548" spans="1:19" ht="15.75" customHeight="1" x14ac:dyDescent="0.25">
      <c r="A548" s="110"/>
      <c r="B548" s="111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148"/>
      <c r="S548" s="148"/>
    </row>
    <row r="549" spans="1:19" ht="15.75" customHeight="1" x14ac:dyDescent="0.25">
      <c r="A549" s="110"/>
      <c r="B549" s="111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148"/>
      <c r="S549" s="148"/>
    </row>
    <row r="550" spans="1:19" ht="15.75" customHeight="1" x14ac:dyDescent="0.25">
      <c r="A550" s="110"/>
      <c r="B550" s="111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148"/>
      <c r="S550" s="148"/>
    </row>
    <row r="551" spans="1:19" ht="15.75" customHeight="1" x14ac:dyDescent="0.25">
      <c r="A551" s="110"/>
      <c r="B551" s="111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148"/>
      <c r="S551" s="148"/>
    </row>
    <row r="552" spans="1:19" ht="15.75" customHeight="1" x14ac:dyDescent="0.25">
      <c r="A552" s="110"/>
      <c r="B552" s="111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148"/>
      <c r="S552" s="148"/>
    </row>
    <row r="553" spans="1:19" ht="15.75" customHeight="1" x14ac:dyDescent="0.25">
      <c r="A553" s="110"/>
      <c r="B553" s="111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148"/>
      <c r="S553" s="148"/>
    </row>
    <row r="554" spans="1:19" ht="15.75" customHeight="1" x14ac:dyDescent="0.25">
      <c r="A554" s="110"/>
      <c r="B554" s="111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148"/>
      <c r="S554" s="148"/>
    </row>
    <row r="555" spans="1:19" ht="15.75" customHeight="1" x14ac:dyDescent="0.25">
      <c r="A555" s="110"/>
      <c r="B555" s="111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148"/>
      <c r="S555" s="148"/>
    </row>
    <row r="556" spans="1:19" ht="15.75" customHeight="1" x14ac:dyDescent="0.25">
      <c r="A556" s="110"/>
      <c r="B556" s="111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148"/>
      <c r="S556" s="148"/>
    </row>
    <row r="557" spans="1:19" ht="15.75" customHeight="1" x14ac:dyDescent="0.25">
      <c r="A557" s="110"/>
      <c r="B557" s="111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148"/>
      <c r="S557" s="148"/>
    </row>
    <row r="558" spans="1:19" ht="15.75" customHeight="1" x14ac:dyDescent="0.25">
      <c r="A558" s="110"/>
      <c r="B558" s="111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148"/>
      <c r="S558" s="148"/>
    </row>
    <row r="559" spans="1:19" ht="15.75" customHeight="1" x14ac:dyDescent="0.25">
      <c r="A559" s="110"/>
      <c r="B559" s="111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148"/>
      <c r="S559" s="148"/>
    </row>
    <row r="560" spans="1:19" ht="15.75" customHeight="1" x14ac:dyDescent="0.25">
      <c r="A560" s="110"/>
      <c r="B560" s="111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148"/>
      <c r="S560" s="148"/>
    </row>
    <row r="561" spans="1:19" ht="15.75" customHeight="1" x14ac:dyDescent="0.25">
      <c r="A561" s="110"/>
      <c r="B561" s="111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148"/>
      <c r="S561" s="148"/>
    </row>
    <row r="562" spans="1:19" ht="15.75" customHeight="1" x14ac:dyDescent="0.25">
      <c r="A562" s="110"/>
      <c r="B562" s="111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148"/>
      <c r="S562" s="148"/>
    </row>
    <row r="563" spans="1:19" ht="15.75" customHeight="1" x14ac:dyDescent="0.25">
      <c r="A563" s="110"/>
      <c r="B563" s="111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148"/>
      <c r="S563" s="148"/>
    </row>
    <row r="564" spans="1:19" ht="15.75" customHeight="1" x14ac:dyDescent="0.25">
      <c r="A564" s="110"/>
      <c r="B564" s="111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148"/>
      <c r="S564" s="148"/>
    </row>
    <row r="565" spans="1:19" ht="15.75" customHeight="1" x14ac:dyDescent="0.25">
      <c r="A565" s="110"/>
      <c r="B565" s="111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148"/>
      <c r="S565" s="148"/>
    </row>
    <row r="566" spans="1:19" ht="15.75" customHeight="1" x14ac:dyDescent="0.25">
      <c r="A566" s="110"/>
      <c r="B566" s="111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148"/>
      <c r="S566" s="148"/>
    </row>
    <row r="567" spans="1:19" ht="15.75" customHeight="1" x14ac:dyDescent="0.25">
      <c r="A567" s="110"/>
      <c r="B567" s="111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148"/>
      <c r="S567" s="148"/>
    </row>
    <row r="568" spans="1:19" ht="15.75" customHeight="1" x14ac:dyDescent="0.25">
      <c r="A568" s="110"/>
      <c r="B568" s="111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148"/>
      <c r="S568" s="148"/>
    </row>
    <row r="569" spans="1:19" ht="15.75" customHeight="1" x14ac:dyDescent="0.25">
      <c r="A569" s="110"/>
      <c r="B569" s="111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148"/>
      <c r="S569" s="148"/>
    </row>
    <row r="570" spans="1:19" ht="15.75" customHeight="1" x14ac:dyDescent="0.25">
      <c r="A570" s="110"/>
      <c r="B570" s="111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148"/>
      <c r="S570" s="148"/>
    </row>
    <row r="571" spans="1:19" ht="15.75" customHeight="1" x14ac:dyDescent="0.25">
      <c r="A571" s="110"/>
      <c r="B571" s="111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148"/>
      <c r="S571" s="148"/>
    </row>
    <row r="572" spans="1:19" ht="15.75" customHeight="1" x14ac:dyDescent="0.25">
      <c r="A572" s="110"/>
      <c r="B572" s="111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148"/>
      <c r="S572" s="148"/>
    </row>
    <row r="573" spans="1:19" ht="15.75" customHeight="1" x14ac:dyDescent="0.25">
      <c r="A573" s="110"/>
      <c r="B573" s="111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148"/>
      <c r="S573" s="148"/>
    </row>
    <row r="574" spans="1:19" ht="15.75" customHeight="1" x14ac:dyDescent="0.25">
      <c r="A574" s="110"/>
      <c r="B574" s="111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148"/>
      <c r="S574" s="148"/>
    </row>
    <row r="575" spans="1:19" ht="15.75" customHeight="1" x14ac:dyDescent="0.25">
      <c r="A575" s="110"/>
      <c r="B575" s="111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148"/>
      <c r="S575" s="148"/>
    </row>
    <row r="576" spans="1:19" ht="15.75" customHeight="1" x14ac:dyDescent="0.25">
      <c r="A576" s="110"/>
      <c r="B576" s="111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148"/>
      <c r="S576" s="148"/>
    </row>
    <row r="577" spans="1:19" ht="15.75" customHeight="1" x14ac:dyDescent="0.25">
      <c r="A577" s="110"/>
      <c r="B577" s="111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148"/>
      <c r="S577" s="148"/>
    </row>
    <row r="578" spans="1:19" ht="15.75" customHeight="1" x14ac:dyDescent="0.25">
      <c r="A578" s="110"/>
      <c r="B578" s="111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148"/>
      <c r="S578" s="148"/>
    </row>
    <row r="579" spans="1:19" ht="15.75" customHeight="1" x14ac:dyDescent="0.25">
      <c r="A579" s="110"/>
      <c r="B579" s="111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148"/>
      <c r="S579" s="148"/>
    </row>
    <row r="580" spans="1:19" ht="15.75" customHeight="1" x14ac:dyDescent="0.25">
      <c r="A580" s="110"/>
      <c r="B580" s="111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148"/>
      <c r="S580" s="148"/>
    </row>
    <row r="581" spans="1:19" ht="15.75" customHeight="1" x14ac:dyDescent="0.25">
      <c r="A581" s="110"/>
      <c r="B581" s="111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148"/>
      <c r="S581" s="148"/>
    </row>
    <row r="582" spans="1:19" ht="15.75" customHeight="1" x14ac:dyDescent="0.25">
      <c r="A582" s="110"/>
      <c r="B582" s="111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148"/>
      <c r="S582" s="148"/>
    </row>
    <row r="583" spans="1:19" ht="15.75" customHeight="1" x14ac:dyDescent="0.25">
      <c r="A583" s="110"/>
      <c r="B583" s="111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148"/>
      <c r="S583" s="148"/>
    </row>
    <row r="584" spans="1:19" ht="15.75" customHeight="1" x14ac:dyDescent="0.25">
      <c r="A584" s="110"/>
      <c r="B584" s="111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148"/>
      <c r="S584" s="148"/>
    </row>
    <row r="585" spans="1:19" ht="15.75" customHeight="1" x14ac:dyDescent="0.25">
      <c r="A585" s="110"/>
      <c r="B585" s="111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148"/>
      <c r="S585" s="148"/>
    </row>
    <row r="586" spans="1:19" ht="15.75" customHeight="1" x14ac:dyDescent="0.25">
      <c r="A586" s="110"/>
      <c r="B586" s="111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148"/>
      <c r="S586" s="148"/>
    </row>
    <row r="587" spans="1:19" ht="15.75" customHeight="1" x14ac:dyDescent="0.25">
      <c r="A587" s="110"/>
      <c r="B587" s="111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148"/>
      <c r="S587" s="148"/>
    </row>
    <row r="588" spans="1:19" ht="15.75" customHeight="1" x14ac:dyDescent="0.25">
      <c r="A588" s="110"/>
      <c r="B588" s="111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148"/>
      <c r="S588" s="148"/>
    </row>
    <row r="589" spans="1:19" ht="15.75" customHeight="1" x14ac:dyDescent="0.25">
      <c r="A589" s="110"/>
      <c r="B589" s="111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148"/>
      <c r="S589" s="148"/>
    </row>
    <row r="590" spans="1:19" ht="15.75" customHeight="1" x14ac:dyDescent="0.25">
      <c r="A590" s="110"/>
      <c r="B590" s="111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148"/>
      <c r="S590" s="148"/>
    </row>
    <row r="591" spans="1:19" ht="15.75" customHeight="1" x14ac:dyDescent="0.25">
      <c r="A591" s="110"/>
      <c r="B591" s="111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148"/>
      <c r="S591" s="148"/>
    </row>
    <row r="592" spans="1:19" ht="15.75" customHeight="1" x14ac:dyDescent="0.25">
      <c r="A592" s="110"/>
      <c r="B592" s="111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148"/>
      <c r="S592" s="148"/>
    </row>
    <row r="593" spans="1:19" ht="15.75" customHeight="1" x14ac:dyDescent="0.25">
      <c r="A593" s="110"/>
      <c r="B593" s="111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148"/>
      <c r="S593" s="148"/>
    </row>
    <row r="594" spans="1:19" ht="15.75" customHeight="1" x14ac:dyDescent="0.25">
      <c r="A594" s="110"/>
      <c r="B594" s="111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148"/>
      <c r="S594" s="148"/>
    </row>
    <row r="595" spans="1:19" ht="15.75" customHeight="1" x14ac:dyDescent="0.25">
      <c r="A595" s="110"/>
      <c r="B595" s="111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148"/>
      <c r="S595" s="148"/>
    </row>
    <row r="596" spans="1:19" ht="15.75" customHeight="1" x14ac:dyDescent="0.25">
      <c r="A596" s="110"/>
      <c r="B596" s="111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148"/>
      <c r="S596" s="148"/>
    </row>
    <row r="597" spans="1:19" ht="15.75" customHeight="1" x14ac:dyDescent="0.25">
      <c r="A597" s="110"/>
      <c r="B597" s="111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148"/>
      <c r="S597" s="148"/>
    </row>
    <row r="598" spans="1:19" ht="15.75" customHeight="1" x14ac:dyDescent="0.25">
      <c r="A598" s="110"/>
      <c r="B598" s="111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148"/>
      <c r="S598" s="148"/>
    </row>
    <row r="599" spans="1:19" ht="15.75" customHeight="1" x14ac:dyDescent="0.25">
      <c r="A599" s="110"/>
      <c r="B599" s="111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148"/>
      <c r="S599" s="148"/>
    </row>
    <row r="600" spans="1:19" ht="15.75" customHeight="1" x14ac:dyDescent="0.25">
      <c r="A600" s="110"/>
      <c r="B600" s="111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148"/>
      <c r="S600" s="148"/>
    </row>
    <row r="601" spans="1:19" ht="15.75" customHeight="1" x14ac:dyDescent="0.25">
      <c r="A601" s="110"/>
      <c r="B601" s="111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148"/>
      <c r="S601" s="148"/>
    </row>
    <row r="602" spans="1:19" ht="15.75" customHeight="1" x14ac:dyDescent="0.25">
      <c r="A602" s="110"/>
      <c r="B602" s="111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148"/>
      <c r="S602" s="148"/>
    </row>
    <row r="603" spans="1:19" ht="15.75" customHeight="1" x14ac:dyDescent="0.25">
      <c r="A603" s="110"/>
      <c r="B603" s="111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148"/>
      <c r="S603" s="148"/>
    </row>
    <row r="604" spans="1:19" ht="15.75" customHeight="1" x14ac:dyDescent="0.25">
      <c r="A604" s="110"/>
      <c r="B604" s="111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148"/>
      <c r="S604" s="148"/>
    </row>
    <row r="605" spans="1:19" ht="15.75" customHeight="1" x14ac:dyDescent="0.25">
      <c r="A605" s="110"/>
      <c r="B605" s="111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148"/>
      <c r="S605" s="148"/>
    </row>
    <row r="606" spans="1:19" ht="15.75" customHeight="1" x14ac:dyDescent="0.25">
      <c r="A606" s="110"/>
      <c r="B606" s="111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148"/>
      <c r="S606" s="148"/>
    </row>
    <row r="607" spans="1:19" ht="15.75" customHeight="1" x14ac:dyDescent="0.25">
      <c r="A607" s="110"/>
      <c r="B607" s="111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148"/>
      <c r="S607" s="148"/>
    </row>
    <row r="608" spans="1:19" ht="15.75" customHeight="1" x14ac:dyDescent="0.25">
      <c r="A608" s="110"/>
      <c r="B608" s="111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148"/>
      <c r="S608" s="148"/>
    </row>
    <row r="609" spans="1:19" ht="15.75" customHeight="1" x14ac:dyDescent="0.25">
      <c r="A609" s="110"/>
      <c r="B609" s="111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148"/>
      <c r="S609" s="148"/>
    </row>
    <row r="610" spans="1:19" ht="15.75" customHeight="1" x14ac:dyDescent="0.25">
      <c r="A610" s="110"/>
      <c r="B610" s="111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148"/>
      <c r="S610" s="148"/>
    </row>
    <row r="611" spans="1:19" ht="15.75" customHeight="1" x14ac:dyDescent="0.25">
      <c r="A611" s="110"/>
      <c r="B611" s="111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148"/>
      <c r="S611" s="148"/>
    </row>
    <row r="612" spans="1:19" ht="15.75" customHeight="1" x14ac:dyDescent="0.25">
      <c r="A612" s="110"/>
      <c r="B612" s="111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148"/>
      <c r="S612" s="148"/>
    </row>
    <row r="613" spans="1:19" ht="15.75" customHeight="1" x14ac:dyDescent="0.25">
      <c r="A613" s="110"/>
      <c r="B613" s="111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148"/>
      <c r="S613" s="148"/>
    </row>
    <row r="614" spans="1:19" ht="15.75" customHeight="1" x14ac:dyDescent="0.25">
      <c r="A614" s="110"/>
      <c r="B614" s="111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148"/>
      <c r="S614" s="148"/>
    </row>
    <row r="615" spans="1:19" ht="15.75" customHeight="1" x14ac:dyDescent="0.25">
      <c r="A615" s="110"/>
      <c r="B615" s="111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148"/>
      <c r="S615" s="148"/>
    </row>
    <row r="616" spans="1:19" ht="15.75" customHeight="1" x14ac:dyDescent="0.25">
      <c r="A616" s="110"/>
      <c r="B616" s="111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148"/>
      <c r="S616" s="148"/>
    </row>
    <row r="617" spans="1:19" ht="15.75" customHeight="1" x14ac:dyDescent="0.25">
      <c r="A617" s="110"/>
      <c r="B617" s="111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148"/>
      <c r="S617" s="148"/>
    </row>
    <row r="618" spans="1:19" ht="15.75" customHeight="1" x14ac:dyDescent="0.25">
      <c r="A618" s="110"/>
      <c r="B618" s="111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148"/>
      <c r="S618" s="148"/>
    </row>
    <row r="619" spans="1:19" ht="15.75" customHeight="1" x14ac:dyDescent="0.25">
      <c r="A619" s="110"/>
      <c r="B619" s="111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148"/>
      <c r="S619" s="148"/>
    </row>
    <row r="620" spans="1:19" ht="15.75" customHeight="1" x14ac:dyDescent="0.25">
      <c r="A620" s="110"/>
      <c r="B620" s="111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148"/>
      <c r="S620" s="148"/>
    </row>
    <row r="621" spans="1:19" ht="15.75" customHeight="1" x14ac:dyDescent="0.25">
      <c r="A621" s="110"/>
      <c r="B621" s="111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148"/>
      <c r="S621" s="148"/>
    </row>
    <row r="622" spans="1:19" ht="15.75" customHeight="1" x14ac:dyDescent="0.25">
      <c r="A622" s="110"/>
      <c r="B622" s="111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148"/>
      <c r="S622" s="148"/>
    </row>
    <row r="623" spans="1:19" ht="15.75" customHeight="1" x14ac:dyDescent="0.25">
      <c r="A623" s="110"/>
      <c r="B623" s="111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148"/>
      <c r="S623" s="148"/>
    </row>
    <row r="624" spans="1:19" ht="15.75" customHeight="1" x14ac:dyDescent="0.25">
      <c r="A624" s="110"/>
      <c r="B624" s="111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148"/>
      <c r="S624" s="148"/>
    </row>
    <row r="625" spans="1:19" ht="15.75" customHeight="1" x14ac:dyDescent="0.25">
      <c r="A625" s="110"/>
      <c r="B625" s="111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148"/>
      <c r="S625" s="148"/>
    </row>
    <row r="626" spans="1:19" ht="15.75" customHeight="1" x14ac:dyDescent="0.25">
      <c r="A626" s="110"/>
      <c r="B626" s="111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148"/>
      <c r="S626" s="148"/>
    </row>
    <row r="627" spans="1:19" ht="15.75" customHeight="1" x14ac:dyDescent="0.25">
      <c r="A627" s="110"/>
      <c r="B627" s="111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148"/>
      <c r="S627" s="148"/>
    </row>
    <row r="628" spans="1:19" ht="15.75" customHeight="1" x14ac:dyDescent="0.25">
      <c r="A628" s="110"/>
      <c r="B628" s="111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148"/>
      <c r="S628" s="148"/>
    </row>
    <row r="629" spans="1:19" ht="15.75" customHeight="1" x14ac:dyDescent="0.25">
      <c r="A629" s="110"/>
      <c r="B629" s="111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148"/>
      <c r="S629" s="148"/>
    </row>
    <row r="630" spans="1:19" ht="15.75" customHeight="1" x14ac:dyDescent="0.25">
      <c r="A630" s="110"/>
      <c r="B630" s="111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148"/>
      <c r="S630" s="148"/>
    </row>
    <row r="631" spans="1:19" ht="15.75" customHeight="1" x14ac:dyDescent="0.25">
      <c r="A631" s="110"/>
      <c r="B631" s="111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148"/>
      <c r="S631" s="148"/>
    </row>
    <row r="632" spans="1:19" ht="15.75" customHeight="1" x14ac:dyDescent="0.25">
      <c r="A632" s="110"/>
      <c r="B632" s="111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148"/>
      <c r="S632" s="148"/>
    </row>
    <row r="633" spans="1:19" ht="15.75" customHeight="1" x14ac:dyDescent="0.25">
      <c r="A633" s="110"/>
      <c r="B633" s="111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148"/>
      <c r="S633" s="148"/>
    </row>
    <row r="634" spans="1:19" ht="15.75" customHeight="1" x14ac:dyDescent="0.25">
      <c r="A634" s="110"/>
      <c r="B634" s="111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148"/>
      <c r="S634" s="148"/>
    </row>
    <row r="635" spans="1:19" ht="15.75" customHeight="1" x14ac:dyDescent="0.25">
      <c r="A635" s="110"/>
      <c r="B635" s="111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148"/>
      <c r="S635" s="148"/>
    </row>
    <row r="636" spans="1:19" ht="15.75" customHeight="1" x14ac:dyDescent="0.25">
      <c r="A636" s="110"/>
      <c r="B636" s="111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148"/>
      <c r="S636" s="148"/>
    </row>
    <row r="637" spans="1:19" ht="15.75" customHeight="1" x14ac:dyDescent="0.25">
      <c r="A637" s="110"/>
      <c r="B637" s="111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148"/>
      <c r="S637" s="148"/>
    </row>
    <row r="638" spans="1:19" ht="15.75" customHeight="1" x14ac:dyDescent="0.25">
      <c r="A638" s="110"/>
      <c r="B638" s="111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148"/>
      <c r="S638" s="148"/>
    </row>
    <row r="639" spans="1:19" ht="15.75" customHeight="1" x14ac:dyDescent="0.25">
      <c r="A639" s="110"/>
      <c r="B639" s="111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148"/>
      <c r="S639" s="148"/>
    </row>
    <row r="640" spans="1:19" ht="15.75" customHeight="1" x14ac:dyDescent="0.25">
      <c r="A640" s="110"/>
      <c r="B640" s="111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148"/>
      <c r="S640" s="148"/>
    </row>
    <row r="641" spans="1:19" ht="15.75" customHeight="1" x14ac:dyDescent="0.25">
      <c r="A641" s="110"/>
      <c r="B641" s="111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148"/>
      <c r="S641" s="148"/>
    </row>
    <row r="642" spans="1:19" ht="15.75" customHeight="1" x14ac:dyDescent="0.25">
      <c r="A642" s="110"/>
      <c r="B642" s="111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148"/>
      <c r="S642" s="148"/>
    </row>
    <row r="643" spans="1:19" ht="15.75" customHeight="1" x14ac:dyDescent="0.25">
      <c r="A643" s="110"/>
      <c r="B643" s="111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148"/>
      <c r="S643" s="148"/>
    </row>
    <row r="644" spans="1:19" ht="15.75" customHeight="1" x14ac:dyDescent="0.25">
      <c r="A644" s="110"/>
      <c r="B644" s="111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148"/>
      <c r="S644" s="148"/>
    </row>
    <row r="645" spans="1:19" ht="15.75" customHeight="1" x14ac:dyDescent="0.25">
      <c r="A645" s="110"/>
      <c r="B645" s="111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148"/>
      <c r="S645" s="148"/>
    </row>
    <row r="646" spans="1:19" ht="15.75" customHeight="1" x14ac:dyDescent="0.25">
      <c r="A646" s="110"/>
      <c r="B646" s="111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148"/>
      <c r="S646" s="148"/>
    </row>
    <row r="647" spans="1:19" ht="15.75" customHeight="1" x14ac:dyDescent="0.25">
      <c r="A647" s="110"/>
      <c r="B647" s="111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148"/>
      <c r="S647" s="148"/>
    </row>
    <row r="648" spans="1:19" ht="15.75" customHeight="1" x14ac:dyDescent="0.25">
      <c r="A648" s="110"/>
      <c r="B648" s="111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148"/>
      <c r="S648" s="148"/>
    </row>
    <row r="649" spans="1:19" ht="15.75" customHeight="1" x14ac:dyDescent="0.25">
      <c r="A649" s="110"/>
      <c r="B649" s="111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148"/>
      <c r="S649" s="148"/>
    </row>
    <row r="650" spans="1:19" ht="15.75" customHeight="1" x14ac:dyDescent="0.25">
      <c r="A650" s="110"/>
      <c r="B650" s="111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148"/>
      <c r="S650" s="148"/>
    </row>
    <row r="651" spans="1:19" ht="15.75" customHeight="1" x14ac:dyDescent="0.25">
      <c r="A651" s="110"/>
      <c r="B651" s="111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148"/>
      <c r="S651" s="148"/>
    </row>
    <row r="652" spans="1:19" ht="15.75" customHeight="1" x14ac:dyDescent="0.25">
      <c r="A652" s="110"/>
      <c r="B652" s="111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148"/>
      <c r="S652" s="148"/>
    </row>
    <row r="653" spans="1:19" ht="15.75" customHeight="1" x14ac:dyDescent="0.25">
      <c r="A653" s="110"/>
      <c r="B653" s="111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148"/>
      <c r="S653" s="148"/>
    </row>
    <row r="654" spans="1:19" ht="15.75" customHeight="1" x14ac:dyDescent="0.25">
      <c r="A654" s="110"/>
      <c r="B654" s="111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148"/>
      <c r="S654" s="148"/>
    </row>
    <row r="655" spans="1:19" ht="15.75" customHeight="1" x14ac:dyDescent="0.25">
      <c r="A655" s="110"/>
      <c r="B655" s="111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148"/>
      <c r="S655" s="148"/>
    </row>
    <row r="656" spans="1:19" ht="15.75" customHeight="1" x14ac:dyDescent="0.25">
      <c r="A656" s="110"/>
      <c r="B656" s="111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148"/>
      <c r="S656" s="148"/>
    </row>
    <row r="657" spans="1:19" ht="15.75" customHeight="1" x14ac:dyDescent="0.25">
      <c r="A657" s="110"/>
      <c r="B657" s="111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148"/>
      <c r="S657" s="148"/>
    </row>
    <row r="658" spans="1:19" ht="15.75" customHeight="1" x14ac:dyDescent="0.25">
      <c r="A658" s="110"/>
      <c r="B658" s="111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148"/>
      <c r="S658" s="148"/>
    </row>
    <row r="659" spans="1:19" ht="15.75" customHeight="1" x14ac:dyDescent="0.25">
      <c r="A659" s="110"/>
      <c r="B659" s="111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148"/>
      <c r="S659" s="148"/>
    </row>
    <row r="660" spans="1:19" ht="15.75" customHeight="1" x14ac:dyDescent="0.25">
      <c r="A660" s="110"/>
      <c r="B660" s="111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148"/>
      <c r="S660" s="148"/>
    </row>
    <row r="661" spans="1:19" ht="15.75" customHeight="1" x14ac:dyDescent="0.25">
      <c r="A661" s="110"/>
      <c r="B661" s="111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148"/>
      <c r="S661" s="148"/>
    </row>
    <row r="662" spans="1:19" ht="15.75" customHeight="1" x14ac:dyDescent="0.25">
      <c r="A662" s="110"/>
      <c r="B662" s="111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148"/>
      <c r="S662" s="148"/>
    </row>
    <row r="663" spans="1:19" ht="15.75" customHeight="1" x14ac:dyDescent="0.25">
      <c r="A663" s="110"/>
      <c r="B663" s="111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148"/>
      <c r="S663" s="148"/>
    </row>
    <row r="664" spans="1:19" ht="15.75" customHeight="1" x14ac:dyDescent="0.25">
      <c r="A664" s="110"/>
      <c r="B664" s="111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148"/>
      <c r="S664" s="148"/>
    </row>
    <row r="665" spans="1:19" ht="15.75" customHeight="1" x14ac:dyDescent="0.25">
      <c r="A665" s="110"/>
      <c r="B665" s="111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148"/>
      <c r="S665" s="148"/>
    </row>
    <row r="666" spans="1:19" ht="15.75" customHeight="1" x14ac:dyDescent="0.25">
      <c r="A666" s="110"/>
      <c r="B666" s="111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148"/>
      <c r="S666" s="148"/>
    </row>
    <row r="667" spans="1:19" ht="15.75" customHeight="1" x14ac:dyDescent="0.25">
      <c r="A667" s="110"/>
      <c r="B667" s="111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148"/>
      <c r="S667" s="148"/>
    </row>
    <row r="668" spans="1:19" ht="15.75" customHeight="1" x14ac:dyDescent="0.25">
      <c r="A668" s="110"/>
      <c r="B668" s="111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148"/>
      <c r="S668" s="148"/>
    </row>
    <row r="669" spans="1:19" ht="15.75" customHeight="1" x14ac:dyDescent="0.25">
      <c r="A669" s="110"/>
      <c r="B669" s="111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148"/>
      <c r="S669" s="148"/>
    </row>
    <row r="670" spans="1:19" ht="15.75" customHeight="1" x14ac:dyDescent="0.25">
      <c r="A670" s="110"/>
      <c r="B670" s="111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148"/>
      <c r="S670" s="148"/>
    </row>
    <row r="671" spans="1:19" ht="15.75" customHeight="1" x14ac:dyDescent="0.25">
      <c r="A671" s="110"/>
      <c r="B671" s="111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148"/>
      <c r="S671" s="148"/>
    </row>
    <row r="672" spans="1:19" ht="15.75" customHeight="1" x14ac:dyDescent="0.25">
      <c r="A672" s="110"/>
      <c r="B672" s="111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148"/>
      <c r="S672" s="148"/>
    </row>
    <row r="673" spans="1:19" ht="15.75" customHeight="1" x14ac:dyDescent="0.25">
      <c r="A673" s="110"/>
      <c r="B673" s="111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148"/>
      <c r="S673" s="148"/>
    </row>
    <row r="674" spans="1:19" ht="15.75" customHeight="1" x14ac:dyDescent="0.25">
      <c r="A674" s="110"/>
      <c r="B674" s="111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148"/>
      <c r="S674" s="148"/>
    </row>
    <row r="675" spans="1:19" ht="15.75" customHeight="1" x14ac:dyDescent="0.25">
      <c r="A675" s="110"/>
      <c r="B675" s="111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148"/>
      <c r="S675" s="148"/>
    </row>
    <row r="676" spans="1:19" ht="15.75" customHeight="1" x14ac:dyDescent="0.25">
      <c r="A676" s="110"/>
      <c r="B676" s="111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148"/>
      <c r="S676" s="148"/>
    </row>
    <row r="677" spans="1:19" ht="15.75" customHeight="1" x14ac:dyDescent="0.25">
      <c r="A677" s="110"/>
      <c r="B677" s="111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148"/>
      <c r="S677" s="148"/>
    </row>
    <row r="678" spans="1:19" ht="15.75" customHeight="1" x14ac:dyDescent="0.25">
      <c r="A678" s="110"/>
      <c r="B678" s="111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148"/>
      <c r="S678" s="148"/>
    </row>
    <row r="679" spans="1:19" ht="15.75" customHeight="1" x14ac:dyDescent="0.25">
      <c r="A679" s="110"/>
      <c r="B679" s="111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148"/>
      <c r="S679" s="148"/>
    </row>
    <row r="680" spans="1:19" ht="15.75" customHeight="1" x14ac:dyDescent="0.25">
      <c r="A680" s="110"/>
      <c r="B680" s="111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148"/>
      <c r="S680" s="148"/>
    </row>
    <row r="681" spans="1:19" ht="15.75" customHeight="1" x14ac:dyDescent="0.25">
      <c r="A681" s="110"/>
      <c r="B681" s="111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148"/>
      <c r="S681" s="148"/>
    </row>
    <row r="682" spans="1:19" ht="15.75" customHeight="1" x14ac:dyDescent="0.25">
      <c r="A682" s="110"/>
      <c r="B682" s="111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148"/>
      <c r="S682" s="148"/>
    </row>
    <row r="683" spans="1:19" ht="15.75" customHeight="1" x14ac:dyDescent="0.25">
      <c r="A683" s="110"/>
      <c r="B683" s="111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148"/>
      <c r="S683" s="148"/>
    </row>
    <row r="684" spans="1:19" ht="15.75" customHeight="1" x14ac:dyDescent="0.25">
      <c r="A684" s="110"/>
      <c r="B684" s="111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148"/>
      <c r="S684" s="148"/>
    </row>
    <row r="685" spans="1:19" ht="15.75" customHeight="1" x14ac:dyDescent="0.25">
      <c r="A685" s="110"/>
      <c r="B685" s="111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148"/>
      <c r="S685" s="148"/>
    </row>
    <row r="686" spans="1:19" ht="15.75" customHeight="1" x14ac:dyDescent="0.25">
      <c r="A686" s="110"/>
      <c r="B686" s="111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148"/>
      <c r="S686" s="148"/>
    </row>
    <row r="687" spans="1:19" ht="15.75" customHeight="1" x14ac:dyDescent="0.25">
      <c r="A687" s="110"/>
      <c r="B687" s="111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148"/>
      <c r="S687" s="148"/>
    </row>
    <row r="688" spans="1:19" ht="15.75" customHeight="1" x14ac:dyDescent="0.25">
      <c r="A688" s="110"/>
      <c r="B688" s="111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148"/>
      <c r="S688" s="148"/>
    </row>
    <row r="689" spans="1:19" ht="15.75" customHeight="1" x14ac:dyDescent="0.25">
      <c r="A689" s="110"/>
      <c r="B689" s="111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148"/>
      <c r="S689" s="148"/>
    </row>
    <row r="690" spans="1:19" ht="15.75" customHeight="1" x14ac:dyDescent="0.25">
      <c r="A690" s="110"/>
      <c r="B690" s="111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148"/>
      <c r="S690" s="148"/>
    </row>
    <row r="691" spans="1:19" ht="15.75" customHeight="1" x14ac:dyDescent="0.25">
      <c r="A691" s="110"/>
      <c r="B691" s="111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148"/>
      <c r="S691" s="148"/>
    </row>
    <row r="692" spans="1:19" ht="15.75" customHeight="1" x14ac:dyDescent="0.25">
      <c r="A692" s="110"/>
      <c r="B692" s="111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148"/>
      <c r="S692" s="148"/>
    </row>
    <row r="693" spans="1:19" ht="15.75" customHeight="1" x14ac:dyDescent="0.25">
      <c r="A693" s="110"/>
      <c r="B693" s="111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148"/>
      <c r="S693" s="148"/>
    </row>
    <row r="694" spans="1:19" ht="15.75" customHeight="1" x14ac:dyDescent="0.25">
      <c r="A694" s="110"/>
      <c r="B694" s="111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148"/>
      <c r="S694" s="148"/>
    </row>
    <row r="695" spans="1:19" ht="15.75" customHeight="1" x14ac:dyDescent="0.25">
      <c r="A695" s="110"/>
      <c r="B695" s="111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148"/>
      <c r="S695" s="148"/>
    </row>
    <row r="696" spans="1:19" ht="15.75" customHeight="1" x14ac:dyDescent="0.25">
      <c r="A696" s="110"/>
      <c r="B696" s="111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148"/>
      <c r="S696" s="148"/>
    </row>
    <row r="697" spans="1:19" ht="15.75" customHeight="1" x14ac:dyDescent="0.25">
      <c r="A697" s="110"/>
      <c r="B697" s="111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148"/>
      <c r="S697" s="148"/>
    </row>
    <row r="698" spans="1:19" ht="15.75" customHeight="1" x14ac:dyDescent="0.25">
      <c r="A698" s="110"/>
      <c r="B698" s="111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148"/>
      <c r="S698" s="148"/>
    </row>
    <row r="699" spans="1:19" ht="15.75" customHeight="1" x14ac:dyDescent="0.25">
      <c r="A699" s="110"/>
      <c r="B699" s="111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148"/>
      <c r="S699" s="148"/>
    </row>
    <row r="700" spans="1:19" ht="15.75" customHeight="1" x14ac:dyDescent="0.25">
      <c r="A700" s="110"/>
      <c r="B700" s="111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148"/>
      <c r="S700" s="148"/>
    </row>
    <row r="701" spans="1:19" ht="15.75" customHeight="1" x14ac:dyDescent="0.25">
      <c r="A701" s="110"/>
      <c r="B701" s="111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148"/>
      <c r="S701" s="148"/>
    </row>
    <row r="702" spans="1:19" ht="15.75" customHeight="1" x14ac:dyDescent="0.25">
      <c r="A702" s="110"/>
      <c r="B702" s="111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148"/>
      <c r="S702" s="148"/>
    </row>
    <row r="703" spans="1:19" ht="15.75" customHeight="1" x14ac:dyDescent="0.25">
      <c r="A703" s="110"/>
      <c r="B703" s="111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148"/>
      <c r="S703" s="148"/>
    </row>
    <row r="704" spans="1:19" ht="15.75" customHeight="1" x14ac:dyDescent="0.25">
      <c r="A704" s="110"/>
      <c r="B704" s="111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148"/>
      <c r="S704" s="148"/>
    </row>
    <row r="705" spans="1:19" ht="15.75" customHeight="1" x14ac:dyDescent="0.25">
      <c r="A705" s="110"/>
      <c r="B705" s="111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148"/>
      <c r="S705" s="148"/>
    </row>
    <row r="706" spans="1:19" ht="15.75" customHeight="1" x14ac:dyDescent="0.25">
      <c r="A706" s="110"/>
      <c r="B706" s="111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148"/>
      <c r="S706" s="148"/>
    </row>
    <row r="707" spans="1:19" ht="15.75" customHeight="1" x14ac:dyDescent="0.25">
      <c r="A707" s="110"/>
      <c r="B707" s="111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148"/>
      <c r="S707" s="148"/>
    </row>
    <row r="708" spans="1:19" ht="15.75" customHeight="1" x14ac:dyDescent="0.25">
      <c r="A708" s="110"/>
      <c r="B708" s="111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148"/>
      <c r="S708" s="148"/>
    </row>
    <row r="709" spans="1:19" ht="15.75" customHeight="1" x14ac:dyDescent="0.25">
      <c r="A709" s="110"/>
      <c r="B709" s="111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148"/>
      <c r="S709" s="148"/>
    </row>
    <row r="710" spans="1:19" ht="15.75" customHeight="1" x14ac:dyDescent="0.25">
      <c r="A710" s="110"/>
      <c r="B710" s="111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148"/>
      <c r="S710" s="148"/>
    </row>
    <row r="711" spans="1:19" ht="15.75" customHeight="1" x14ac:dyDescent="0.25">
      <c r="A711" s="110"/>
      <c r="B711" s="111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148"/>
      <c r="S711" s="148"/>
    </row>
    <row r="712" spans="1:19" ht="15.75" customHeight="1" x14ac:dyDescent="0.25">
      <c r="A712" s="110"/>
      <c r="B712" s="111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148"/>
      <c r="S712" s="148"/>
    </row>
    <row r="713" spans="1:19" ht="15.75" customHeight="1" x14ac:dyDescent="0.25">
      <c r="A713" s="110"/>
      <c r="B713" s="111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148"/>
      <c r="S713" s="148"/>
    </row>
    <row r="714" spans="1:19" ht="15.75" customHeight="1" x14ac:dyDescent="0.25">
      <c r="A714" s="110"/>
      <c r="B714" s="111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148"/>
      <c r="S714" s="148"/>
    </row>
    <row r="715" spans="1:19" ht="15.75" customHeight="1" x14ac:dyDescent="0.25">
      <c r="A715" s="110"/>
      <c r="B715" s="111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148"/>
      <c r="S715" s="148"/>
    </row>
    <row r="716" spans="1:19" ht="15.75" customHeight="1" x14ac:dyDescent="0.25">
      <c r="A716" s="110"/>
      <c r="B716" s="111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148"/>
      <c r="S716" s="148"/>
    </row>
    <row r="717" spans="1:19" ht="15.75" customHeight="1" x14ac:dyDescent="0.25">
      <c r="A717" s="110"/>
      <c r="B717" s="111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148"/>
      <c r="S717" s="148"/>
    </row>
    <row r="718" spans="1:19" ht="15.75" customHeight="1" x14ac:dyDescent="0.25">
      <c r="A718" s="110"/>
      <c r="B718" s="111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148"/>
      <c r="S718" s="148"/>
    </row>
    <row r="719" spans="1:19" ht="15.75" customHeight="1" x14ac:dyDescent="0.25">
      <c r="A719" s="110"/>
      <c r="B719" s="111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148"/>
      <c r="S719" s="148"/>
    </row>
    <row r="720" spans="1:19" ht="15.75" customHeight="1" x14ac:dyDescent="0.25">
      <c r="A720" s="110"/>
      <c r="B720" s="111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148"/>
      <c r="S720" s="148"/>
    </row>
    <row r="721" spans="1:19" ht="15.75" customHeight="1" x14ac:dyDescent="0.25">
      <c r="A721" s="110"/>
      <c r="B721" s="111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148"/>
      <c r="S721" s="148"/>
    </row>
    <row r="722" spans="1:19" ht="15.75" customHeight="1" x14ac:dyDescent="0.25">
      <c r="A722" s="110"/>
      <c r="B722" s="111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148"/>
      <c r="S722" s="148"/>
    </row>
    <row r="723" spans="1:19" ht="15.75" customHeight="1" x14ac:dyDescent="0.25">
      <c r="A723" s="110"/>
      <c r="B723" s="111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148"/>
      <c r="S723" s="148"/>
    </row>
    <row r="724" spans="1:19" ht="15.75" customHeight="1" x14ac:dyDescent="0.25">
      <c r="A724" s="110"/>
      <c r="B724" s="111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148"/>
      <c r="S724" s="148"/>
    </row>
    <row r="725" spans="1:19" ht="15.75" customHeight="1" x14ac:dyDescent="0.25">
      <c r="A725" s="110"/>
      <c r="B725" s="111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148"/>
      <c r="S725" s="148"/>
    </row>
    <row r="726" spans="1:19" ht="15.75" customHeight="1" x14ac:dyDescent="0.25">
      <c r="A726" s="110"/>
      <c r="B726" s="111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148"/>
      <c r="S726" s="148"/>
    </row>
    <row r="727" spans="1:19" ht="15.75" customHeight="1" x14ac:dyDescent="0.25">
      <c r="A727" s="110"/>
      <c r="B727" s="111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148"/>
      <c r="S727" s="148"/>
    </row>
    <row r="728" spans="1:19" ht="15.75" customHeight="1" x14ac:dyDescent="0.25">
      <c r="A728" s="110"/>
      <c r="B728" s="111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148"/>
      <c r="S728" s="148"/>
    </row>
    <row r="729" spans="1:19" ht="15.75" customHeight="1" x14ac:dyDescent="0.25">
      <c r="A729" s="110"/>
      <c r="B729" s="111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148"/>
      <c r="S729" s="148"/>
    </row>
    <row r="730" spans="1:19" ht="15.75" customHeight="1" x14ac:dyDescent="0.25">
      <c r="A730" s="110"/>
      <c r="B730" s="111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148"/>
      <c r="S730" s="148"/>
    </row>
    <row r="731" spans="1:19" ht="15.75" customHeight="1" x14ac:dyDescent="0.25">
      <c r="A731" s="110"/>
      <c r="B731" s="111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148"/>
      <c r="S731" s="148"/>
    </row>
    <row r="732" spans="1:19" ht="15.75" customHeight="1" x14ac:dyDescent="0.25">
      <c r="A732" s="110"/>
      <c r="B732" s="111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148"/>
      <c r="S732" s="148"/>
    </row>
    <row r="733" spans="1:19" ht="15.75" customHeight="1" x14ac:dyDescent="0.25">
      <c r="A733" s="110"/>
      <c r="B733" s="111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148"/>
      <c r="S733" s="148"/>
    </row>
    <row r="734" spans="1:19" ht="15.75" customHeight="1" x14ac:dyDescent="0.25">
      <c r="A734" s="110"/>
      <c r="B734" s="111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148"/>
      <c r="S734" s="148"/>
    </row>
    <row r="735" spans="1:19" ht="15.75" customHeight="1" x14ac:dyDescent="0.25">
      <c r="A735" s="110"/>
      <c r="B735" s="111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148"/>
      <c r="S735" s="148"/>
    </row>
    <row r="736" spans="1:19" ht="15.75" customHeight="1" x14ac:dyDescent="0.25">
      <c r="A736" s="110"/>
      <c r="B736" s="111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148"/>
      <c r="S736" s="148"/>
    </row>
    <row r="737" spans="1:19" ht="15.75" customHeight="1" x14ac:dyDescent="0.25">
      <c r="A737" s="110"/>
      <c r="B737" s="111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148"/>
      <c r="S737" s="148"/>
    </row>
    <row r="738" spans="1:19" ht="15.75" customHeight="1" x14ac:dyDescent="0.25">
      <c r="A738" s="110"/>
      <c r="B738" s="111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148"/>
      <c r="S738" s="148"/>
    </row>
    <row r="739" spans="1:19" ht="15.75" customHeight="1" x14ac:dyDescent="0.25">
      <c r="A739" s="110"/>
      <c r="B739" s="111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148"/>
      <c r="S739" s="148"/>
    </row>
    <row r="740" spans="1:19" ht="15.75" customHeight="1" x14ac:dyDescent="0.25">
      <c r="A740" s="110"/>
      <c r="B740" s="111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148"/>
      <c r="S740" s="148"/>
    </row>
    <row r="741" spans="1:19" ht="15.75" customHeight="1" x14ac:dyDescent="0.25">
      <c r="A741" s="110"/>
      <c r="B741" s="111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148"/>
      <c r="S741" s="148"/>
    </row>
    <row r="742" spans="1:19" ht="15.75" customHeight="1" x14ac:dyDescent="0.25">
      <c r="A742" s="110"/>
      <c r="B742" s="111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148"/>
    </row>
    <row r="743" spans="1:19" ht="15.75" customHeight="1" x14ac:dyDescent="0.25">
      <c r="A743" s="110"/>
      <c r="B743" s="111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148"/>
    </row>
    <row r="744" spans="1:19" ht="15.75" customHeight="1" x14ac:dyDescent="0.25">
      <c r="A744" s="110"/>
      <c r="B744" s="111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148"/>
    </row>
    <row r="745" spans="1:19" ht="15.75" customHeight="1" x14ac:dyDescent="0.25">
      <c r="A745" s="110"/>
      <c r="B745" s="111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148"/>
    </row>
    <row r="746" spans="1:19" ht="15.75" customHeight="1" x14ac:dyDescent="0.25">
      <c r="A746" s="110"/>
      <c r="B746" s="111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148"/>
    </row>
    <row r="747" spans="1:19" ht="15.75" customHeight="1" x14ac:dyDescent="0.25">
      <c r="A747" s="110"/>
      <c r="B747" s="111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148"/>
    </row>
    <row r="748" spans="1:19" ht="15.75" customHeight="1" x14ac:dyDescent="0.25">
      <c r="A748" s="110"/>
      <c r="B748" s="111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148"/>
    </row>
    <row r="749" spans="1:19" ht="15.75" customHeight="1" x14ac:dyDescent="0.25">
      <c r="A749" s="110"/>
      <c r="B749" s="111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148"/>
    </row>
    <row r="750" spans="1:19" ht="15.75" customHeight="1" x14ac:dyDescent="0.25">
      <c r="A750" s="110"/>
      <c r="B750" s="111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148"/>
    </row>
    <row r="751" spans="1:19" ht="15.75" customHeight="1" x14ac:dyDescent="0.25">
      <c r="A751" s="110"/>
      <c r="B751" s="111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148"/>
    </row>
    <row r="752" spans="1:19" ht="15.75" customHeight="1" x14ac:dyDescent="0.25">
      <c r="A752" s="110"/>
      <c r="B752" s="111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148"/>
    </row>
    <row r="753" spans="1:18" ht="15.75" customHeight="1" x14ac:dyDescent="0.25">
      <c r="A753" s="110"/>
      <c r="B753" s="111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148"/>
    </row>
    <row r="754" spans="1:18" ht="15.75" customHeight="1" x14ac:dyDescent="0.25">
      <c r="A754" s="110"/>
      <c r="B754" s="111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148"/>
    </row>
    <row r="755" spans="1:18" ht="15.75" customHeight="1" x14ac:dyDescent="0.25">
      <c r="A755" s="110"/>
      <c r="B755" s="111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148"/>
    </row>
    <row r="756" spans="1:18" ht="15.75" customHeight="1" x14ac:dyDescent="0.25">
      <c r="A756" s="110"/>
      <c r="B756" s="111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148"/>
    </row>
    <row r="757" spans="1:18" ht="15.75" customHeight="1" x14ac:dyDescent="0.25">
      <c r="A757" s="110"/>
      <c r="B757" s="111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148"/>
    </row>
    <row r="758" spans="1:18" ht="15.75" customHeight="1" x14ac:dyDescent="0.25">
      <c r="A758" s="110"/>
      <c r="B758" s="111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148"/>
    </row>
    <row r="759" spans="1:18" ht="15.75" customHeight="1" x14ac:dyDescent="0.25">
      <c r="A759" s="110"/>
      <c r="B759" s="111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148"/>
    </row>
    <row r="760" spans="1:18" ht="15.75" customHeight="1" x14ac:dyDescent="0.25">
      <c r="A760" s="110"/>
      <c r="B760" s="111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148"/>
    </row>
    <row r="761" spans="1:18" ht="15.75" customHeight="1" x14ac:dyDescent="0.25">
      <c r="A761" s="110"/>
      <c r="B761" s="111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148"/>
    </row>
    <row r="762" spans="1:18" ht="15.75" customHeight="1" x14ac:dyDescent="0.25">
      <c r="A762" s="110"/>
      <c r="B762" s="111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148"/>
    </row>
    <row r="763" spans="1:18" ht="15.75" customHeight="1" x14ac:dyDescent="0.25">
      <c r="A763" s="110"/>
      <c r="B763" s="111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148"/>
    </row>
  </sheetData>
  <mergeCells count="41">
    <mergeCell ref="G89:G90"/>
    <mergeCell ref="H89:L89"/>
    <mergeCell ref="M89:R89"/>
    <mergeCell ref="A90:B90"/>
    <mergeCell ref="C46:C47"/>
    <mergeCell ref="D46:F46"/>
    <mergeCell ref="G46:G47"/>
    <mergeCell ref="H46:L46"/>
    <mergeCell ref="A67:B67"/>
    <mergeCell ref="G225:G226"/>
    <mergeCell ref="H225:L225"/>
    <mergeCell ref="M225:P225"/>
    <mergeCell ref="D225:F225"/>
    <mergeCell ref="A111:B111"/>
    <mergeCell ref="C133:C134"/>
    <mergeCell ref="D133:F133"/>
    <mergeCell ref="G133:G134"/>
    <mergeCell ref="H133:L133"/>
    <mergeCell ref="M133:R133"/>
    <mergeCell ref="A134:B134"/>
    <mergeCell ref="C178:C179"/>
    <mergeCell ref="D178:F178"/>
    <mergeCell ref="G178:G179"/>
    <mergeCell ref="H178:L178"/>
    <mergeCell ref="M178:R178"/>
    <mergeCell ref="B1:P1"/>
    <mergeCell ref="C2:R2"/>
    <mergeCell ref="A200:B200"/>
    <mergeCell ref="A179:B179"/>
    <mergeCell ref="A154:B154"/>
    <mergeCell ref="C3:C4"/>
    <mergeCell ref="M3:R3"/>
    <mergeCell ref="D3:F3"/>
    <mergeCell ref="G3:G4"/>
    <mergeCell ref="H3:L3"/>
    <mergeCell ref="A4:B4"/>
    <mergeCell ref="A24:B24"/>
    <mergeCell ref="M46:R46"/>
    <mergeCell ref="A47:B47"/>
    <mergeCell ref="C89:C90"/>
    <mergeCell ref="D89:F89"/>
  </mergeCells>
  <pageMargins left="0.3" right="0.23622047244094491" top="0.34" bottom="0.47" header="0.31496062992125984" footer="0.18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workbookViewId="0">
      <pane ySplit="5" topLeftCell="A6" activePane="bottomLeft" state="frozen"/>
      <selection pane="bottomLeft" activeCell="R13" sqref="R13"/>
    </sheetView>
  </sheetViews>
  <sheetFormatPr defaultColWidth="4.28515625" defaultRowHeight="10.5" customHeight="1" x14ac:dyDescent="0.2"/>
  <cols>
    <col min="1" max="1" width="8.85546875" style="64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87" customFormat="1" ht="10.5" customHeight="1" x14ac:dyDescent="0.2">
      <c r="A1" s="85"/>
      <c r="B1" s="86" t="s">
        <v>107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97" s="87" customFormat="1" ht="10.5" customHeight="1" x14ac:dyDescent="0.2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97" s="15" customFormat="1" ht="10.5" customHeight="1" x14ac:dyDescent="0.2">
      <c r="A3" s="83"/>
      <c r="B3" s="84" t="s">
        <v>136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5" spans="1:97" s="91" customFormat="1" ht="38.25" customHeight="1" x14ac:dyDescent="0.2">
      <c r="A5" s="88" t="s">
        <v>76</v>
      </c>
      <c r="B5" s="89" t="s">
        <v>138</v>
      </c>
      <c r="C5" s="92" t="s">
        <v>77</v>
      </c>
      <c r="D5" s="92" t="s">
        <v>12</v>
      </c>
      <c r="E5" s="92" t="s">
        <v>13</v>
      </c>
      <c r="F5" s="92" t="s">
        <v>15</v>
      </c>
      <c r="G5" s="92" t="s">
        <v>14</v>
      </c>
      <c r="H5" s="92" t="s">
        <v>139</v>
      </c>
      <c r="I5" s="92" t="s">
        <v>11</v>
      </c>
      <c r="J5" s="92" t="s">
        <v>64</v>
      </c>
      <c r="K5" s="92" t="s">
        <v>5</v>
      </c>
      <c r="L5" s="92" t="s">
        <v>137</v>
      </c>
      <c r="M5" s="92" t="s">
        <v>140</v>
      </c>
      <c r="N5" s="92" t="s">
        <v>7</v>
      </c>
      <c r="O5" s="92" t="s">
        <v>93</v>
      </c>
      <c r="P5" s="92" t="s">
        <v>8</v>
      </c>
      <c r="Q5" s="92" t="s">
        <v>9</v>
      </c>
      <c r="R5" s="92" t="s">
        <v>67</v>
      </c>
      <c r="S5" s="92" t="s">
        <v>141</v>
      </c>
      <c r="T5" s="92" t="s">
        <v>68</v>
      </c>
      <c r="U5" s="92" t="s">
        <v>40</v>
      </c>
      <c r="V5" s="92" t="s">
        <v>37</v>
      </c>
      <c r="W5" s="92" t="s">
        <v>20</v>
      </c>
      <c r="X5" s="92" t="s">
        <v>142</v>
      </c>
      <c r="Y5" s="92" t="s">
        <v>10</v>
      </c>
      <c r="Z5" s="92" t="s">
        <v>18</v>
      </c>
      <c r="AA5" s="92" t="s">
        <v>143</v>
      </c>
      <c r="AB5" s="92" t="s">
        <v>16</v>
      </c>
      <c r="AC5" s="92" t="s">
        <v>17</v>
      </c>
      <c r="AD5" s="92" t="s">
        <v>57</v>
      </c>
      <c r="AE5" s="92" t="s">
        <v>19</v>
      </c>
      <c r="AF5" s="92" t="s">
        <v>144</v>
      </c>
      <c r="AG5" s="89" t="s">
        <v>59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</row>
    <row r="6" spans="1:97" s="5" customFormat="1" ht="12" customHeight="1" x14ac:dyDescent="0.2">
      <c r="A6" s="49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307" t="s">
        <v>108</v>
      </c>
      <c r="B7" s="30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68">
        <v>376</v>
      </c>
      <c r="B8" s="69" t="s">
        <v>120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16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70">
        <v>114</v>
      </c>
      <c r="B9" s="71" t="s">
        <v>119</v>
      </c>
      <c r="C9" s="12">
        <v>205</v>
      </c>
      <c r="G9" s="114">
        <v>30.8</v>
      </c>
      <c r="R9" s="1">
        <v>176</v>
      </c>
      <c r="W9" s="1">
        <v>5</v>
      </c>
    </row>
    <row r="10" spans="1:97" s="11" customFormat="1" ht="10.5" customHeight="1" x14ac:dyDescent="0.2">
      <c r="A10" s="68">
        <v>269</v>
      </c>
      <c r="B10" s="69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20</v>
      </c>
      <c r="AA10" s="2"/>
      <c r="AB10" s="2"/>
      <c r="AC10" s="2">
        <v>3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68">
        <v>108</v>
      </c>
      <c r="B11" s="69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68">
        <v>368</v>
      </c>
      <c r="B12" s="69" t="s">
        <v>156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5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53"/>
      <c r="B14" s="13" t="s">
        <v>155</v>
      </c>
      <c r="C14" s="14">
        <f t="shared" ref="C14:AG14" si="0">SUM(C8:C13)</f>
        <v>585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30.8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276</v>
      </c>
      <c r="S14" s="14">
        <f t="shared" si="0"/>
        <v>0</v>
      </c>
      <c r="T14" s="14">
        <f t="shared" si="0"/>
        <v>0</v>
      </c>
      <c r="U14" s="14">
        <f t="shared" si="0"/>
        <v>16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20</v>
      </c>
      <c r="AA14" s="14">
        <f t="shared" si="0"/>
        <v>0</v>
      </c>
      <c r="AB14" s="14">
        <f t="shared" si="0"/>
        <v>0</v>
      </c>
      <c r="AC14" s="14">
        <f t="shared" si="0"/>
        <v>3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54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306" t="s">
        <v>109</v>
      </c>
      <c r="B16" s="30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72"/>
      <c r="B17" s="73" t="s">
        <v>118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68">
        <v>259</v>
      </c>
      <c r="B18" s="69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68" t="s">
        <v>39</v>
      </c>
      <c r="B19" s="69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68"/>
      <c r="B20" s="69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68"/>
      <c r="B21" s="69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74"/>
      <c r="B22" s="69" t="s">
        <v>121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5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53"/>
      <c r="B24" s="13" t="s">
        <v>155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55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307" t="s">
        <v>110</v>
      </c>
      <c r="B26" s="30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68"/>
      <c r="B27" s="69" t="s">
        <v>122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68">
        <v>296</v>
      </c>
      <c r="B28" s="69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75">
        <v>302</v>
      </c>
      <c r="B29" s="69" t="s">
        <v>123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68" t="s">
        <v>95</v>
      </c>
      <c r="B30" s="69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68"/>
      <c r="B31" s="69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68"/>
      <c r="B32" s="69" t="s">
        <v>126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68"/>
      <c r="B33" s="69" t="s">
        <v>124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5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53"/>
      <c r="B35" s="13" t="s">
        <v>155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55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307" t="s">
        <v>111</v>
      </c>
      <c r="B37" s="30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68"/>
      <c r="B38" s="69" t="s">
        <v>125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68" t="s">
        <v>106</v>
      </c>
      <c r="B39" s="69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68">
        <v>312</v>
      </c>
      <c r="B40" s="69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68">
        <v>377</v>
      </c>
      <c r="B41" s="69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68"/>
      <c r="B42" s="69" t="s">
        <v>126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74" t="s">
        <v>39</v>
      </c>
      <c r="B43" s="69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5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53"/>
      <c r="B45" s="13" t="s">
        <v>155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55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307" t="s">
        <v>112</v>
      </c>
      <c r="B47" s="30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75"/>
      <c r="B48" s="73" t="s">
        <v>127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68">
        <v>212</v>
      </c>
      <c r="B49" s="69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68"/>
      <c r="B50" s="69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76"/>
      <c r="B51" s="69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77"/>
      <c r="B52" s="69" t="s">
        <v>126</v>
      </c>
      <c r="C52" s="2">
        <v>25</v>
      </c>
      <c r="D52" s="2">
        <v>25</v>
      </c>
    </row>
    <row r="53" spans="1:97" s="11" customFormat="1" ht="10.5" customHeight="1" x14ac:dyDescent="0.2">
      <c r="A53" s="68">
        <v>368</v>
      </c>
      <c r="B53" s="69" t="s">
        <v>134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5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53"/>
      <c r="B55" s="13" t="s">
        <v>155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52"/>
    </row>
    <row r="57" spans="1:97" s="10" customFormat="1" ht="10.5" customHeight="1" x14ac:dyDescent="0.2">
      <c r="A57" s="307" t="s">
        <v>113</v>
      </c>
      <c r="B57" s="30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68"/>
      <c r="B58" s="69" t="s">
        <v>118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68">
        <v>269</v>
      </c>
      <c r="B59" s="69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75" t="s">
        <v>70</v>
      </c>
      <c r="B60" s="73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7.5</v>
      </c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68"/>
      <c r="B61" s="69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68"/>
      <c r="B62" s="69" t="s">
        <v>126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68"/>
      <c r="B63" s="69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68"/>
      <c r="B64" s="69" t="s">
        <v>135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5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53"/>
      <c r="B66" s="13" t="s">
        <v>155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7.5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5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307" t="s">
        <v>114</v>
      </c>
      <c r="B68" s="30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68"/>
      <c r="B69" s="69" t="s">
        <v>127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68">
        <v>235</v>
      </c>
      <c r="B70" s="69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68">
        <v>310</v>
      </c>
      <c r="B71" s="69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68" t="s">
        <v>39</v>
      </c>
      <c r="B72" s="69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68"/>
      <c r="B73" s="69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68"/>
      <c r="B74" s="69" t="s">
        <v>126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68"/>
      <c r="B75" s="69" t="s">
        <v>133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5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53"/>
      <c r="B77" s="13" t="s">
        <v>155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52"/>
      <c r="B78" s="26"/>
    </row>
    <row r="79" spans="1:97" s="10" customFormat="1" ht="10.5" customHeight="1" x14ac:dyDescent="0.2">
      <c r="A79" s="307" t="s">
        <v>115</v>
      </c>
      <c r="B79" s="30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68"/>
      <c r="B80" s="69" t="s">
        <v>129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68">
        <v>278</v>
      </c>
      <c r="B81" s="69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75">
        <v>330</v>
      </c>
      <c r="B82" s="69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68">
        <v>302</v>
      </c>
      <c r="B83" s="69" t="s">
        <v>130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68">
        <v>342</v>
      </c>
      <c r="B84" s="69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68"/>
      <c r="B85" s="69" t="s">
        <v>126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68"/>
      <c r="B86" s="69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78"/>
      <c r="B87" s="79" t="s">
        <v>128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5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53"/>
      <c r="B89" s="13" t="s">
        <v>155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55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307" t="s">
        <v>116</v>
      </c>
      <c r="B91" s="30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68">
        <v>222</v>
      </c>
      <c r="B92" s="69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74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68">
        <v>397</v>
      </c>
      <c r="B94" s="69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68"/>
      <c r="B95" s="69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76"/>
      <c r="B96" s="69" t="s">
        <v>131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50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53"/>
      <c r="B98" s="13" t="s">
        <v>155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55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307" t="s">
        <v>117</v>
      </c>
      <c r="B100" s="30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68"/>
      <c r="B101" s="69" t="s">
        <v>118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68">
        <v>297</v>
      </c>
      <c r="B102" s="69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75">
        <v>203</v>
      </c>
      <c r="B103" s="73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68">
        <v>379</v>
      </c>
      <c r="B104" s="69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68"/>
      <c r="B105" s="69" t="s">
        <v>126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68"/>
      <c r="B106" s="69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68">
        <v>368</v>
      </c>
      <c r="B107" s="69" t="s">
        <v>132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5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53"/>
      <c r="B109" s="13" t="s">
        <v>155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55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91" customFormat="1" ht="38.25" customHeight="1" x14ac:dyDescent="0.2">
      <c r="A111" s="88"/>
      <c r="B111" s="89" t="s">
        <v>145</v>
      </c>
      <c r="C111" s="92" t="s">
        <v>77</v>
      </c>
      <c r="D111" s="92" t="s">
        <v>12</v>
      </c>
      <c r="E111" s="92" t="s">
        <v>13</v>
      </c>
      <c r="F111" s="92" t="s">
        <v>15</v>
      </c>
      <c r="G111" s="92" t="s">
        <v>14</v>
      </c>
      <c r="H111" s="92" t="s">
        <v>139</v>
      </c>
      <c r="I111" s="92" t="s">
        <v>11</v>
      </c>
      <c r="J111" s="92" t="s">
        <v>64</v>
      </c>
      <c r="K111" s="92" t="s">
        <v>5</v>
      </c>
      <c r="L111" s="92" t="s">
        <v>137</v>
      </c>
      <c r="M111" s="92" t="s">
        <v>140</v>
      </c>
      <c r="N111" s="92" t="s">
        <v>7</v>
      </c>
      <c r="O111" s="92" t="s">
        <v>93</v>
      </c>
      <c r="P111" s="92" t="s">
        <v>8</v>
      </c>
      <c r="Q111" s="92" t="s">
        <v>9</v>
      </c>
      <c r="R111" s="92" t="s">
        <v>67</v>
      </c>
      <c r="S111" s="92" t="s">
        <v>141</v>
      </c>
      <c r="T111" s="92" t="s">
        <v>68</v>
      </c>
      <c r="U111" s="92" t="s">
        <v>40</v>
      </c>
      <c r="V111" s="92" t="s">
        <v>37</v>
      </c>
      <c r="W111" s="92" t="s">
        <v>20</v>
      </c>
      <c r="X111" s="92" t="s">
        <v>142</v>
      </c>
      <c r="Y111" s="92" t="s">
        <v>10</v>
      </c>
      <c r="Z111" s="92" t="s">
        <v>18</v>
      </c>
      <c r="AA111" s="92" t="s">
        <v>143</v>
      </c>
      <c r="AB111" s="92" t="s">
        <v>16</v>
      </c>
      <c r="AC111" s="92" t="s">
        <v>17</v>
      </c>
      <c r="AD111" s="92" t="s">
        <v>57</v>
      </c>
      <c r="AE111" s="92" t="s">
        <v>19</v>
      </c>
      <c r="AF111" s="92" t="s">
        <v>144</v>
      </c>
      <c r="AG111" s="89" t="s">
        <v>59</v>
      </c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</row>
    <row r="112" spans="1:97" s="25" customFormat="1" ht="24" customHeight="1" x14ac:dyDescent="0.2">
      <c r="A112" s="57"/>
      <c r="B112" s="29" t="s">
        <v>152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108.89999999999999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756.7086956521739</v>
      </c>
      <c r="S112" s="8">
        <f t="shared" si="13"/>
        <v>380</v>
      </c>
      <c r="T112" s="8">
        <f t="shared" si="13"/>
        <v>125</v>
      </c>
      <c r="U112" s="8">
        <f t="shared" si="13"/>
        <v>25</v>
      </c>
      <c r="V112" s="8">
        <f t="shared" si="13"/>
        <v>32.5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108.15</v>
      </c>
      <c r="AA112" s="8">
        <f t="shared" si="13"/>
        <v>25</v>
      </c>
      <c r="AB112" s="8">
        <f t="shared" si="13"/>
        <v>1</v>
      </c>
      <c r="AC112" s="8">
        <f t="shared" si="13"/>
        <v>4.5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58"/>
      <c r="B113" s="30" t="s">
        <v>153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309"/>
      <c r="B114" s="310"/>
    </row>
    <row r="115" spans="1:97" s="32" customFormat="1" ht="18" customHeight="1" x14ac:dyDescent="0.2">
      <c r="A115" s="59"/>
      <c r="B115" s="31" t="s">
        <v>154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-3.2000000000000028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0.89449275362318303</v>
      </c>
      <c r="S115" s="31">
        <f t="shared" si="14"/>
        <v>1.3333333333333286</v>
      </c>
      <c r="T115" s="31">
        <f t="shared" si="14"/>
        <v>0</v>
      </c>
      <c r="U115" s="31">
        <f t="shared" si="14"/>
        <v>2.0408163265306172</v>
      </c>
      <c r="V115" s="31">
        <f t="shared" si="14"/>
        <v>30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8.1500000000000057</v>
      </c>
      <c r="AA115" s="31">
        <f t="shared" si="14"/>
        <v>0</v>
      </c>
      <c r="AB115" s="31">
        <f t="shared" si="14"/>
        <v>0</v>
      </c>
      <c r="AC115" s="31">
        <f t="shared" si="14"/>
        <v>50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52"/>
    </row>
    <row r="117" spans="1:97" ht="10.5" customHeight="1" x14ac:dyDescent="0.2">
      <c r="A117" s="52"/>
    </row>
    <row r="118" spans="1:97" ht="10.5" customHeight="1" x14ac:dyDescent="0.2">
      <c r="A118" s="52"/>
    </row>
    <row r="119" spans="1:97" ht="10.5" customHeight="1" x14ac:dyDescent="0.2">
      <c r="A119" s="56"/>
      <c r="B119" s="305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56"/>
      <c r="B120" s="305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56"/>
      <c r="B121" s="305"/>
      <c r="C121" s="33" t="s">
        <v>51</v>
      </c>
      <c r="D121" s="33"/>
      <c r="E121" s="112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56"/>
      <c r="B122" s="35" t="s">
        <v>50</v>
      </c>
      <c r="C122" s="33">
        <v>80</v>
      </c>
      <c r="D122" s="33"/>
      <c r="E122" s="112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56"/>
      <c r="B123" s="35" t="s">
        <v>24</v>
      </c>
      <c r="C123" s="33">
        <v>150</v>
      </c>
      <c r="D123" s="33"/>
      <c r="E123" s="112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56"/>
      <c r="B124" s="35" t="s">
        <v>25</v>
      </c>
      <c r="C124" s="33">
        <v>15</v>
      </c>
      <c r="D124" s="33"/>
      <c r="E124" s="112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56"/>
      <c r="B125" s="35" t="s">
        <v>26</v>
      </c>
      <c r="C125" s="33">
        <v>45</v>
      </c>
      <c r="D125" s="33"/>
      <c r="E125" s="112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56"/>
      <c r="B126" s="35" t="s">
        <v>27</v>
      </c>
      <c r="C126" s="33">
        <v>15</v>
      </c>
      <c r="D126" s="33"/>
      <c r="E126" s="112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56"/>
      <c r="B127" s="35" t="s">
        <v>28</v>
      </c>
      <c r="C127" s="33">
        <v>188</v>
      </c>
      <c r="D127" s="33"/>
      <c r="E127" s="112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56"/>
      <c r="B128" s="35" t="s">
        <v>78</v>
      </c>
      <c r="C128" s="33">
        <v>280</v>
      </c>
      <c r="D128" s="33"/>
      <c r="E128" s="112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56"/>
      <c r="B129" s="35" t="s">
        <v>79</v>
      </c>
      <c r="C129" s="33">
        <v>185</v>
      </c>
      <c r="D129" s="33"/>
      <c r="E129" s="112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56"/>
      <c r="B130" s="35" t="s">
        <v>80</v>
      </c>
      <c r="C130" s="33">
        <v>15</v>
      </c>
      <c r="D130" s="33"/>
      <c r="E130" s="112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56"/>
      <c r="B131" s="35" t="s">
        <v>53</v>
      </c>
      <c r="C131" s="33">
        <v>200</v>
      </c>
      <c r="D131" s="33"/>
      <c r="E131" s="112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56"/>
      <c r="B132" s="35" t="s">
        <v>81</v>
      </c>
      <c r="C132" s="33">
        <v>70</v>
      </c>
      <c r="D132" s="33"/>
      <c r="E132" s="112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56"/>
      <c r="B133" s="35" t="s">
        <v>146</v>
      </c>
      <c r="C133" s="33">
        <v>15</v>
      </c>
      <c r="D133" s="33"/>
      <c r="E133" s="112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56"/>
      <c r="B134" s="35" t="s">
        <v>82</v>
      </c>
      <c r="C134" s="33">
        <v>35</v>
      </c>
      <c r="D134" s="33"/>
      <c r="E134" s="112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56"/>
      <c r="B135" s="35" t="s">
        <v>83</v>
      </c>
      <c r="C135" s="33">
        <v>58</v>
      </c>
      <c r="D135" s="33"/>
      <c r="E135" s="112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56"/>
      <c r="B136" s="35" t="s">
        <v>54</v>
      </c>
      <c r="C136" s="33">
        <v>300</v>
      </c>
      <c r="D136" s="33"/>
      <c r="E136" s="112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56"/>
      <c r="B137" s="35" t="s">
        <v>55</v>
      </c>
      <c r="C137" s="33">
        <v>150</v>
      </c>
      <c r="D137" s="33"/>
      <c r="E137" s="112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56"/>
      <c r="B138" s="35" t="s">
        <v>62</v>
      </c>
      <c r="C138" s="33">
        <v>50</v>
      </c>
      <c r="D138" s="33"/>
      <c r="E138" s="112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56"/>
      <c r="B139" s="35" t="s">
        <v>29</v>
      </c>
      <c r="C139" s="33">
        <v>9.8000000000000007</v>
      </c>
      <c r="D139" s="33"/>
      <c r="E139" s="112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56"/>
      <c r="B140" s="35" t="s">
        <v>35</v>
      </c>
      <c r="C140" s="33">
        <v>10</v>
      </c>
      <c r="D140" s="33"/>
      <c r="E140" s="112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56"/>
      <c r="B141" s="35" t="s">
        <v>30</v>
      </c>
      <c r="C141" s="33">
        <v>30</v>
      </c>
      <c r="D141" s="33"/>
      <c r="E141" s="112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56"/>
      <c r="B142" s="35" t="s">
        <v>31</v>
      </c>
      <c r="C142" s="33">
        <v>15</v>
      </c>
      <c r="D142" s="33"/>
      <c r="E142" s="112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56"/>
      <c r="B143" s="35" t="s">
        <v>65</v>
      </c>
      <c r="C143" s="33">
        <v>40</v>
      </c>
      <c r="D143" s="33"/>
      <c r="E143" s="112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56"/>
      <c r="B144" s="35" t="s">
        <v>32</v>
      </c>
      <c r="C144" s="33">
        <v>40</v>
      </c>
      <c r="D144" s="33"/>
      <c r="E144" s="112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56"/>
      <c r="B145" s="35" t="s">
        <v>33</v>
      </c>
      <c r="C145" s="33">
        <v>10</v>
      </c>
      <c r="D145" s="33"/>
      <c r="E145" s="112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56"/>
      <c r="B146" s="35" t="s">
        <v>16</v>
      </c>
      <c r="C146" s="33">
        <v>0.4</v>
      </c>
      <c r="D146" s="33"/>
      <c r="E146" s="112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56"/>
      <c r="B147" s="35" t="s">
        <v>56</v>
      </c>
      <c r="C147" s="33">
        <v>1.2</v>
      </c>
      <c r="D147" s="33"/>
      <c r="E147" s="112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56"/>
      <c r="B148" s="40" t="s">
        <v>103</v>
      </c>
      <c r="C148" s="39">
        <v>2</v>
      </c>
      <c r="D148" s="39"/>
      <c r="E148" s="113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56"/>
      <c r="B149" s="35" t="s">
        <v>34</v>
      </c>
      <c r="C149" s="33">
        <v>1</v>
      </c>
      <c r="D149" s="33"/>
      <c r="E149" s="112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60"/>
      <c r="B150" s="35" t="s">
        <v>58</v>
      </c>
      <c r="C150" s="33">
        <v>3</v>
      </c>
      <c r="D150" s="33"/>
      <c r="E150" s="112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56"/>
      <c r="B151" s="39" t="s">
        <v>102</v>
      </c>
      <c r="C151" s="39">
        <v>2</v>
      </c>
      <c r="D151" s="39"/>
      <c r="E151" s="113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61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61"/>
    </row>
    <row r="154" spans="1:97" s="37" customFormat="1" ht="10.5" customHeight="1" x14ac:dyDescent="0.2">
      <c r="A154" s="61"/>
    </row>
    <row r="155" spans="1:97" s="38" customFormat="1" ht="10.5" customHeight="1" x14ac:dyDescent="0.2">
      <c r="A155" s="62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62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61"/>
    </row>
    <row r="158" spans="1:97" s="37" customFormat="1" ht="10.5" customHeight="1" x14ac:dyDescent="0.2">
      <c r="A158" s="61"/>
    </row>
    <row r="159" spans="1:97" s="37" customFormat="1" ht="10.5" customHeight="1" x14ac:dyDescent="0.2">
      <c r="A159" s="61"/>
    </row>
    <row r="160" spans="1:97" s="37" customFormat="1" ht="10.5" customHeight="1" x14ac:dyDescent="0.2">
      <c r="A160" s="61"/>
    </row>
    <row r="161" spans="1:1" s="37" customFormat="1" ht="10.5" customHeight="1" x14ac:dyDescent="0.2">
      <c r="A161" s="61"/>
    </row>
    <row r="162" spans="1:1" s="37" customFormat="1" ht="10.5" customHeight="1" x14ac:dyDescent="0.2">
      <c r="A162" s="61"/>
    </row>
    <row r="163" spans="1:1" s="37" customFormat="1" ht="10.5" customHeight="1" x14ac:dyDescent="0.2">
      <c r="A163" s="61"/>
    </row>
    <row r="164" spans="1:1" s="37" customFormat="1" ht="10.5" customHeight="1" x14ac:dyDescent="0.2">
      <c r="A164" s="61"/>
    </row>
    <row r="165" spans="1:1" s="37" customFormat="1" ht="10.5" customHeight="1" x14ac:dyDescent="0.2">
      <c r="A165" s="61"/>
    </row>
    <row r="166" spans="1:1" s="37" customFormat="1" ht="10.5" customHeight="1" x14ac:dyDescent="0.2">
      <c r="A166" s="61"/>
    </row>
    <row r="167" spans="1:1" s="37" customFormat="1" ht="10.5" customHeight="1" x14ac:dyDescent="0.2">
      <c r="A167" s="61"/>
    </row>
    <row r="168" spans="1:1" s="37" customFormat="1" ht="10.5" customHeight="1" x14ac:dyDescent="0.2">
      <c r="A168" s="61"/>
    </row>
    <row r="169" spans="1:1" s="37" customFormat="1" ht="10.5" customHeight="1" x14ac:dyDescent="0.2">
      <c r="A169" s="61"/>
    </row>
    <row r="170" spans="1:1" s="37" customFormat="1" ht="10.5" customHeight="1" x14ac:dyDescent="0.2">
      <c r="A170" s="61"/>
    </row>
    <row r="171" spans="1:1" s="37" customFormat="1" ht="10.5" customHeight="1" x14ac:dyDescent="0.2">
      <c r="A171" s="61"/>
    </row>
    <row r="172" spans="1:1" s="37" customFormat="1" ht="10.5" customHeight="1" x14ac:dyDescent="0.2">
      <c r="A172" s="61"/>
    </row>
    <row r="173" spans="1:1" s="37" customFormat="1" ht="10.5" customHeight="1" x14ac:dyDescent="0.2">
      <c r="A173" s="61"/>
    </row>
    <row r="174" spans="1:1" s="37" customFormat="1" ht="10.5" customHeight="1" x14ac:dyDescent="0.2">
      <c r="A174" s="61"/>
    </row>
    <row r="175" spans="1:1" s="37" customFormat="1" ht="10.5" customHeight="1" x14ac:dyDescent="0.2">
      <c r="A175" s="61"/>
    </row>
    <row r="176" spans="1:1" s="37" customFormat="1" ht="10.5" customHeight="1" x14ac:dyDescent="0.2">
      <c r="A176" s="61"/>
    </row>
    <row r="177" spans="1:1" s="37" customFormat="1" ht="10.5" customHeight="1" x14ac:dyDescent="0.2">
      <c r="A177" s="61"/>
    </row>
    <row r="178" spans="1:1" s="37" customFormat="1" ht="10.5" customHeight="1" x14ac:dyDescent="0.2">
      <c r="A178" s="61"/>
    </row>
    <row r="179" spans="1:1" s="37" customFormat="1" ht="10.5" customHeight="1" x14ac:dyDescent="0.2">
      <c r="A179" s="61"/>
    </row>
    <row r="180" spans="1:1" s="37" customFormat="1" ht="10.5" customHeight="1" x14ac:dyDescent="0.2">
      <c r="A180" s="61"/>
    </row>
    <row r="181" spans="1:1" s="37" customFormat="1" ht="10.5" customHeight="1" x14ac:dyDescent="0.2">
      <c r="A181" s="61"/>
    </row>
    <row r="182" spans="1:1" s="37" customFormat="1" ht="10.5" customHeight="1" x14ac:dyDescent="0.2">
      <c r="A182" s="61"/>
    </row>
    <row r="183" spans="1:1" s="37" customFormat="1" ht="10.5" customHeight="1" x14ac:dyDescent="0.2">
      <c r="A183" s="61"/>
    </row>
    <row r="184" spans="1:1" s="37" customFormat="1" ht="10.5" customHeight="1" x14ac:dyDescent="0.2">
      <c r="A184" s="61"/>
    </row>
    <row r="185" spans="1:1" s="37" customFormat="1" ht="10.5" customHeight="1" x14ac:dyDescent="0.2">
      <c r="A185" s="61"/>
    </row>
    <row r="186" spans="1:1" s="37" customFormat="1" ht="10.5" customHeight="1" x14ac:dyDescent="0.2">
      <c r="A186" s="61"/>
    </row>
    <row r="187" spans="1:1" s="37" customFormat="1" ht="10.5" customHeight="1" x14ac:dyDescent="0.2">
      <c r="A187" s="61"/>
    </row>
    <row r="188" spans="1:1" s="37" customFormat="1" ht="10.5" customHeight="1" x14ac:dyDescent="0.2">
      <c r="A188" s="61"/>
    </row>
    <row r="189" spans="1:1" s="37" customFormat="1" ht="10.5" customHeight="1" x14ac:dyDescent="0.2">
      <c r="A189" s="61"/>
    </row>
    <row r="190" spans="1:1" s="37" customFormat="1" ht="10.5" customHeight="1" x14ac:dyDescent="0.2">
      <c r="A190" s="61"/>
    </row>
    <row r="191" spans="1:1" s="37" customFormat="1" ht="10.5" customHeight="1" x14ac:dyDescent="0.2">
      <c r="A191" s="61"/>
    </row>
    <row r="192" spans="1:1" s="37" customFormat="1" ht="10.5" customHeight="1" x14ac:dyDescent="0.2">
      <c r="A192" s="61"/>
    </row>
    <row r="193" spans="1:1" s="37" customFormat="1" ht="10.5" customHeight="1" x14ac:dyDescent="0.2">
      <c r="A193" s="61"/>
    </row>
    <row r="194" spans="1:1" s="37" customFormat="1" ht="10.5" customHeight="1" x14ac:dyDescent="0.2">
      <c r="A194" s="61"/>
    </row>
    <row r="195" spans="1:1" s="37" customFormat="1" ht="10.5" customHeight="1" x14ac:dyDescent="0.2">
      <c r="A195" s="61"/>
    </row>
    <row r="196" spans="1:1" s="37" customFormat="1" ht="10.5" customHeight="1" x14ac:dyDescent="0.2">
      <c r="A196" s="61"/>
    </row>
    <row r="197" spans="1:1" s="37" customFormat="1" ht="10.5" customHeight="1" x14ac:dyDescent="0.2">
      <c r="A197" s="61"/>
    </row>
    <row r="198" spans="1:1" s="37" customFormat="1" ht="10.5" customHeight="1" x14ac:dyDescent="0.2">
      <c r="A198" s="61"/>
    </row>
    <row r="199" spans="1:1" s="37" customFormat="1" ht="10.5" customHeight="1" x14ac:dyDescent="0.2">
      <c r="A199" s="61"/>
    </row>
    <row r="200" spans="1:1" s="37" customFormat="1" ht="10.5" customHeight="1" x14ac:dyDescent="0.2">
      <c r="A200" s="61"/>
    </row>
    <row r="201" spans="1:1" s="37" customFormat="1" ht="10.5" customHeight="1" x14ac:dyDescent="0.2">
      <c r="A201" s="61"/>
    </row>
    <row r="202" spans="1:1" s="37" customFormat="1" ht="10.5" customHeight="1" x14ac:dyDescent="0.2">
      <c r="A202" s="61"/>
    </row>
    <row r="203" spans="1:1" s="37" customFormat="1" ht="10.5" customHeight="1" x14ac:dyDescent="0.2">
      <c r="A203" s="61"/>
    </row>
    <row r="204" spans="1:1" s="37" customFormat="1" ht="10.5" customHeight="1" x14ac:dyDescent="0.2">
      <c r="A204" s="61"/>
    </row>
    <row r="205" spans="1:1" s="37" customFormat="1" ht="10.5" customHeight="1" x14ac:dyDescent="0.2">
      <c r="A205" s="61"/>
    </row>
    <row r="206" spans="1:1" s="37" customFormat="1" ht="10.5" customHeight="1" x14ac:dyDescent="0.2">
      <c r="A206" s="61"/>
    </row>
    <row r="207" spans="1:1" s="37" customFormat="1" ht="10.5" customHeight="1" x14ac:dyDescent="0.2">
      <c r="A207" s="61"/>
    </row>
    <row r="208" spans="1:1" s="37" customFormat="1" ht="10.5" customHeight="1" x14ac:dyDescent="0.2">
      <c r="A208" s="61"/>
    </row>
    <row r="209" spans="1:1" s="37" customFormat="1" ht="10.5" customHeight="1" x14ac:dyDescent="0.2">
      <c r="A209" s="61"/>
    </row>
    <row r="210" spans="1:1" s="37" customFormat="1" ht="10.5" customHeight="1" x14ac:dyDescent="0.2">
      <c r="A210" s="61"/>
    </row>
    <row r="211" spans="1:1" s="37" customFormat="1" ht="10.5" customHeight="1" x14ac:dyDescent="0.2">
      <c r="A211" s="61"/>
    </row>
    <row r="212" spans="1:1" s="37" customFormat="1" ht="10.5" customHeight="1" x14ac:dyDescent="0.2">
      <c r="A212" s="61"/>
    </row>
    <row r="213" spans="1:1" s="37" customFormat="1" ht="10.5" customHeight="1" x14ac:dyDescent="0.2">
      <c r="A213" s="61"/>
    </row>
    <row r="214" spans="1:1" s="37" customFormat="1" ht="10.5" customHeight="1" x14ac:dyDescent="0.2">
      <c r="A214" s="61"/>
    </row>
    <row r="215" spans="1:1" s="37" customFormat="1" ht="10.5" customHeight="1" x14ac:dyDescent="0.2">
      <c r="A215" s="61"/>
    </row>
    <row r="216" spans="1:1" s="37" customFormat="1" ht="10.5" customHeight="1" x14ac:dyDescent="0.2">
      <c r="A216" s="61"/>
    </row>
    <row r="217" spans="1:1" s="37" customFormat="1" ht="10.5" customHeight="1" x14ac:dyDescent="0.2">
      <c r="A217" s="61"/>
    </row>
    <row r="218" spans="1:1" s="37" customFormat="1" ht="10.5" customHeight="1" x14ac:dyDescent="0.2">
      <c r="A218" s="61"/>
    </row>
    <row r="219" spans="1:1" s="37" customFormat="1" ht="10.5" customHeight="1" x14ac:dyDescent="0.2">
      <c r="A219" s="61"/>
    </row>
    <row r="220" spans="1:1" s="37" customFormat="1" ht="10.5" customHeight="1" x14ac:dyDescent="0.2">
      <c r="A220" s="61"/>
    </row>
    <row r="221" spans="1:1" s="37" customFormat="1" ht="10.5" customHeight="1" x14ac:dyDescent="0.2">
      <c r="A221" s="61"/>
    </row>
    <row r="222" spans="1:1" s="37" customFormat="1" ht="10.5" customHeight="1" x14ac:dyDescent="0.2">
      <c r="A222" s="61"/>
    </row>
    <row r="223" spans="1:1" s="37" customFormat="1" ht="10.5" customHeight="1" x14ac:dyDescent="0.2">
      <c r="A223" s="61"/>
    </row>
    <row r="224" spans="1:1" s="37" customFormat="1" ht="10.5" customHeight="1" x14ac:dyDescent="0.2">
      <c r="A224" s="61"/>
    </row>
    <row r="225" spans="1:1" s="37" customFormat="1" ht="10.5" customHeight="1" x14ac:dyDescent="0.2">
      <c r="A225" s="61"/>
    </row>
    <row r="226" spans="1:1" s="37" customFormat="1" ht="10.5" customHeight="1" x14ac:dyDescent="0.2">
      <c r="A226" s="61"/>
    </row>
    <row r="227" spans="1:1" s="37" customFormat="1" ht="10.5" customHeight="1" x14ac:dyDescent="0.2">
      <c r="A227" s="61"/>
    </row>
    <row r="228" spans="1:1" s="37" customFormat="1" ht="10.5" customHeight="1" x14ac:dyDescent="0.2">
      <c r="A228" s="61"/>
    </row>
    <row r="229" spans="1:1" s="37" customFormat="1" ht="10.5" customHeight="1" x14ac:dyDescent="0.2">
      <c r="A229" s="61"/>
    </row>
    <row r="230" spans="1:1" s="37" customFormat="1" ht="10.5" customHeight="1" x14ac:dyDescent="0.2">
      <c r="A230" s="61"/>
    </row>
    <row r="231" spans="1:1" s="37" customFormat="1" ht="10.5" customHeight="1" x14ac:dyDescent="0.2">
      <c r="A231" s="61"/>
    </row>
    <row r="232" spans="1:1" s="37" customFormat="1" ht="10.5" customHeight="1" x14ac:dyDescent="0.2">
      <c r="A232" s="61"/>
    </row>
    <row r="233" spans="1:1" s="37" customFormat="1" ht="10.5" customHeight="1" x14ac:dyDescent="0.2">
      <c r="A233" s="61"/>
    </row>
    <row r="234" spans="1:1" s="37" customFormat="1" ht="10.5" customHeight="1" x14ac:dyDescent="0.2">
      <c r="A234" s="61"/>
    </row>
    <row r="235" spans="1:1" s="37" customFormat="1" ht="10.5" customHeight="1" x14ac:dyDescent="0.2">
      <c r="A235" s="61"/>
    </row>
    <row r="236" spans="1:1" s="37" customFormat="1" ht="10.5" customHeight="1" x14ac:dyDescent="0.2">
      <c r="A236" s="61"/>
    </row>
    <row r="237" spans="1:1" s="37" customFormat="1" ht="10.5" customHeight="1" x14ac:dyDescent="0.2">
      <c r="A237" s="61"/>
    </row>
    <row r="238" spans="1:1" s="37" customFormat="1" ht="10.5" customHeight="1" x14ac:dyDescent="0.2">
      <c r="A238" s="61"/>
    </row>
    <row r="239" spans="1:1" s="37" customFormat="1" ht="10.5" customHeight="1" x14ac:dyDescent="0.2">
      <c r="A239" s="61"/>
    </row>
    <row r="240" spans="1:1" s="37" customFormat="1" ht="10.5" customHeight="1" x14ac:dyDescent="0.2">
      <c r="A240" s="61"/>
    </row>
    <row r="241" spans="1:1" s="37" customFormat="1" ht="10.5" customHeight="1" x14ac:dyDescent="0.2">
      <c r="A241" s="61"/>
    </row>
    <row r="242" spans="1:1" s="37" customFormat="1" ht="10.5" customHeight="1" x14ac:dyDescent="0.2">
      <c r="A242" s="61"/>
    </row>
    <row r="243" spans="1:1" s="37" customFormat="1" ht="10.5" customHeight="1" x14ac:dyDescent="0.2">
      <c r="A243" s="61"/>
    </row>
    <row r="244" spans="1:1" s="37" customFormat="1" ht="10.5" customHeight="1" x14ac:dyDescent="0.2">
      <c r="A244" s="61"/>
    </row>
    <row r="245" spans="1:1" s="37" customFormat="1" ht="10.5" customHeight="1" x14ac:dyDescent="0.2">
      <c r="A245" s="61"/>
    </row>
    <row r="246" spans="1:1" s="37" customFormat="1" ht="10.5" customHeight="1" x14ac:dyDescent="0.2">
      <c r="A246" s="61"/>
    </row>
    <row r="247" spans="1:1" s="37" customFormat="1" ht="10.5" customHeight="1" x14ac:dyDescent="0.2">
      <c r="A247" s="61"/>
    </row>
    <row r="248" spans="1:1" s="37" customFormat="1" ht="10.5" customHeight="1" x14ac:dyDescent="0.2">
      <c r="A248" s="61"/>
    </row>
    <row r="249" spans="1:1" s="37" customFormat="1" ht="10.5" customHeight="1" x14ac:dyDescent="0.2">
      <c r="A249" s="61"/>
    </row>
    <row r="250" spans="1:1" s="37" customFormat="1" ht="10.5" customHeight="1" x14ac:dyDescent="0.2">
      <c r="A250" s="61"/>
    </row>
    <row r="251" spans="1:1" s="37" customFormat="1" ht="10.5" customHeight="1" x14ac:dyDescent="0.2">
      <c r="A251" s="61"/>
    </row>
    <row r="252" spans="1:1" s="37" customFormat="1" ht="10.5" customHeight="1" x14ac:dyDescent="0.2">
      <c r="A252" s="61"/>
    </row>
    <row r="253" spans="1:1" s="37" customFormat="1" ht="10.5" customHeight="1" x14ac:dyDescent="0.2">
      <c r="A253" s="61"/>
    </row>
    <row r="254" spans="1:1" s="37" customFormat="1" ht="10.5" customHeight="1" x14ac:dyDescent="0.2">
      <c r="A254" s="61"/>
    </row>
    <row r="255" spans="1:1" s="37" customFormat="1" ht="10.5" customHeight="1" x14ac:dyDescent="0.2">
      <c r="A255" s="61"/>
    </row>
    <row r="256" spans="1:1" s="37" customFormat="1" ht="10.5" customHeight="1" x14ac:dyDescent="0.2">
      <c r="A256" s="61"/>
    </row>
    <row r="257" spans="1:1" s="37" customFormat="1" ht="10.5" customHeight="1" x14ac:dyDescent="0.2">
      <c r="A257" s="61"/>
    </row>
    <row r="258" spans="1:1" s="37" customFormat="1" ht="10.5" customHeight="1" x14ac:dyDescent="0.2">
      <c r="A258" s="61"/>
    </row>
    <row r="259" spans="1:1" s="37" customFormat="1" ht="10.5" customHeight="1" x14ac:dyDescent="0.2">
      <c r="A259" s="61"/>
    </row>
    <row r="260" spans="1:1" s="37" customFormat="1" ht="10.5" customHeight="1" x14ac:dyDescent="0.2">
      <c r="A260" s="61"/>
    </row>
    <row r="261" spans="1:1" s="37" customFormat="1" ht="10.5" customHeight="1" x14ac:dyDescent="0.2">
      <c r="A261" s="61"/>
    </row>
    <row r="262" spans="1:1" s="37" customFormat="1" ht="10.5" customHeight="1" x14ac:dyDescent="0.2">
      <c r="A262" s="61"/>
    </row>
    <row r="263" spans="1:1" s="37" customFormat="1" ht="10.5" customHeight="1" x14ac:dyDescent="0.2">
      <c r="A263" s="61"/>
    </row>
    <row r="264" spans="1:1" s="37" customFormat="1" ht="10.5" customHeight="1" x14ac:dyDescent="0.2">
      <c r="A264" s="61"/>
    </row>
    <row r="265" spans="1:1" s="37" customFormat="1" ht="10.5" customHeight="1" x14ac:dyDescent="0.2">
      <c r="A265" s="61"/>
    </row>
    <row r="266" spans="1:1" s="37" customFormat="1" ht="10.5" customHeight="1" x14ac:dyDescent="0.2">
      <c r="A266" s="61"/>
    </row>
    <row r="267" spans="1:1" s="37" customFormat="1" ht="10.5" customHeight="1" x14ac:dyDescent="0.2">
      <c r="A267" s="61"/>
    </row>
    <row r="268" spans="1:1" s="37" customFormat="1" ht="10.5" customHeight="1" x14ac:dyDescent="0.2">
      <c r="A268" s="61"/>
    </row>
    <row r="269" spans="1:1" s="37" customFormat="1" ht="10.5" customHeight="1" x14ac:dyDescent="0.2">
      <c r="A269" s="61"/>
    </row>
    <row r="270" spans="1:1" s="37" customFormat="1" ht="10.5" customHeight="1" x14ac:dyDescent="0.2">
      <c r="A270" s="61"/>
    </row>
    <row r="271" spans="1:1" s="37" customFormat="1" ht="10.5" customHeight="1" x14ac:dyDescent="0.2">
      <c r="A271" s="61"/>
    </row>
    <row r="272" spans="1:1" s="37" customFormat="1" ht="10.5" customHeight="1" x14ac:dyDescent="0.2">
      <c r="A272" s="61"/>
    </row>
    <row r="273" spans="1:1" s="37" customFormat="1" ht="10.5" customHeight="1" x14ac:dyDescent="0.2">
      <c r="A273" s="61"/>
    </row>
    <row r="274" spans="1:1" s="37" customFormat="1" ht="10.5" customHeight="1" x14ac:dyDescent="0.2">
      <c r="A274" s="61"/>
    </row>
    <row r="275" spans="1:1" s="37" customFormat="1" ht="10.5" customHeight="1" x14ac:dyDescent="0.2">
      <c r="A275" s="61"/>
    </row>
    <row r="276" spans="1:1" s="37" customFormat="1" ht="10.5" customHeight="1" x14ac:dyDescent="0.2">
      <c r="A276" s="61"/>
    </row>
    <row r="277" spans="1:1" s="37" customFormat="1" ht="10.5" customHeight="1" x14ac:dyDescent="0.2">
      <c r="A277" s="61"/>
    </row>
    <row r="278" spans="1:1" s="37" customFormat="1" ht="10.5" customHeight="1" x14ac:dyDescent="0.2">
      <c r="A278" s="61"/>
    </row>
    <row r="279" spans="1:1" s="37" customFormat="1" ht="10.5" customHeight="1" x14ac:dyDescent="0.2">
      <c r="A279" s="61"/>
    </row>
    <row r="280" spans="1:1" s="37" customFormat="1" ht="10.5" customHeight="1" x14ac:dyDescent="0.2">
      <c r="A280" s="61"/>
    </row>
    <row r="281" spans="1:1" s="37" customFormat="1" ht="10.5" customHeight="1" x14ac:dyDescent="0.2">
      <c r="A281" s="61"/>
    </row>
    <row r="282" spans="1:1" s="37" customFormat="1" ht="10.5" customHeight="1" x14ac:dyDescent="0.2">
      <c r="A282" s="61"/>
    </row>
    <row r="283" spans="1:1" s="37" customFormat="1" ht="10.5" customHeight="1" x14ac:dyDescent="0.2">
      <c r="A283" s="61"/>
    </row>
    <row r="284" spans="1:1" s="37" customFormat="1" ht="10.5" customHeight="1" x14ac:dyDescent="0.2">
      <c r="A284" s="61"/>
    </row>
    <row r="285" spans="1:1" s="37" customFormat="1" ht="10.5" customHeight="1" x14ac:dyDescent="0.2">
      <c r="A285" s="61"/>
    </row>
    <row r="286" spans="1:1" s="37" customFormat="1" ht="10.5" customHeight="1" x14ac:dyDescent="0.2">
      <c r="A286" s="61"/>
    </row>
    <row r="287" spans="1:1" s="37" customFormat="1" ht="10.5" customHeight="1" x14ac:dyDescent="0.2">
      <c r="A287" s="61"/>
    </row>
    <row r="288" spans="1:1" s="37" customFormat="1" ht="10.5" customHeight="1" x14ac:dyDescent="0.2">
      <c r="A288" s="61"/>
    </row>
    <row r="289" spans="1:1" s="37" customFormat="1" ht="10.5" customHeight="1" x14ac:dyDescent="0.2">
      <c r="A289" s="61"/>
    </row>
    <row r="290" spans="1:1" s="37" customFormat="1" ht="10.5" customHeight="1" x14ac:dyDescent="0.2">
      <c r="A290" s="61"/>
    </row>
    <row r="291" spans="1:1" s="37" customFormat="1" ht="10.5" customHeight="1" x14ac:dyDescent="0.2">
      <c r="A291" s="61"/>
    </row>
    <row r="292" spans="1:1" s="37" customFormat="1" ht="10.5" customHeight="1" x14ac:dyDescent="0.2">
      <c r="A292" s="61"/>
    </row>
    <row r="293" spans="1:1" s="37" customFormat="1" ht="10.5" customHeight="1" x14ac:dyDescent="0.2">
      <c r="A293" s="61"/>
    </row>
    <row r="294" spans="1:1" s="37" customFormat="1" ht="10.5" customHeight="1" x14ac:dyDescent="0.2">
      <c r="A294" s="61"/>
    </row>
    <row r="295" spans="1:1" s="37" customFormat="1" ht="10.5" customHeight="1" x14ac:dyDescent="0.2">
      <c r="A295" s="61"/>
    </row>
    <row r="296" spans="1:1" s="37" customFormat="1" ht="10.5" customHeight="1" x14ac:dyDescent="0.2">
      <c r="A296" s="61"/>
    </row>
    <row r="297" spans="1:1" s="37" customFormat="1" ht="10.5" customHeight="1" x14ac:dyDescent="0.2">
      <c r="A297" s="61"/>
    </row>
    <row r="298" spans="1:1" s="37" customFormat="1" ht="10.5" customHeight="1" x14ac:dyDescent="0.2">
      <c r="A298" s="61"/>
    </row>
    <row r="299" spans="1:1" s="37" customFormat="1" ht="10.5" customHeight="1" x14ac:dyDescent="0.2">
      <c r="A299" s="61"/>
    </row>
    <row r="300" spans="1:1" s="37" customFormat="1" ht="10.5" customHeight="1" x14ac:dyDescent="0.2">
      <c r="A300" s="61"/>
    </row>
    <row r="301" spans="1:1" s="37" customFormat="1" ht="10.5" customHeight="1" x14ac:dyDescent="0.2">
      <c r="A301" s="61"/>
    </row>
    <row r="302" spans="1:1" s="37" customFormat="1" ht="10.5" customHeight="1" x14ac:dyDescent="0.2">
      <c r="A302" s="61"/>
    </row>
    <row r="303" spans="1:1" s="37" customFormat="1" ht="10.5" customHeight="1" x14ac:dyDescent="0.2">
      <c r="A303" s="61"/>
    </row>
    <row r="304" spans="1:1" s="37" customFormat="1" ht="10.5" customHeight="1" x14ac:dyDescent="0.2">
      <c r="A304" s="61"/>
    </row>
    <row r="305" spans="1:1" s="37" customFormat="1" ht="10.5" customHeight="1" x14ac:dyDescent="0.2">
      <c r="A305" s="61"/>
    </row>
    <row r="306" spans="1:1" s="37" customFormat="1" ht="10.5" customHeight="1" x14ac:dyDescent="0.2">
      <c r="A306" s="61"/>
    </row>
    <row r="307" spans="1:1" s="37" customFormat="1" ht="10.5" customHeight="1" x14ac:dyDescent="0.2">
      <c r="A307" s="61"/>
    </row>
    <row r="308" spans="1:1" s="37" customFormat="1" ht="10.5" customHeight="1" x14ac:dyDescent="0.2">
      <c r="A308" s="61"/>
    </row>
    <row r="309" spans="1:1" s="37" customFormat="1" ht="10.5" customHeight="1" x14ac:dyDescent="0.2">
      <c r="A309" s="61"/>
    </row>
    <row r="310" spans="1:1" s="37" customFormat="1" ht="10.5" customHeight="1" x14ac:dyDescent="0.2">
      <c r="A310" s="61"/>
    </row>
    <row r="311" spans="1:1" s="37" customFormat="1" ht="10.5" customHeight="1" x14ac:dyDescent="0.2">
      <c r="A311" s="61"/>
    </row>
    <row r="312" spans="1:1" s="37" customFormat="1" ht="10.5" customHeight="1" x14ac:dyDescent="0.2">
      <c r="A312" s="61"/>
    </row>
    <row r="313" spans="1:1" s="37" customFormat="1" ht="10.5" customHeight="1" x14ac:dyDescent="0.2">
      <c r="A313" s="61"/>
    </row>
    <row r="314" spans="1:1" s="37" customFormat="1" ht="10.5" customHeight="1" x14ac:dyDescent="0.2">
      <c r="A314" s="61"/>
    </row>
    <row r="315" spans="1:1" s="37" customFormat="1" ht="10.5" customHeight="1" x14ac:dyDescent="0.2">
      <c r="A315" s="61"/>
    </row>
    <row r="316" spans="1:1" s="37" customFormat="1" ht="10.5" customHeight="1" x14ac:dyDescent="0.2">
      <c r="A316" s="61"/>
    </row>
    <row r="317" spans="1:1" s="37" customFormat="1" ht="10.5" customHeight="1" x14ac:dyDescent="0.2">
      <c r="A317" s="61"/>
    </row>
    <row r="318" spans="1:1" s="37" customFormat="1" ht="10.5" customHeight="1" x14ac:dyDescent="0.2">
      <c r="A318" s="61"/>
    </row>
    <row r="319" spans="1:1" s="37" customFormat="1" ht="10.5" customHeight="1" x14ac:dyDescent="0.2">
      <c r="A319" s="61"/>
    </row>
    <row r="320" spans="1:1" s="37" customFormat="1" ht="10.5" customHeight="1" x14ac:dyDescent="0.2">
      <c r="A320" s="61"/>
    </row>
    <row r="321" spans="1:1" s="37" customFormat="1" ht="10.5" customHeight="1" x14ac:dyDescent="0.2">
      <c r="A321" s="61"/>
    </row>
    <row r="322" spans="1:1" s="37" customFormat="1" ht="10.5" customHeight="1" x14ac:dyDescent="0.2">
      <c r="A322" s="61"/>
    </row>
    <row r="323" spans="1:1" s="37" customFormat="1" ht="10.5" customHeight="1" x14ac:dyDescent="0.2">
      <c r="A323" s="61"/>
    </row>
    <row r="324" spans="1:1" s="37" customFormat="1" ht="10.5" customHeight="1" x14ac:dyDescent="0.2">
      <c r="A324" s="61"/>
    </row>
    <row r="325" spans="1:1" s="37" customFormat="1" ht="10.5" customHeight="1" x14ac:dyDescent="0.2">
      <c r="A325" s="61"/>
    </row>
    <row r="326" spans="1:1" s="37" customFormat="1" ht="10.5" customHeight="1" x14ac:dyDescent="0.2">
      <c r="A326" s="61"/>
    </row>
    <row r="327" spans="1:1" s="37" customFormat="1" ht="10.5" customHeight="1" x14ac:dyDescent="0.2">
      <c r="A327" s="61"/>
    </row>
    <row r="328" spans="1:1" s="37" customFormat="1" ht="10.5" customHeight="1" x14ac:dyDescent="0.2">
      <c r="A328" s="61"/>
    </row>
    <row r="329" spans="1:1" s="37" customFormat="1" ht="10.5" customHeight="1" x14ac:dyDescent="0.2">
      <c r="A329" s="61"/>
    </row>
    <row r="330" spans="1:1" s="37" customFormat="1" ht="10.5" customHeight="1" x14ac:dyDescent="0.2">
      <c r="A330" s="61"/>
    </row>
    <row r="331" spans="1:1" s="37" customFormat="1" ht="10.5" customHeight="1" x14ac:dyDescent="0.2">
      <c r="A331" s="61"/>
    </row>
    <row r="332" spans="1:1" s="37" customFormat="1" ht="10.5" customHeight="1" x14ac:dyDescent="0.2">
      <c r="A332" s="61"/>
    </row>
    <row r="333" spans="1:1" s="37" customFormat="1" ht="10.5" customHeight="1" x14ac:dyDescent="0.2">
      <c r="A333" s="61"/>
    </row>
    <row r="334" spans="1:1" s="37" customFormat="1" ht="10.5" customHeight="1" x14ac:dyDescent="0.2">
      <c r="A334" s="61"/>
    </row>
    <row r="335" spans="1:1" s="37" customFormat="1" ht="10.5" customHeight="1" x14ac:dyDescent="0.2">
      <c r="A335" s="61"/>
    </row>
    <row r="336" spans="1:1" s="37" customFormat="1" ht="10.5" customHeight="1" x14ac:dyDescent="0.2">
      <c r="A336" s="61"/>
    </row>
    <row r="337" spans="1:1" s="37" customFormat="1" ht="10.5" customHeight="1" x14ac:dyDescent="0.2">
      <c r="A337" s="61"/>
    </row>
    <row r="338" spans="1:1" s="37" customFormat="1" ht="10.5" customHeight="1" x14ac:dyDescent="0.2">
      <c r="A338" s="61"/>
    </row>
    <row r="339" spans="1:1" s="37" customFormat="1" ht="10.5" customHeight="1" x14ac:dyDescent="0.2">
      <c r="A339" s="61"/>
    </row>
    <row r="340" spans="1:1" s="37" customFormat="1" ht="10.5" customHeight="1" x14ac:dyDescent="0.2">
      <c r="A340" s="61"/>
    </row>
    <row r="341" spans="1:1" s="37" customFormat="1" ht="10.5" customHeight="1" x14ac:dyDescent="0.2">
      <c r="A341" s="61"/>
    </row>
    <row r="342" spans="1:1" s="37" customFormat="1" ht="10.5" customHeight="1" x14ac:dyDescent="0.2">
      <c r="A342" s="61"/>
    </row>
    <row r="343" spans="1:1" s="37" customFormat="1" ht="10.5" customHeight="1" x14ac:dyDescent="0.2">
      <c r="A343" s="61"/>
    </row>
    <row r="344" spans="1:1" s="37" customFormat="1" ht="10.5" customHeight="1" x14ac:dyDescent="0.2">
      <c r="A344" s="61"/>
    </row>
    <row r="345" spans="1:1" s="37" customFormat="1" ht="10.5" customHeight="1" x14ac:dyDescent="0.2">
      <c r="A345" s="61"/>
    </row>
    <row r="346" spans="1:1" s="37" customFormat="1" ht="10.5" customHeight="1" x14ac:dyDescent="0.2">
      <c r="A346" s="61"/>
    </row>
    <row r="347" spans="1:1" s="37" customFormat="1" ht="10.5" customHeight="1" x14ac:dyDescent="0.2">
      <c r="A347" s="61"/>
    </row>
    <row r="348" spans="1:1" s="37" customFormat="1" ht="10.5" customHeight="1" x14ac:dyDescent="0.2">
      <c r="A348" s="61"/>
    </row>
    <row r="349" spans="1:1" s="37" customFormat="1" ht="10.5" customHeight="1" x14ac:dyDescent="0.2">
      <c r="A349" s="61"/>
    </row>
    <row r="350" spans="1:1" s="37" customFormat="1" ht="10.5" customHeight="1" x14ac:dyDescent="0.2">
      <c r="A350" s="61"/>
    </row>
    <row r="351" spans="1:1" s="37" customFormat="1" ht="10.5" customHeight="1" x14ac:dyDescent="0.2">
      <c r="A351" s="61"/>
    </row>
    <row r="352" spans="1:1" s="37" customFormat="1" ht="10.5" customHeight="1" x14ac:dyDescent="0.2">
      <c r="A352" s="61"/>
    </row>
    <row r="353" spans="1:1" s="37" customFormat="1" ht="10.5" customHeight="1" x14ac:dyDescent="0.2">
      <c r="A353" s="61"/>
    </row>
    <row r="354" spans="1:1" s="37" customFormat="1" ht="10.5" customHeight="1" x14ac:dyDescent="0.2">
      <c r="A354" s="61"/>
    </row>
    <row r="355" spans="1:1" s="37" customFormat="1" ht="10.5" customHeight="1" x14ac:dyDescent="0.2">
      <c r="A355" s="61"/>
    </row>
    <row r="356" spans="1:1" s="37" customFormat="1" ht="10.5" customHeight="1" x14ac:dyDescent="0.2">
      <c r="A356" s="61"/>
    </row>
    <row r="357" spans="1:1" s="37" customFormat="1" ht="10.5" customHeight="1" x14ac:dyDescent="0.2">
      <c r="A357" s="61"/>
    </row>
    <row r="358" spans="1:1" s="37" customFormat="1" ht="10.5" customHeight="1" x14ac:dyDescent="0.2">
      <c r="A358" s="61"/>
    </row>
    <row r="359" spans="1:1" s="37" customFormat="1" ht="10.5" customHeight="1" x14ac:dyDescent="0.2">
      <c r="A359" s="61"/>
    </row>
    <row r="360" spans="1:1" s="37" customFormat="1" ht="10.5" customHeight="1" x14ac:dyDescent="0.2">
      <c r="A360" s="61"/>
    </row>
    <row r="361" spans="1:1" s="37" customFormat="1" ht="10.5" customHeight="1" x14ac:dyDescent="0.2">
      <c r="A361" s="61"/>
    </row>
    <row r="362" spans="1:1" s="37" customFormat="1" ht="10.5" customHeight="1" x14ac:dyDescent="0.2">
      <c r="A362" s="61"/>
    </row>
    <row r="363" spans="1:1" s="37" customFormat="1" ht="10.5" customHeight="1" x14ac:dyDescent="0.2">
      <c r="A363" s="61"/>
    </row>
    <row r="364" spans="1:1" s="37" customFormat="1" ht="10.5" customHeight="1" x14ac:dyDescent="0.2">
      <c r="A364" s="61"/>
    </row>
    <row r="365" spans="1:1" s="37" customFormat="1" ht="10.5" customHeight="1" x14ac:dyDescent="0.2">
      <c r="A365" s="61"/>
    </row>
    <row r="366" spans="1:1" s="37" customFormat="1" ht="10.5" customHeight="1" x14ac:dyDescent="0.2">
      <c r="A366" s="61"/>
    </row>
    <row r="367" spans="1:1" s="37" customFormat="1" ht="10.5" customHeight="1" x14ac:dyDescent="0.2">
      <c r="A367" s="61"/>
    </row>
    <row r="368" spans="1:1" s="37" customFormat="1" ht="10.5" customHeight="1" x14ac:dyDescent="0.2">
      <c r="A368" s="61"/>
    </row>
    <row r="369" spans="1:1" s="37" customFormat="1" ht="10.5" customHeight="1" x14ac:dyDescent="0.2">
      <c r="A369" s="61"/>
    </row>
    <row r="370" spans="1:1" s="37" customFormat="1" ht="10.5" customHeight="1" x14ac:dyDescent="0.2">
      <c r="A370" s="61"/>
    </row>
    <row r="371" spans="1:1" s="37" customFormat="1" ht="10.5" customHeight="1" x14ac:dyDescent="0.2">
      <c r="A371" s="61"/>
    </row>
    <row r="372" spans="1:1" s="37" customFormat="1" ht="10.5" customHeight="1" x14ac:dyDescent="0.2">
      <c r="A372" s="61"/>
    </row>
    <row r="373" spans="1:1" s="37" customFormat="1" ht="10.5" customHeight="1" x14ac:dyDescent="0.2">
      <c r="A373" s="61"/>
    </row>
    <row r="374" spans="1:1" s="37" customFormat="1" ht="10.5" customHeight="1" x14ac:dyDescent="0.2">
      <c r="A374" s="61"/>
    </row>
    <row r="375" spans="1:1" s="37" customFormat="1" ht="10.5" customHeight="1" x14ac:dyDescent="0.2">
      <c r="A375" s="61"/>
    </row>
    <row r="376" spans="1:1" s="37" customFormat="1" ht="10.5" customHeight="1" x14ac:dyDescent="0.2">
      <c r="A376" s="61"/>
    </row>
    <row r="377" spans="1:1" s="37" customFormat="1" ht="10.5" customHeight="1" x14ac:dyDescent="0.2">
      <c r="A377" s="61"/>
    </row>
    <row r="378" spans="1:1" s="37" customFormat="1" ht="10.5" customHeight="1" x14ac:dyDescent="0.2">
      <c r="A378" s="61"/>
    </row>
    <row r="379" spans="1:1" s="37" customFormat="1" ht="10.5" customHeight="1" x14ac:dyDescent="0.2">
      <c r="A379" s="61"/>
    </row>
    <row r="380" spans="1:1" s="37" customFormat="1" ht="10.5" customHeight="1" x14ac:dyDescent="0.2">
      <c r="A380" s="61"/>
    </row>
    <row r="381" spans="1:1" s="37" customFormat="1" ht="10.5" customHeight="1" x14ac:dyDescent="0.2">
      <c r="A381" s="61"/>
    </row>
    <row r="382" spans="1:1" s="37" customFormat="1" ht="10.5" customHeight="1" x14ac:dyDescent="0.2">
      <c r="A382" s="61"/>
    </row>
    <row r="383" spans="1:1" s="37" customFormat="1" ht="10.5" customHeight="1" x14ac:dyDescent="0.2">
      <c r="A383" s="61"/>
    </row>
    <row r="384" spans="1:1" s="37" customFormat="1" ht="10.5" customHeight="1" x14ac:dyDescent="0.2">
      <c r="A384" s="61"/>
    </row>
    <row r="385" spans="1:1" s="37" customFormat="1" ht="10.5" customHeight="1" x14ac:dyDescent="0.2">
      <c r="A385" s="61"/>
    </row>
    <row r="386" spans="1:1" s="37" customFormat="1" ht="10.5" customHeight="1" x14ac:dyDescent="0.2">
      <c r="A386" s="61"/>
    </row>
    <row r="387" spans="1:1" s="37" customFormat="1" ht="10.5" customHeight="1" x14ac:dyDescent="0.2">
      <c r="A387" s="61"/>
    </row>
    <row r="388" spans="1:1" s="37" customFormat="1" ht="10.5" customHeight="1" x14ac:dyDescent="0.2">
      <c r="A388" s="61"/>
    </row>
    <row r="389" spans="1:1" s="37" customFormat="1" ht="10.5" customHeight="1" x14ac:dyDescent="0.2">
      <c r="A389" s="61"/>
    </row>
    <row r="390" spans="1:1" s="37" customFormat="1" ht="10.5" customHeight="1" x14ac:dyDescent="0.2">
      <c r="A390" s="61"/>
    </row>
    <row r="391" spans="1:1" s="37" customFormat="1" ht="10.5" customHeight="1" x14ac:dyDescent="0.2">
      <c r="A391" s="61"/>
    </row>
    <row r="392" spans="1:1" s="37" customFormat="1" ht="10.5" customHeight="1" x14ac:dyDescent="0.2">
      <c r="A392" s="61"/>
    </row>
    <row r="393" spans="1:1" s="37" customFormat="1" ht="10.5" customHeight="1" x14ac:dyDescent="0.2">
      <c r="A393" s="61"/>
    </row>
    <row r="394" spans="1:1" s="37" customFormat="1" ht="10.5" customHeight="1" x14ac:dyDescent="0.2">
      <c r="A394" s="61"/>
    </row>
    <row r="395" spans="1:1" s="37" customFormat="1" ht="10.5" customHeight="1" x14ac:dyDescent="0.2">
      <c r="A395" s="61"/>
    </row>
    <row r="396" spans="1:1" s="37" customFormat="1" ht="10.5" customHeight="1" x14ac:dyDescent="0.2">
      <c r="A396" s="61"/>
    </row>
    <row r="397" spans="1:1" s="37" customFormat="1" ht="10.5" customHeight="1" x14ac:dyDescent="0.2">
      <c r="A397" s="61"/>
    </row>
    <row r="398" spans="1:1" s="37" customFormat="1" ht="10.5" customHeight="1" x14ac:dyDescent="0.2">
      <c r="A398" s="61"/>
    </row>
    <row r="399" spans="1:1" s="37" customFormat="1" ht="10.5" customHeight="1" x14ac:dyDescent="0.2">
      <c r="A399" s="61"/>
    </row>
    <row r="400" spans="1:1" s="37" customFormat="1" ht="10.5" customHeight="1" x14ac:dyDescent="0.2">
      <c r="A400" s="61"/>
    </row>
    <row r="401" spans="1:1" s="37" customFormat="1" ht="10.5" customHeight="1" x14ac:dyDescent="0.2">
      <c r="A401" s="61"/>
    </row>
    <row r="402" spans="1:1" s="37" customFormat="1" ht="10.5" customHeight="1" x14ac:dyDescent="0.2">
      <c r="A402" s="61"/>
    </row>
    <row r="403" spans="1:1" s="37" customFormat="1" ht="10.5" customHeight="1" x14ac:dyDescent="0.2">
      <c r="A403" s="61"/>
    </row>
    <row r="404" spans="1:1" s="37" customFormat="1" ht="10.5" customHeight="1" x14ac:dyDescent="0.2">
      <c r="A404" s="61"/>
    </row>
    <row r="405" spans="1:1" s="37" customFormat="1" ht="10.5" customHeight="1" x14ac:dyDescent="0.2">
      <c r="A405" s="61"/>
    </row>
    <row r="406" spans="1:1" s="37" customFormat="1" ht="10.5" customHeight="1" x14ac:dyDescent="0.2">
      <c r="A406" s="61"/>
    </row>
    <row r="407" spans="1:1" s="37" customFormat="1" ht="10.5" customHeight="1" x14ac:dyDescent="0.2">
      <c r="A407" s="61"/>
    </row>
    <row r="408" spans="1:1" s="37" customFormat="1" ht="10.5" customHeight="1" x14ac:dyDescent="0.2">
      <c r="A408" s="61"/>
    </row>
    <row r="409" spans="1:1" s="37" customFormat="1" ht="10.5" customHeight="1" x14ac:dyDescent="0.2">
      <c r="A409" s="61"/>
    </row>
    <row r="410" spans="1:1" s="37" customFormat="1" ht="10.5" customHeight="1" x14ac:dyDescent="0.2">
      <c r="A410" s="61"/>
    </row>
    <row r="411" spans="1:1" s="37" customFormat="1" ht="10.5" customHeight="1" x14ac:dyDescent="0.2">
      <c r="A411" s="61"/>
    </row>
    <row r="412" spans="1:1" s="37" customFormat="1" ht="10.5" customHeight="1" x14ac:dyDescent="0.2">
      <c r="A412" s="61"/>
    </row>
    <row r="413" spans="1:1" s="37" customFormat="1" ht="10.5" customHeight="1" x14ac:dyDescent="0.2">
      <c r="A413" s="61"/>
    </row>
    <row r="414" spans="1:1" s="37" customFormat="1" ht="10.5" customHeight="1" x14ac:dyDescent="0.2">
      <c r="A414" s="61"/>
    </row>
    <row r="415" spans="1:1" s="37" customFormat="1" ht="10.5" customHeight="1" x14ac:dyDescent="0.2">
      <c r="A415" s="61"/>
    </row>
    <row r="416" spans="1:1" s="37" customFormat="1" ht="10.5" customHeight="1" x14ac:dyDescent="0.2">
      <c r="A416" s="61"/>
    </row>
    <row r="417" spans="1:1" s="37" customFormat="1" ht="10.5" customHeight="1" x14ac:dyDescent="0.2">
      <c r="A417" s="61"/>
    </row>
    <row r="418" spans="1:1" s="37" customFormat="1" ht="10.5" customHeight="1" x14ac:dyDescent="0.2">
      <c r="A418" s="61"/>
    </row>
    <row r="419" spans="1:1" s="37" customFormat="1" ht="10.5" customHeight="1" x14ac:dyDescent="0.2">
      <c r="A419" s="61"/>
    </row>
    <row r="420" spans="1:1" s="37" customFormat="1" ht="10.5" customHeight="1" x14ac:dyDescent="0.2">
      <c r="A420" s="61"/>
    </row>
    <row r="421" spans="1:1" s="37" customFormat="1" ht="10.5" customHeight="1" x14ac:dyDescent="0.2">
      <c r="A421" s="61"/>
    </row>
    <row r="422" spans="1:1" s="37" customFormat="1" ht="10.5" customHeight="1" x14ac:dyDescent="0.2">
      <c r="A422" s="61"/>
    </row>
    <row r="423" spans="1:1" s="37" customFormat="1" ht="10.5" customHeight="1" x14ac:dyDescent="0.2">
      <c r="A423" s="61"/>
    </row>
    <row r="424" spans="1:1" s="37" customFormat="1" ht="10.5" customHeight="1" x14ac:dyDescent="0.2">
      <c r="A424" s="61"/>
    </row>
    <row r="425" spans="1:1" s="37" customFormat="1" ht="10.5" customHeight="1" x14ac:dyDescent="0.2">
      <c r="A425" s="61"/>
    </row>
    <row r="426" spans="1:1" s="37" customFormat="1" ht="10.5" customHeight="1" x14ac:dyDescent="0.2">
      <c r="A426" s="61"/>
    </row>
    <row r="427" spans="1:1" s="37" customFormat="1" ht="10.5" customHeight="1" x14ac:dyDescent="0.2">
      <c r="A427" s="61"/>
    </row>
    <row r="428" spans="1:1" s="37" customFormat="1" ht="10.5" customHeight="1" x14ac:dyDescent="0.2">
      <c r="A428" s="61"/>
    </row>
    <row r="429" spans="1:1" s="37" customFormat="1" ht="10.5" customHeight="1" x14ac:dyDescent="0.2">
      <c r="A429" s="61"/>
    </row>
    <row r="430" spans="1:1" s="37" customFormat="1" ht="10.5" customHeight="1" x14ac:dyDescent="0.2">
      <c r="A430" s="61"/>
    </row>
    <row r="431" spans="1:1" s="37" customFormat="1" ht="10.5" customHeight="1" x14ac:dyDescent="0.2">
      <c r="A431" s="61"/>
    </row>
    <row r="432" spans="1:1" s="37" customFormat="1" ht="10.5" customHeight="1" x14ac:dyDescent="0.2">
      <c r="A432" s="61"/>
    </row>
    <row r="433" spans="1:1" s="37" customFormat="1" ht="10.5" customHeight="1" x14ac:dyDescent="0.2">
      <c r="A433" s="61"/>
    </row>
    <row r="434" spans="1:1" s="37" customFormat="1" ht="10.5" customHeight="1" x14ac:dyDescent="0.2">
      <c r="A434" s="61"/>
    </row>
    <row r="435" spans="1:1" s="37" customFormat="1" ht="10.5" customHeight="1" x14ac:dyDescent="0.2">
      <c r="A435" s="61"/>
    </row>
    <row r="436" spans="1:1" s="37" customFormat="1" ht="10.5" customHeight="1" x14ac:dyDescent="0.2">
      <c r="A436" s="61"/>
    </row>
    <row r="437" spans="1:1" s="37" customFormat="1" ht="10.5" customHeight="1" x14ac:dyDescent="0.2">
      <c r="A437" s="61"/>
    </row>
    <row r="438" spans="1:1" s="37" customFormat="1" ht="10.5" customHeight="1" x14ac:dyDescent="0.2">
      <c r="A438" s="61"/>
    </row>
    <row r="439" spans="1:1" s="37" customFormat="1" ht="10.5" customHeight="1" x14ac:dyDescent="0.2">
      <c r="A439" s="61"/>
    </row>
    <row r="440" spans="1:1" s="37" customFormat="1" ht="10.5" customHeight="1" x14ac:dyDescent="0.2">
      <c r="A440" s="61"/>
    </row>
    <row r="441" spans="1:1" s="37" customFormat="1" ht="10.5" customHeight="1" x14ac:dyDescent="0.2">
      <c r="A441" s="61"/>
    </row>
    <row r="442" spans="1:1" s="37" customFormat="1" ht="10.5" customHeight="1" x14ac:dyDescent="0.2">
      <c r="A442" s="61"/>
    </row>
    <row r="443" spans="1:1" s="37" customFormat="1" ht="10.5" customHeight="1" x14ac:dyDescent="0.2">
      <c r="A443" s="61"/>
    </row>
    <row r="444" spans="1:1" s="37" customFormat="1" ht="10.5" customHeight="1" x14ac:dyDescent="0.2">
      <c r="A444" s="61"/>
    </row>
    <row r="445" spans="1:1" s="37" customFormat="1" ht="10.5" customHeight="1" x14ac:dyDescent="0.2">
      <c r="A445" s="61"/>
    </row>
    <row r="446" spans="1:1" s="37" customFormat="1" ht="10.5" customHeight="1" x14ac:dyDescent="0.2">
      <c r="A446" s="61"/>
    </row>
    <row r="447" spans="1:1" s="37" customFormat="1" ht="10.5" customHeight="1" x14ac:dyDescent="0.2">
      <c r="A447" s="61"/>
    </row>
    <row r="448" spans="1:1" s="37" customFormat="1" ht="10.5" customHeight="1" x14ac:dyDescent="0.2">
      <c r="A448" s="61"/>
    </row>
    <row r="449" spans="1:1" s="37" customFormat="1" ht="10.5" customHeight="1" x14ac:dyDescent="0.2">
      <c r="A449" s="61"/>
    </row>
    <row r="450" spans="1:1" s="37" customFormat="1" ht="10.5" customHeight="1" x14ac:dyDescent="0.2">
      <c r="A450" s="61"/>
    </row>
    <row r="451" spans="1:1" s="37" customFormat="1" ht="10.5" customHeight="1" x14ac:dyDescent="0.2">
      <c r="A451" s="61"/>
    </row>
    <row r="452" spans="1:1" s="37" customFormat="1" ht="10.5" customHeight="1" x14ac:dyDescent="0.2">
      <c r="A452" s="61"/>
    </row>
    <row r="453" spans="1:1" s="37" customFormat="1" ht="10.5" customHeight="1" x14ac:dyDescent="0.2">
      <c r="A453" s="61"/>
    </row>
    <row r="454" spans="1:1" s="37" customFormat="1" ht="10.5" customHeight="1" x14ac:dyDescent="0.2">
      <c r="A454" s="61"/>
    </row>
    <row r="455" spans="1:1" s="37" customFormat="1" ht="10.5" customHeight="1" x14ac:dyDescent="0.2">
      <c r="A455" s="61"/>
    </row>
    <row r="456" spans="1:1" s="37" customFormat="1" ht="10.5" customHeight="1" x14ac:dyDescent="0.2">
      <c r="A456" s="61"/>
    </row>
    <row r="457" spans="1:1" s="37" customFormat="1" ht="10.5" customHeight="1" x14ac:dyDescent="0.2">
      <c r="A457" s="61"/>
    </row>
    <row r="458" spans="1:1" s="37" customFormat="1" ht="10.5" customHeight="1" x14ac:dyDescent="0.2">
      <c r="A458" s="61"/>
    </row>
    <row r="459" spans="1:1" s="37" customFormat="1" ht="10.5" customHeight="1" x14ac:dyDescent="0.2">
      <c r="A459" s="61"/>
    </row>
    <row r="460" spans="1:1" s="37" customFormat="1" ht="10.5" customHeight="1" x14ac:dyDescent="0.2">
      <c r="A460" s="61"/>
    </row>
    <row r="461" spans="1:1" s="37" customFormat="1" ht="10.5" customHeight="1" x14ac:dyDescent="0.2">
      <c r="A461" s="61"/>
    </row>
    <row r="462" spans="1:1" s="37" customFormat="1" ht="10.5" customHeight="1" x14ac:dyDescent="0.2">
      <c r="A462" s="61"/>
    </row>
    <row r="463" spans="1:1" s="37" customFormat="1" ht="10.5" customHeight="1" x14ac:dyDescent="0.2">
      <c r="A463" s="61"/>
    </row>
    <row r="464" spans="1:1" s="37" customFormat="1" ht="10.5" customHeight="1" x14ac:dyDescent="0.2">
      <c r="A464" s="61"/>
    </row>
    <row r="465" spans="1:1" s="37" customFormat="1" ht="10.5" customHeight="1" x14ac:dyDescent="0.2">
      <c r="A465" s="61"/>
    </row>
    <row r="466" spans="1:1" s="37" customFormat="1" ht="10.5" customHeight="1" x14ac:dyDescent="0.2">
      <c r="A466" s="61"/>
    </row>
    <row r="467" spans="1:1" s="37" customFormat="1" ht="10.5" customHeight="1" x14ac:dyDescent="0.2">
      <c r="A467" s="61"/>
    </row>
    <row r="468" spans="1:1" s="37" customFormat="1" ht="10.5" customHeight="1" x14ac:dyDescent="0.2">
      <c r="A468" s="61"/>
    </row>
    <row r="469" spans="1:1" s="37" customFormat="1" ht="10.5" customHeight="1" x14ac:dyDescent="0.2">
      <c r="A469" s="61"/>
    </row>
    <row r="470" spans="1:1" s="37" customFormat="1" ht="10.5" customHeight="1" x14ac:dyDescent="0.2">
      <c r="A470" s="61"/>
    </row>
    <row r="471" spans="1:1" s="37" customFormat="1" ht="10.5" customHeight="1" x14ac:dyDescent="0.2">
      <c r="A471" s="61"/>
    </row>
    <row r="472" spans="1:1" s="37" customFormat="1" ht="10.5" customHeight="1" x14ac:dyDescent="0.2">
      <c r="A472" s="61"/>
    </row>
    <row r="473" spans="1:1" s="37" customFormat="1" ht="10.5" customHeight="1" x14ac:dyDescent="0.2">
      <c r="A473" s="61"/>
    </row>
    <row r="474" spans="1:1" s="37" customFormat="1" ht="10.5" customHeight="1" x14ac:dyDescent="0.2">
      <c r="A474" s="61"/>
    </row>
    <row r="475" spans="1:1" s="37" customFormat="1" ht="10.5" customHeight="1" x14ac:dyDescent="0.2">
      <c r="A475" s="61"/>
    </row>
    <row r="476" spans="1:1" s="37" customFormat="1" ht="10.5" customHeight="1" x14ac:dyDescent="0.2">
      <c r="A476" s="61"/>
    </row>
    <row r="477" spans="1:1" s="37" customFormat="1" ht="10.5" customHeight="1" x14ac:dyDescent="0.2">
      <c r="A477" s="61"/>
    </row>
    <row r="478" spans="1:1" s="37" customFormat="1" ht="10.5" customHeight="1" x14ac:dyDescent="0.2">
      <c r="A478" s="61"/>
    </row>
    <row r="479" spans="1:1" s="37" customFormat="1" ht="10.5" customHeight="1" x14ac:dyDescent="0.2">
      <c r="A479" s="61"/>
    </row>
    <row r="480" spans="1:1" s="37" customFormat="1" ht="10.5" customHeight="1" x14ac:dyDescent="0.2">
      <c r="A480" s="61"/>
    </row>
    <row r="481" spans="1:1" s="37" customFormat="1" ht="10.5" customHeight="1" x14ac:dyDescent="0.2">
      <c r="A481" s="61"/>
    </row>
    <row r="482" spans="1:1" s="37" customFormat="1" ht="10.5" customHeight="1" x14ac:dyDescent="0.2">
      <c r="A482" s="61"/>
    </row>
    <row r="483" spans="1:1" s="37" customFormat="1" ht="10.5" customHeight="1" x14ac:dyDescent="0.2">
      <c r="A483" s="61"/>
    </row>
    <row r="484" spans="1:1" s="37" customFormat="1" ht="10.5" customHeight="1" x14ac:dyDescent="0.2">
      <c r="A484" s="61"/>
    </row>
    <row r="485" spans="1:1" s="37" customFormat="1" ht="10.5" customHeight="1" x14ac:dyDescent="0.2">
      <c r="A485" s="61"/>
    </row>
    <row r="486" spans="1:1" s="37" customFormat="1" ht="10.5" customHeight="1" x14ac:dyDescent="0.2">
      <c r="A486" s="61"/>
    </row>
    <row r="487" spans="1:1" s="37" customFormat="1" ht="10.5" customHeight="1" x14ac:dyDescent="0.2">
      <c r="A487" s="61"/>
    </row>
    <row r="488" spans="1:1" s="37" customFormat="1" ht="10.5" customHeight="1" x14ac:dyDescent="0.2">
      <c r="A488" s="61"/>
    </row>
    <row r="489" spans="1:1" s="37" customFormat="1" ht="10.5" customHeight="1" x14ac:dyDescent="0.2">
      <c r="A489" s="61"/>
    </row>
    <row r="490" spans="1:1" s="37" customFormat="1" ht="10.5" customHeight="1" x14ac:dyDescent="0.2">
      <c r="A490" s="61"/>
    </row>
    <row r="491" spans="1:1" s="37" customFormat="1" ht="10.5" customHeight="1" x14ac:dyDescent="0.2">
      <c r="A491" s="61"/>
    </row>
    <row r="492" spans="1:1" s="37" customFormat="1" ht="10.5" customHeight="1" x14ac:dyDescent="0.2">
      <c r="A492" s="61"/>
    </row>
    <row r="493" spans="1:1" s="37" customFormat="1" ht="10.5" customHeight="1" x14ac:dyDescent="0.2">
      <c r="A493" s="61"/>
    </row>
    <row r="494" spans="1:1" s="37" customFormat="1" ht="10.5" customHeight="1" x14ac:dyDescent="0.2">
      <c r="A494" s="61"/>
    </row>
    <row r="495" spans="1:1" s="37" customFormat="1" ht="10.5" customHeight="1" x14ac:dyDescent="0.2">
      <c r="A495" s="61"/>
    </row>
    <row r="496" spans="1:1" s="37" customFormat="1" ht="10.5" customHeight="1" x14ac:dyDescent="0.2">
      <c r="A496" s="61"/>
    </row>
    <row r="497" spans="1:1" s="37" customFormat="1" ht="10.5" customHeight="1" x14ac:dyDescent="0.2">
      <c r="A497" s="61"/>
    </row>
    <row r="498" spans="1:1" s="37" customFormat="1" ht="10.5" customHeight="1" x14ac:dyDescent="0.2">
      <c r="A498" s="61"/>
    </row>
    <row r="499" spans="1:1" s="37" customFormat="1" ht="10.5" customHeight="1" x14ac:dyDescent="0.2">
      <c r="A499" s="61"/>
    </row>
    <row r="500" spans="1:1" s="37" customFormat="1" ht="10.5" customHeight="1" x14ac:dyDescent="0.2">
      <c r="A500" s="61"/>
    </row>
    <row r="501" spans="1:1" s="37" customFormat="1" ht="10.5" customHeight="1" x14ac:dyDescent="0.2">
      <c r="A501" s="61"/>
    </row>
    <row r="502" spans="1:1" s="37" customFormat="1" ht="10.5" customHeight="1" x14ac:dyDescent="0.2">
      <c r="A502" s="61"/>
    </row>
    <row r="503" spans="1:1" s="37" customFormat="1" ht="10.5" customHeight="1" x14ac:dyDescent="0.2">
      <c r="A503" s="61"/>
    </row>
    <row r="504" spans="1:1" s="37" customFormat="1" ht="10.5" customHeight="1" x14ac:dyDescent="0.2">
      <c r="A504" s="61"/>
    </row>
    <row r="505" spans="1:1" s="37" customFormat="1" ht="10.5" customHeight="1" x14ac:dyDescent="0.2">
      <c r="A505" s="61"/>
    </row>
    <row r="506" spans="1:1" s="37" customFormat="1" ht="10.5" customHeight="1" x14ac:dyDescent="0.2">
      <c r="A506" s="61"/>
    </row>
    <row r="507" spans="1:1" s="37" customFormat="1" ht="10.5" customHeight="1" x14ac:dyDescent="0.2">
      <c r="A507" s="61"/>
    </row>
    <row r="508" spans="1:1" s="37" customFormat="1" ht="10.5" customHeight="1" x14ac:dyDescent="0.2">
      <c r="A508" s="61"/>
    </row>
    <row r="509" spans="1:1" s="37" customFormat="1" ht="10.5" customHeight="1" x14ac:dyDescent="0.2">
      <c r="A509" s="61"/>
    </row>
    <row r="510" spans="1:1" s="37" customFormat="1" ht="10.5" customHeight="1" x14ac:dyDescent="0.2">
      <c r="A510" s="61"/>
    </row>
    <row r="511" spans="1:1" s="37" customFormat="1" ht="10.5" customHeight="1" x14ac:dyDescent="0.2">
      <c r="A511" s="61"/>
    </row>
    <row r="512" spans="1:1" s="37" customFormat="1" ht="10.5" customHeight="1" x14ac:dyDescent="0.2">
      <c r="A512" s="61"/>
    </row>
    <row r="513" spans="1:1" s="37" customFormat="1" ht="10.5" customHeight="1" x14ac:dyDescent="0.2">
      <c r="A513" s="61"/>
    </row>
    <row r="514" spans="1:1" s="37" customFormat="1" ht="10.5" customHeight="1" x14ac:dyDescent="0.2">
      <c r="A514" s="61"/>
    </row>
    <row r="515" spans="1:1" s="37" customFormat="1" ht="10.5" customHeight="1" x14ac:dyDescent="0.2">
      <c r="A515" s="61"/>
    </row>
    <row r="516" spans="1:1" s="37" customFormat="1" ht="10.5" customHeight="1" x14ac:dyDescent="0.2">
      <c r="A516" s="61"/>
    </row>
    <row r="517" spans="1:1" s="37" customFormat="1" ht="10.5" customHeight="1" x14ac:dyDescent="0.2">
      <c r="A517" s="61"/>
    </row>
    <row r="518" spans="1:1" s="37" customFormat="1" ht="10.5" customHeight="1" x14ac:dyDescent="0.2">
      <c r="A518" s="61"/>
    </row>
    <row r="519" spans="1:1" s="37" customFormat="1" ht="10.5" customHeight="1" x14ac:dyDescent="0.2">
      <c r="A519" s="61"/>
    </row>
    <row r="520" spans="1:1" s="37" customFormat="1" ht="10.5" customHeight="1" x14ac:dyDescent="0.2">
      <c r="A520" s="61"/>
    </row>
    <row r="521" spans="1:1" s="37" customFormat="1" ht="10.5" customHeight="1" x14ac:dyDescent="0.2">
      <c r="A521" s="61"/>
    </row>
    <row r="522" spans="1:1" s="37" customFormat="1" ht="10.5" customHeight="1" x14ac:dyDescent="0.2">
      <c r="A522" s="61"/>
    </row>
    <row r="523" spans="1:1" s="37" customFormat="1" ht="10.5" customHeight="1" x14ac:dyDescent="0.2">
      <c r="A523" s="61"/>
    </row>
    <row r="524" spans="1:1" s="37" customFormat="1" ht="10.5" customHeight="1" x14ac:dyDescent="0.2">
      <c r="A524" s="61"/>
    </row>
    <row r="525" spans="1:1" s="37" customFormat="1" ht="10.5" customHeight="1" x14ac:dyDescent="0.2">
      <c r="A525" s="61"/>
    </row>
    <row r="526" spans="1:1" s="37" customFormat="1" ht="10.5" customHeight="1" x14ac:dyDescent="0.2">
      <c r="A526" s="61"/>
    </row>
    <row r="527" spans="1:1" s="37" customFormat="1" ht="10.5" customHeight="1" x14ac:dyDescent="0.2">
      <c r="A527" s="61"/>
    </row>
    <row r="528" spans="1:1" s="37" customFormat="1" ht="10.5" customHeight="1" x14ac:dyDescent="0.2">
      <c r="A528" s="61"/>
    </row>
    <row r="529" spans="1:33" s="37" customFormat="1" ht="10.5" customHeight="1" x14ac:dyDescent="0.2">
      <c r="A529" s="61"/>
    </row>
    <row r="530" spans="1:33" s="37" customFormat="1" ht="10.5" customHeight="1" x14ac:dyDescent="0.2">
      <c r="A530" s="61"/>
    </row>
    <row r="531" spans="1:33" s="37" customFormat="1" ht="10.5" customHeight="1" x14ac:dyDescent="0.2">
      <c r="A531" s="61"/>
    </row>
    <row r="532" spans="1:33" s="37" customFormat="1" ht="10.5" customHeight="1" x14ac:dyDescent="0.2">
      <c r="A532" s="61"/>
    </row>
    <row r="533" spans="1:33" ht="10.5" customHeight="1" x14ac:dyDescent="0.2">
      <c r="A533" s="63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0"/>
  <sheetViews>
    <sheetView tabSelected="1" topLeftCell="A157" zoomScaleNormal="100" workbookViewId="0">
      <selection activeCell="G158" sqref="G158:G164"/>
    </sheetView>
  </sheetViews>
  <sheetFormatPr defaultColWidth="9.140625" defaultRowHeight="15.75" customHeight="1" x14ac:dyDescent="0.25"/>
  <cols>
    <col min="1" max="1" width="10.28515625" style="65" customWidth="1"/>
    <col min="2" max="2" width="42" style="42" customWidth="1"/>
    <col min="3" max="3" width="7.85546875" style="41" customWidth="1"/>
    <col min="4" max="4" width="8.85546875" style="41" customWidth="1"/>
    <col min="5" max="5" width="8.28515625" style="41" customWidth="1"/>
    <col min="6" max="6" width="8.140625" style="41" customWidth="1"/>
    <col min="7" max="7" width="7" style="41" customWidth="1"/>
    <col min="8" max="8" width="7.5703125" style="41" customWidth="1"/>
    <col min="9" max="10" width="9.140625" style="41"/>
    <col min="11" max="11" width="7.140625" style="41" customWidth="1"/>
    <col min="12" max="12" width="9" style="41" customWidth="1"/>
    <col min="13" max="13" width="10.28515625" style="41" customWidth="1"/>
    <col min="14" max="14" width="9.7109375" style="41" customWidth="1"/>
    <col min="15" max="15" width="7.28515625" style="41" customWidth="1"/>
    <col min="16" max="16" width="9" style="41" customWidth="1"/>
    <col min="17" max="17" width="9.140625" style="41" customWidth="1"/>
    <col min="18" max="18" width="9.28515625" style="43" customWidth="1"/>
    <col min="19" max="19" width="9.140625" style="93"/>
    <col min="20" max="37" width="9.140625" style="99"/>
    <col min="38" max="38" width="9.140625" style="67"/>
    <col min="39" max="16384" width="9.140625" style="43"/>
  </cols>
  <sheetData>
    <row r="1" spans="1:38" s="82" customFormat="1" ht="15.75" customHeight="1" x14ac:dyDescent="0.3">
      <c r="A1" s="165"/>
      <c r="B1" s="279" t="s">
        <v>249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67"/>
      <c r="R1" s="168"/>
      <c r="S1" s="147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81"/>
    </row>
    <row r="2" spans="1:38" ht="15.75" customHeight="1" x14ac:dyDescent="0.25">
      <c r="A2" s="156"/>
      <c r="B2" s="166" t="s">
        <v>248</v>
      </c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  <c r="S2" s="148"/>
    </row>
    <row r="3" spans="1:38" ht="25.5" customHeight="1" x14ac:dyDescent="0.25">
      <c r="A3" s="218"/>
      <c r="B3" s="169" t="s">
        <v>189</v>
      </c>
      <c r="C3" s="286" t="s">
        <v>177</v>
      </c>
      <c r="D3" s="291" t="s">
        <v>148</v>
      </c>
      <c r="E3" s="291"/>
      <c r="F3" s="291"/>
      <c r="G3" s="292" t="s">
        <v>149</v>
      </c>
      <c r="H3" s="291" t="s">
        <v>150</v>
      </c>
      <c r="I3" s="291"/>
      <c r="J3" s="291"/>
      <c r="K3" s="291"/>
      <c r="L3" s="291"/>
      <c r="M3" s="288" t="s">
        <v>151</v>
      </c>
      <c r="N3" s="289"/>
      <c r="O3" s="289"/>
      <c r="P3" s="289"/>
      <c r="Q3" s="289"/>
      <c r="R3" s="290"/>
      <c r="S3" s="99"/>
    </row>
    <row r="4" spans="1:38" ht="33.75" customHeight="1" x14ac:dyDescent="0.25">
      <c r="A4" s="294" t="s">
        <v>207</v>
      </c>
      <c r="B4" s="295"/>
      <c r="C4" s="287"/>
      <c r="D4" s="257" t="s">
        <v>0</v>
      </c>
      <c r="E4" s="257" t="s">
        <v>1</v>
      </c>
      <c r="F4" s="257" t="s">
        <v>2</v>
      </c>
      <c r="G4" s="293"/>
      <c r="H4" s="257" t="s">
        <v>41</v>
      </c>
      <c r="I4" s="257" t="s">
        <v>45</v>
      </c>
      <c r="J4" s="257" t="s">
        <v>42</v>
      </c>
      <c r="K4" s="257" t="s">
        <v>43</v>
      </c>
      <c r="L4" s="257" t="s">
        <v>44</v>
      </c>
      <c r="M4" s="257" t="s">
        <v>46</v>
      </c>
      <c r="N4" s="257" t="s">
        <v>47</v>
      </c>
      <c r="O4" s="257" t="s">
        <v>48</v>
      </c>
      <c r="P4" s="257" t="s">
        <v>49</v>
      </c>
      <c r="Q4" s="257" t="s">
        <v>100</v>
      </c>
      <c r="R4" s="257" t="s">
        <v>99</v>
      </c>
      <c r="S4" s="99"/>
    </row>
    <row r="5" spans="1:38" s="45" customFormat="1" ht="15.75" customHeight="1" x14ac:dyDescent="0.25">
      <c r="A5" s="222">
        <v>100</v>
      </c>
      <c r="B5" s="187" t="s">
        <v>228</v>
      </c>
      <c r="C5" s="191">
        <v>20</v>
      </c>
      <c r="D5" s="192">
        <v>3.84</v>
      </c>
      <c r="E5" s="192">
        <v>3.92</v>
      </c>
      <c r="F5" s="192">
        <v>0</v>
      </c>
      <c r="G5" s="192">
        <v>51.45</v>
      </c>
      <c r="H5" s="259">
        <v>5.0000000000000001E-3</v>
      </c>
      <c r="I5" s="192">
        <v>0.01</v>
      </c>
      <c r="J5" s="192">
        <v>0.11</v>
      </c>
      <c r="K5" s="259">
        <v>3.5000000000000003E-2</v>
      </c>
      <c r="L5" s="259">
        <v>7.4999999999999997E-2</v>
      </c>
      <c r="M5" s="216">
        <v>135</v>
      </c>
      <c r="N5" s="216">
        <v>88.5</v>
      </c>
      <c r="O5" s="216">
        <v>7.5</v>
      </c>
      <c r="P5" s="259">
        <v>0.13500000000000001</v>
      </c>
      <c r="Q5" s="192">
        <v>1.32</v>
      </c>
      <c r="R5" s="192">
        <v>0</v>
      </c>
      <c r="S5" s="14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4"/>
    </row>
    <row r="6" spans="1:38" ht="15.75" customHeight="1" x14ac:dyDescent="0.25">
      <c r="A6" s="220">
        <v>268</v>
      </c>
      <c r="B6" s="121" t="s">
        <v>286</v>
      </c>
      <c r="C6" s="193">
        <v>250</v>
      </c>
      <c r="D6" s="216">
        <v>5.5</v>
      </c>
      <c r="E6" s="192">
        <v>8.6199999999999992</v>
      </c>
      <c r="F6" s="216">
        <v>32.4</v>
      </c>
      <c r="G6" s="216">
        <v>229.4</v>
      </c>
      <c r="H6" s="259">
        <v>6.4000000000000001E-2</v>
      </c>
      <c r="I6" s="259">
        <v>2.1000000000000001E-2</v>
      </c>
      <c r="J6" s="192">
        <v>1.54</v>
      </c>
      <c r="K6" s="259">
        <v>5.3999999999999999E-2</v>
      </c>
      <c r="L6" s="192">
        <v>0.18</v>
      </c>
      <c r="M6" s="216">
        <v>143.4</v>
      </c>
      <c r="N6" s="216">
        <v>151.80000000000001</v>
      </c>
      <c r="O6" s="216">
        <v>31.6</v>
      </c>
      <c r="P6" s="192">
        <v>0.44</v>
      </c>
      <c r="Q6" s="216">
        <v>1.1000000000000001</v>
      </c>
      <c r="R6" s="192">
        <v>0</v>
      </c>
      <c r="S6" s="149"/>
    </row>
    <row r="7" spans="1:38" s="45" customFormat="1" ht="15.75" customHeight="1" x14ac:dyDescent="0.25">
      <c r="A7" s="222">
        <v>496</v>
      </c>
      <c r="B7" s="119" t="s">
        <v>6</v>
      </c>
      <c r="C7" s="191">
        <v>200</v>
      </c>
      <c r="D7" s="262">
        <v>3.6</v>
      </c>
      <c r="E7" s="262">
        <v>3.3</v>
      </c>
      <c r="F7" s="266">
        <v>25</v>
      </c>
      <c r="G7" s="265">
        <v>144</v>
      </c>
      <c r="H7" s="194">
        <v>0.04</v>
      </c>
      <c r="I7" s="194">
        <v>0.18</v>
      </c>
      <c r="J7" s="262">
        <v>1.3</v>
      </c>
      <c r="K7" s="194">
        <v>0.02</v>
      </c>
      <c r="L7" s="194">
        <v>0</v>
      </c>
      <c r="M7" s="262">
        <v>124</v>
      </c>
      <c r="N7" s="266">
        <v>110</v>
      </c>
      <c r="O7" s="266">
        <v>27</v>
      </c>
      <c r="P7" s="262">
        <v>0.8</v>
      </c>
      <c r="Q7" s="216">
        <v>0.5</v>
      </c>
      <c r="R7" s="192">
        <v>0</v>
      </c>
      <c r="S7" s="14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4"/>
    </row>
    <row r="8" spans="1:38" s="45" customFormat="1" ht="15.75" customHeight="1" x14ac:dyDescent="0.25">
      <c r="A8" s="222" t="s">
        <v>215</v>
      </c>
      <c r="B8" s="119" t="s">
        <v>221</v>
      </c>
      <c r="C8" s="197">
        <v>60</v>
      </c>
      <c r="D8" s="192">
        <v>2.2799999999999998</v>
      </c>
      <c r="E8" s="192">
        <v>0.24</v>
      </c>
      <c r="F8" s="192">
        <v>14.76</v>
      </c>
      <c r="G8" s="216">
        <v>70.5</v>
      </c>
      <c r="H8" s="259">
        <v>3.3000000000000002E-2</v>
      </c>
      <c r="I8" s="259">
        <v>5.0000000000000001E-3</v>
      </c>
      <c r="J8" s="192">
        <v>0</v>
      </c>
      <c r="K8" s="192">
        <v>0</v>
      </c>
      <c r="L8" s="192">
        <v>0.33</v>
      </c>
      <c r="M8" s="265">
        <v>6</v>
      </c>
      <c r="N8" s="216">
        <v>19.5</v>
      </c>
      <c r="O8" s="216">
        <v>4.2</v>
      </c>
      <c r="P8" s="192">
        <v>0.33</v>
      </c>
      <c r="Q8" s="259">
        <v>0.14699999999999999</v>
      </c>
      <c r="R8" s="192">
        <v>0</v>
      </c>
      <c r="S8" s="14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4"/>
    </row>
    <row r="9" spans="1:38" s="44" customFormat="1" ht="15.75" customHeight="1" x14ac:dyDescent="0.25">
      <c r="A9" s="251" t="s">
        <v>159</v>
      </c>
      <c r="B9" s="116" t="s">
        <v>222</v>
      </c>
      <c r="C9" s="197">
        <v>40</v>
      </c>
      <c r="D9" s="199">
        <v>1.32</v>
      </c>
      <c r="E9" s="199">
        <v>0.24</v>
      </c>
      <c r="F9" s="199">
        <v>6.68</v>
      </c>
      <c r="G9" s="199">
        <v>34.799999999999997</v>
      </c>
      <c r="H9" s="199">
        <v>3.5999999999999997E-2</v>
      </c>
      <c r="I9" s="199">
        <v>7.0000000000000007E-2</v>
      </c>
      <c r="J9" s="199">
        <v>0</v>
      </c>
      <c r="K9" s="199">
        <v>0</v>
      </c>
      <c r="L9" s="199">
        <v>0.28000000000000003</v>
      </c>
      <c r="M9" s="199">
        <v>7</v>
      </c>
      <c r="N9" s="263">
        <v>31.6</v>
      </c>
      <c r="O9" s="263">
        <v>9.4</v>
      </c>
      <c r="P9" s="202">
        <v>0.78</v>
      </c>
      <c r="Q9" s="199">
        <v>0</v>
      </c>
      <c r="R9" s="264">
        <v>0.02</v>
      </c>
      <c r="S9" s="14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5"/>
    </row>
    <row r="10" spans="1:38" s="44" customFormat="1" ht="15.75" customHeight="1" x14ac:dyDescent="0.25">
      <c r="A10" s="222">
        <v>112</v>
      </c>
      <c r="B10" s="119" t="s">
        <v>156</v>
      </c>
      <c r="C10" s="191">
        <v>120</v>
      </c>
      <c r="D10" s="262">
        <v>0.5</v>
      </c>
      <c r="E10" s="262">
        <v>0.5</v>
      </c>
      <c r="F10" s="262">
        <v>12.8</v>
      </c>
      <c r="G10" s="216">
        <f t="shared" ref="G10" si="0">F10*4+E10*9+D10*4</f>
        <v>57.7</v>
      </c>
      <c r="H10" s="194">
        <v>0.04</v>
      </c>
      <c r="I10" s="194">
        <v>0.01</v>
      </c>
      <c r="J10" s="266">
        <v>5</v>
      </c>
      <c r="K10" s="194">
        <v>0</v>
      </c>
      <c r="L10" s="194">
        <v>0.33</v>
      </c>
      <c r="M10" s="266">
        <v>25</v>
      </c>
      <c r="N10" s="262">
        <v>18.3</v>
      </c>
      <c r="O10" s="260">
        <v>14.16</v>
      </c>
      <c r="P10" s="262">
        <v>0.5</v>
      </c>
      <c r="Q10" s="192">
        <v>0.48</v>
      </c>
      <c r="R10" s="192">
        <v>1.0000000000000001E-5</v>
      </c>
      <c r="S10" s="14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5"/>
    </row>
    <row r="11" spans="1:38" s="44" customFormat="1" ht="15.75" customHeight="1" x14ac:dyDescent="0.25">
      <c r="A11" s="122"/>
      <c r="B11" s="123" t="s">
        <v>21</v>
      </c>
      <c r="C11" s="188">
        <f>+C22:R22</f>
        <v>950</v>
      </c>
      <c r="D11" s="124">
        <f t="shared" ref="D11:R11" si="1">SUM(D5:D10)</f>
        <v>17.04</v>
      </c>
      <c r="E11" s="124">
        <f t="shared" si="1"/>
        <v>16.819999999999997</v>
      </c>
      <c r="F11" s="124">
        <f t="shared" si="1"/>
        <v>91.64</v>
      </c>
      <c r="G11" s="124">
        <f t="shared" si="1"/>
        <v>587.85</v>
      </c>
      <c r="H11" s="124">
        <f t="shared" si="1"/>
        <v>0.21800000000000003</v>
      </c>
      <c r="I11" s="124">
        <f t="shared" si="1"/>
        <v>0.29600000000000004</v>
      </c>
      <c r="J11" s="124">
        <f t="shared" si="1"/>
        <v>7.95</v>
      </c>
      <c r="K11" s="124">
        <f t="shared" si="1"/>
        <v>0.109</v>
      </c>
      <c r="L11" s="124">
        <f t="shared" si="1"/>
        <v>1.1950000000000001</v>
      </c>
      <c r="M11" s="124">
        <f t="shared" si="1"/>
        <v>440.4</v>
      </c>
      <c r="N11" s="124">
        <f t="shared" si="1"/>
        <v>419.70000000000005</v>
      </c>
      <c r="O11" s="124">
        <f t="shared" si="1"/>
        <v>93.86</v>
      </c>
      <c r="P11" s="124">
        <f t="shared" si="1"/>
        <v>2.9850000000000003</v>
      </c>
      <c r="Q11" s="124">
        <f t="shared" si="1"/>
        <v>3.5469999999999997</v>
      </c>
      <c r="R11" s="124">
        <f t="shared" si="1"/>
        <v>2.001E-2</v>
      </c>
      <c r="S11" s="14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5"/>
    </row>
    <row r="12" spans="1:38" s="44" customFormat="1" ht="15.75" customHeight="1" x14ac:dyDescent="0.25">
      <c r="A12" s="125"/>
      <c r="B12" s="126" t="s">
        <v>98</v>
      </c>
      <c r="C12" s="195"/>
      <c r="D12" s="196">
        <v>19.25</v>
      </c>
      <c r="E12" s="196">
        <v>19.75</v>
      </c>
      <c r="F12" s="196">
        <v>83.75</v>
      </c>
      <c r="G12" s="196">
        <v>587.5</v>
      </c>
      <c r="H12" s="196">
        <v>0.3</v>
      </c>
      <c r="I12" s="196">
        <v>0.35</v>
      </c>
      <c r="J12" s="196">
        <v>15</v>
      </c>
      <c r="K12" s="196">
        <v>0.17499999999999999</v>
      </c>
      <c r="L12" s="196">
        <v>2.5</v>
      </c>
      <c r="M12" s="196">
        <v>275</v>
      </c>
      <c r="N12" s="196">
        <v>412.5</v>
      </c>
      <c r="O12" s="196">
        <v>62.5</v>
      </c>
      <c r="P12" s="196">
        <v>3</v>
      </c>
      <c r="Q12" s="196">
        <v>2.5</v>
      </c>
      <c r="R12" s="196">
        <v>2.5000000000000001E-2</v>
      </c>
      <c r="S12" s="14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5"/>
    </row>
    <row r="13" spans="1:38" ht="15.75" customHeight="1" x14ac:dyDescent="0.25">
      <c r="A13" s="125"/>
      <c r="B13" s="127" t="s">
        <v>178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50"/>
    </row>
    <row r="14" spans="1:38" ht="15.75" customHeight="1" x14ac:dyDescent="0.25">
      <c r="A14" s="125">
        <v>4</v>
      </c>
      <c r="B14" s="250" t="s">
        <v>230</v>
      </c>
      <c r="C14" s="249">
        <v>100</v>
      </c>
      <c r="D14" s="196">
        <v>0.96</v>
      </c>
      <c r="E14" s="196">
        <v>6.06</v>
      </c>
      <c r="F14" s="196">
        <v>5.76</v>
      </c>
      <c r="G14" s="196">
        <v>81.599999999999994</v>
      </c>
      <c r="H14" s="267">
        <v>2.4E-2</v>
      </c>
      <c r="I14" s="196">
        <v>0.03</v>
      </c>
      <c r="J14" s="196">
        <v>16.68</v>
      </c>
      <c r="K14" s="196">
        <v>0</v>
      </c>
      <c r="L14" s="196">
        <v>2.7</v>
      </c>
      <c r="M14" s="196">
        <v>26.4</v>
      </c>
      <c r="N14" s="196">
        <v>19.2</v>
      </c>
      <c r="O14" s="196">
        <v>10.199999999999999</v>
      </c>
      <c r="P14" s="248">
        <v>0.36</v>
      </c>
      <c r="Q14" s="196">
        <v>0</v>
      </c>
      <c r="R14" s="196">
        <v>0</v>
      </c>
      <c r="S14" s="150"/>
    </row>
    <row r="15" spans="1:38" ht="15.75" customHeight="1" x14ac:dyDescent="0.25">
      <c r="A15" s="251">
        <v>141</v>
      </c>
      <c r="B15" s="116" t="s">
        <v>176</v>
      </c>
      <c r="C15" s="197">
        <v>250</v>
      </c>
      <c r="D15" s="198">
        <v>1.4</v>
      </c>
      <c r="E15" s="198">
        <v>3.98</v>
      </c>
      <c r="F15" s="198">
        <v>6.22</v>
      </c>
      <c r="G15" s="199">
        <v>66.400000000000006</v>
      </c>
      <c r="H15" s="268">
        <v>4.5999999999999999E-2</v>
      </c>
      <c r="I15" s="198">
        <v>0.05</v>
      </c>
      <c r="J15" s="198">
        <v>14.78</v>
      </c>
      <c r="K15" s="198">
        <v>0</v>
      </c>
      <c r="L15" s="198">
        <v>1.9</v>
      </c>
      <c r="M15" s="198">
        <v>27.2</v>
      </c>
      <c r="N15" s="198">
        <v>38</v>
      </c>
      <c r="O15" s="198">
        <v>17.8</v>
      </c>
      <c r="P15" s="200">
        <v>0.64</v>
      </c>
      <c r="Q15" s="198">
        <v>0.56000000000000005</v>
      </c>
      <c r="R15" s="201">
        <v>0.01</v>
      </c>
      <c r="S15" s="148"/>
    </row>
    <row r="16" spans="1:38" s="46" customFormat="1" ht="15.75" customHeight="1" x14ac:dyDescent="0.25">
      <c r="A16" s="251">
        <v>368</v>
      </c>
      <c r="B16" s="116" t="s">
        <v>231</v>
      </c>
      <c r="C16" s="197">
        <v>100</v>
      </c>
      <c r="D16" s="199">
        <v>13.2</v>
      </c>
      <c r="E16" s="199">
        <v>14.52</v>
      </c>
      <c r="F16" s="199">
        <v>3.3</v>
      </c>
      <c r="G16" s="199">
        <v>196.8</v>
      </c>
      <c r="H16" s="199">
        <v>0.05</v>
      </c>
      <c r="I16" s="199">
        <v>0.08</v>
      </c>
      <c r="J16" s="199">
        <v>0.96</v>
      </c>
      <c r="K16" s="261">
        <v>3.5999999999999997E-2</v>
      </c>
      <c r="L16" s="198">
        <v>0.48</v>
      </c>
      <c r="M16" s="199">
        <v>13.8</v>
      </c>
      <c r="N16" s="199">
        <v>142.80000000000001</v>
      </c>
      <c r="O16" s="199">
        <v>22.2</v>
      </c>
      <c r="P16" s="202">
        <v>1.98</v>
      </c>
      <c r="Q16" s="199">
        <v>3.26</v>
      </c>
      <c r="R16" s="201">
        <v>0.03</v>
      </c>
      <c r="S16" s="148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6"/>
    </row>
    <row r="17" spans="1:38" s="47" customFormat="1" ht="15.75" customHeight="1" x14ac:dyDescent="0.25">
      <c r="A17" s="253">
        <v>302</v>
      </c>
      <c r="B17" s="116" t="s">
        <v>213</v>
      </c>
      <c r="C17" s="203">
        <v>180</v>
      </c>
      <c r="D17" s="194">
        <v>3.2</v>
      </c>
      <c r="E17" s="194">
        <v>5.2</v>
      </c>
      <c r="F17" s="194">
        <v>20.8</v>
      </c>
      <c r="G17" s="199">
        <f>D17*4+E17*9+F17*4</f>
        <v>142.80000000000001</v>
      </c>
      <c r="H17" s="194">
        <v>0.06</v>
      </c>
      <c r="I17" s="194">
        <v>0.02</v>
      </c>
      <c r="J17" s="194">
        <v>0</v>
      </c>
      <c r="K17" s="194">
        <v>0</v>
      </c>
      <c r="L17" s="198">
        <f>0.68*0.46</f>
        <v>0.31280000000000002</v>
      </c>
      <c r="M17" s="194">
        <v>26.82</v>
      </c>
      <c r="N17" s="194">
        <v>111.2</v>
      </c>
      <c r="O17" s="194">
        <v>15.99</v>
      </c>
      <c r="P17" s="194">
        <v>0.57999999999999996</v>
      </c>
      <c r="Q17" s="194">
        <v>0</v>
      </c>
      <c r="R17" s="201">
        <v>0</v>
      </c>
      <c r="S17" s="151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80"/>
    </row>
    <row r="18" spans="1:38" s="46" customFormat="1" ht="15.75" customHeight="1" x14ac:dyDescent="0.25">
      <c r="A18" s="251">
        <v>518</v>
      </c>
      <c r="B18" s="130" t="s">
        <v>238</v>
      </c>
      <c r="C18" s="206">
        <v>200</v>
      </c>
      <c r="D18" s="207">
        <v>1</v>
      </c>
      <c r="E18" s="207">
        <v>0.2</v>
      </c>
      <c r="F18" s="207">
        <v>0.2</v>
      </c>
      <c r="G18" s="207">
        <v>92</v>
      </c>
      <c r="H18" s="194">
        <v>1.4999999999999999E-2</v>
      </c>
      <c r="I18" s="194">
        <v>1.4999999999999999E-2</v>
      </c>
      <c r="J18" s="194">
        <v>4</v>
      </c>
      <c r="K18" s="194">
        <v>0</v>
      </c>
      <c r="L18" s="194">
        <v>0</v>
      </c>
      <c r="M18" s="194">
        <v>14</v>
      </c>
      <c r="N18" s="194">
        <v>0</v>
      </c>
      <c r="O18" s="194">
        <v>0</v>
      </c>
      <c r="P18" s="194">
        <v>2.8</v>
      </c>
      <c r="Q18" s="194">
        <v>0</v>
      </c>
      <c r="R18" s="201">
        <v>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6"/>
    </row>
    <row r="19" spans="1:38" s="44" customFormat="1" ht="15.75" customHeight="1" x14ac:dyDescent="0.25">
      <c r="A19" s="222" t="s">
        <v>215</v>
      </c>
      <c r="B19" s="119" t="s">
        <v>223</v>
      </c>
      <c r="C19" s="197">
        <v>60</v>
      </c>
      <c r="D19" s="194">
        <f>2.7*60/40</f>
        <v>4.05</v>
      </c>
      <c r="E19" s="194">
        <f>0.34*60/40</f>
        <v>0.51</v>
      </c>
      <c r="F19" s="194">
        <f>20.06*60/40</f>
        <v>30.089999999999996</v>
      </c>
      <c r="G19" s="199">
        <f t="shared" ref="G19:G20" si="2">D19*4+E19*9+F19*4</f>
        <v>141.14999999999998</v>
      </c>
      <c r="H19" s="194">
        <f>0.11*0.6</f>
        <v>6.6000000000000003E-2</v>
      </c>
      <c r="I19" s="194">
        <f>0.03*0.6</f>
        <v>1.7999999999999999E-2</v>
      </c>
      <c r="J19" s="194">
        <v>0</v>
      </c>
      <c r="K19" s="194">
        <v>0</v>
      </c>
      <c r="L19" s="194">
        <f>1.1*0.6</f>
        <v>0.66</v>
      </c>
      <c r="M19" s="194">
        <f>20*0.6</f>
        <v>12</v>
      </c>
      <c r="N19" s="194">
        <f>65*0.6</f>
        <v>39</v>
      </c>
      <c r="O19" s="194">
        <f>14*0.6</f>
        <v>8.4</v>
      </c>
      <c r="P19" s="194">
        <f>1.1*0.6</f>
        <v>0.66</v>
      </c>
      <c r="Q19" s="194">
        <v>0</v>
      </c>
      <c r="R19" s="201">
        <v>0</v>
      </c>
      <c r="S19" s="151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5"/>
    </row>
    <row r="20" spans="1:38" s="44" customFormat="1" ht="15.75" customHeight="1" x14ac:dyDescent="0.25">
      <c r="A20" s="251" t="s">
        <v>159</v>
      </c>
      <c r="B20" s="116" t="s">
        <v>224</v>
      </c>
      <c r="C20" s="197">
        <v>40</v>
      </c>
      <c r="D20" s="199">
        <v>1.33</v>
      </c>
      <c r="E20" s="199">
        <v>0.24</v>
      </c>
      <c r="F20" s="199">
        <v>8.3699999999999992</v>
      </c>
      <c r="G20" s="199">
        <f t="shared" si="2"/>
        <v>40.959999999999994</v>
      </c>
      <c r="H20" s="199">
        <v>0.11</v>
      </c>
      <c r="I20" s="199">
        <v>7.0000000000000007E-2</v>
      </c>
      <c r="J20" s="199">
        <v>0.14000000000000001</v>
      </c>
      <c r="K20" s="199">
        <v>0</v>
      </c>
      <c r="L20" s="199">
        <v>0.11</v>
      </c>
      <c r="M20" s="199">
        <v>25.55</v>
      </c>
      <c r="N20" s="199">
        <v>43.75</v>
      </c>
      <c r="O20" s="199">
        <v>14</v>
      </c>
      <c r="P20" s="202">
        <v>0.98</v>
      </c>
      <c r="Q20" s="199">
        <v>0</v>
      </c>
      <c r="R20" s="201">
        <v>0.02</v>
      </c>
      <c r="S20" s="14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5"/>
    </row>
    <row r="21" spans="1:38" s="44" customFormat="1" ht="15.75" customHeight="1" x14ac:dyDescent="0.25">
      <c r="A21" s="251">
        <v>368</v>
      </c>
      <c r="B21" s="116" t="s">
        <v>210</v>
      </c>
      <c r="C21" s="197">
        <v>120</v>
      </c>
      <c r="D21" s="194">
        <v>1.08</v>
      </c>
      <c r="E21" s="194">
        <v>0.12</v>
      </c>
      <c r="F21" s="194">
        <v>10.8</v>
      </c>
      <c r="G21" s="199">
        <f>D21*4+E21*9+F21*4</f>
        <v>48.6</v>
      </c>
      <c r="H21" s="194">
        <v>0.03</v>
      </c>
      <c r="I21" s="194">
        <v>0.06</v>
      </c>
      <c r="J21" s="194">
        <v>12</v>
      </c>
      <c r="K21" s="194">
        <v>0</v>
      </c>
      <c r="L21" s="194">
        <v>1.32</v>
      </c>
      <c r="M21" s="194">
        <v>33.6</v>
      </c>
      <c r="N21" s="194">
        <v>31.2</v>
      </c>
      <c r="O21" s="194">
        <v>9.6</v>
      </c>
      <c r="P21" s="194">
        <v>0.84</v>
      </c>
      <c r="Q21" s="194">
        <v>0.09</v>
      </c>
      <c r="R21" s="201">
        <v>0</v>
      </c>
      <c r="S21" s="14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5"/>
    </row>
    <row r="22" spans="1:38" s="44" customFormat="1" ht="15.75" customHeight="1" x14ac:dyDescent="0.25">
      <c r="A22" s="254"/>
      <c r="B22" s="219" t="s">
        <v>21</v>
      </c>
      <c r="C22" s="132">
        <f t="shared" ref="C22:R22" si="3">SUM(C15:C21)</f>
        <v>950</v>
      </c>
      <c r="D22" s="133">
        <f t="shared" si="3"/>
        <v>25.259999999999998</v>
      </c>
      <c r="E22" s="133">
        <f t="shared" si="3"/>
        <v>24.77</v>
      </c>
      <c r="F22" s="133">
        <f t="shared" si="3"/>
        <v>79.78</v>
      </c>
      <c r="G22" s="133">
        <f t="shared" si="3"/>
        <v>728.71000000000015</v>
      </c>
      <c r="H22" s="133">
        <f t="shared" si="3"/>
        <v>0.377</v>
      </c>
      <c r="I22" s="133">
        <f t="shared" si="3"/>
        <v>0.313</v>
      </c>
      <c r="J22" s="133">
        <f t="shared" si="3"/>
        <v>31.88</v>
      </c>
      <c r="K22" s="133">
        <f t="shared" si="3"/>
        <v>3.5999999999999997E-2</v>
      </c>
      <c r="L22" s="133">
        <f t="shared" si="3"/>
        <v>4.7827999999999999</v>
      </c>
      <c r="M22" s="133">
        <f t="shared" si="3"/>
        <v>152.97</v>
      </c>
      <c r="N22" s="133">
        <f t="shared" si="3"/>
        <v>405.95</v>
      </c>
      <c r="O22" s="133">
        <f t="shared" si="3"/>
        <v>87.99</v>
      </c>
      <c r="P22" s="133">
        <f t="shared" si="3"/>
        <v>8.48</v>
      </c>
      <c r="Q22" s="133">
        <f t="shared" si="3"/>
        <v>3.9099999999999997</v>
      </c>
      <c r="R22" s="133">
        <f t="shared" si="3"/>
        <v>0.06</v>
      </c>
      <c r="S22" s="14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5"/>
    </row>
    <row r="23" spans="1:38" ht="15.75" customHeight="1" x14ac:dyDescent="0.25">
      <c r="A23" s="125"/>
      <c r="B23" s="131" t="s">
        <v>181</v>
      </c>
      <c r="C23" s="189">
        <f>SUM(C11:R11+C22:R22)</f>
        <v>1900</v>
      </c>
      <c r="D23" s="86">
        <f t="shared" ref="D23:R23" si="4">SUM(D22)</f>
        <v>25.259999999999998</v>
      </c>
      <c r="E23" s="86">
        <f t="shared" si="4"/>
        <v>24.77</v>
      </c>
      <c r="F23" s="86">
        <f t="shared" si="4"/>
        <v>79.78</v>
      </c>
      <c r="G23" s="86">
        <f t="shared" si="4"/>
        <v>728.71000000000015</v>
      </c>
      <c r="H23" s="86">
        <f t="shared" si="4"/>
        <v>0.377</v>
      </c>
      <c r="I23" s="86">
        <f t="shared" si="4"/>
        <v>0.313</v>
      </c>
      <c r="J23" s="86">
        <f t="shared" si="4"/>
        <v>31.88</v>
      </c>
      <c r="K23" s="86">
        <f t="shared" si="4"/>
        <v>3.5999999999999997E-2</v>
      </c>
      <c r="L23" s="86">
        <f t="shared" si="4"/>
        <v>4.7827999999999999</v>
      </c>
      <c r="M23" s="86">
        <f t="shared" si="4"/>
        <v>152.97</v>
      </c>
      <c r="N23" s="86">
        <f t="shared" si="4"/>
        <v>405.95</v>
      </c>
      <c r="O23" s="86">
        <f t="shared" si="4"/>
        <v>87.99</v>
      </c>
      <c r="P23" s="86">
        <f t="shared" si="4"/>
        <v>8.48</v>
      </c>
      <c r="Q23" s="86">
        <f t="shared" si="4"/>
        <v>3.9099999999999997</v>
      </c>
      <c r="R23" s="86">
        <f t="shared" si="4"/>
        <v>0.06</v>
      </c>
      <c r="S23" s="149"/>
    </row>
    <row r="24" spans="1:38" ht="15.75" customHeight="1" x14ac:dyDescent="0.25">
      <c r="A24" s="294" t="s">
        <v>209</v>
      </c>
      <c r="B24" s="295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48"/>
    </row>
    <row r="25" spans="1:38" ht="15.75" customHeight="1" x14ac:dyDescent="0.25">
      <c r="A25" s="255">
        <v>246</v>
      </c>
      <c r="B25" s="135" t="s">
        <v>273</v>
      </c>
      <c r="C25" s="210">
        <v>100</v>
      </c>
      <c r="D25" s="194">
        <v>0.79</v>
      </c>
      <c r="E25" s="194">
        <v>0.14399999999999999</v>
      </c>
      <c r="F25" s="194">
        <v>2.7360000000000002</v>
      </c>
      <c r="G25" s="194">
        <f>F25*4+E25*9+D25*4</f>
        <v>15.4</v>
      </c>
      <c r="H25" s="194">
        <v>4.8000000000000001E-2</v>
      </c>
      <c r="I25" s="194">
        <v>2.4E-2</v>
      </c>
      <c r="J25" s="194">
        <v>12.6</v>
      </c>
      <c r="K25" s="194">
        <v>0</v>
      </c>
      <c r="L25" s="194">
        <v>0.5</v>
      </c>
      <c r="M25" s="194">
        <v>10.08</v>
      </c>
      <c r="N25" s="194">
        <v>18.72</v>
      </c>
      <c r="O25" s="194">
        <v>14.4</v>
      </c>
      <c r="P25" s="194">
        <v>0.64800000000000002</v>
      </c>
      <c r="Q25" s="211">
        <v>0.10199999999999999</v>
      </c>
      <c r="R25" s="211">
        <v>0</v>
      </c>
      <c r="S25" s="149"/>
    </row>
    <row r="26" spans="1:38" s="45" customFormat="1" ht="15.75" customHeight="1" x14ac:dyDescent="0.25">
      <c r="A26" s="222">
        <v>259</v>
      </c>
      <c r="B26" s="119" t="s">
        <v>287</v>
      </c>
      <c r="C26" s="191">
        <v>200</v>
      </c>
      <c r="D26" s="86">
        <v>17.009708737864077</v>
      </c>
      <c r="E26" s="86">
        <v>15.679611650485436</v>
      </c>
      <c r="F26" s="86">
        <v>25.864077669902912</v>
      </c>
      <c r="G26" s="194">
        <f t="shared" ref="G26:G29" si="5">F26*4+E26*9+D26*4</f>
        <v>312.61165048543688</v>
      </c>
      <c r="H26" s="86">
        <v>0.13980582524271842</v>
      </c>
      <c r="I26" s="86">
        <v>0.19805825242718447</v>
      </c>
      <c r="J26" s="86">
        <v>8.0970873786407758</v>
      </c>
      <c r="K26" s="86">
        <v>0</v>
      </c>
      <c r="L26" s="86">
        <v>10.067961165048542</v>
      </c>
      <c r="M26" s="86">
        <v>36.504854368932037</v>
      </c>
      <c r="N26" s="86">
        <v>215.95145631067962</v>
      </c>
      <c r="O26" s="86">
        <v>50.902912621359221</v>
      </c>
      <c r="P26" s="86">
        <v>4.6213592233009706</v>
      </c>
      <c r="Q26" s="211">
        <v>3.38</v>
      </c>
      <c r="R26" s="211">
        <v>0</v>
      </c>
      <c r="S26" s="14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4"/>
    </row>
    <row r="27" spans="1:38" ht="15.75" customHeight="1" x14ac:dyDescent="0.25">
      <c r="A27" s="222" t="s">
        <v>39</v>
      </c>
      <c r="B27" s="119" t="s">
        <v>274</v>
      </c>
      <c r="C27" s="191">
        <v>200</v>
      </c>
      <c r="D27" s="192">
        <v>0.6</v>
      </c>
      <c r="E27" s="192">
        <v>0.4</v>
      </c>
      <c r="F27" s="192">
        <v>10.4</v>
      </c>
      <c r="G27" s="194">
        <f t="shared" si="5"/>
        <v>47.6</v>
      </c>
      <c r="H27" s="192">
        <v>0.02</v>
      </c>
      <c r="I27" s="192">
        <v>0.04</v>
      </c>
      <c r="J27" s="192">
        <v>3.4</v>
      </c>
      <c r="K27" s="192">
        <v>0</v>
      </c>
      <c r="L27" s="192">
        <v>0.4</v>
      </c>
      <c r="M27" s="192">
        <v>21.2</v>
      </c>
      <c r="N27" s="192">
        <v>22.6</v>
      </c>
      <c r="O27" s="192">
        <v>14.6</v>
      </c>
      <c r="P27" s="192">
        <v>3.2</v>
      </c>
      <c r="Q27" s="192">
        <v>0.12</v>
      </c>
      <c r="R27" s="192">
        <v>0</v>
      </c>
      <c r="S27" s="149"/>
    </row>
    <row r="28" spans="1:38" s="44" customFormat="1" ht="15.75" customHeight="1" x14ac:dyDescent="0.25">
      <c r="A28" s="222" t="s">
        <v>215</v>
      </c>
      <c r="B28" s="119" t="s">
        <v>221</v>
      </c>
      <c r="C28" s="197">
        <v>40</v>
      </c>
      <c r="D28" s="86">
        <v>1.6875</v>
      </c>
      <c r="E28" s="86">
        <v>0.21499999999999997</v>
      </c>
      <c r="F28" s="86">
        <v>12.5375</v>
      </c>
      <c r="G28" s="194">
        <f t="shared" si="5"/>
        <v>58.835000000000001</v>
      </c>
      <c r="H28" s="86">
        <v>0.03</v>
      </c>
      <c r="I28" s="86">
        <v>6.2500000000000003E-3</v>
      </c>
      <c r="J28" s="86">
        <v>0</v>
      </c>
      <c r="K28" s="86">
        <v>0</v>
      </c>
      <c r="L28" s="86">
        <v>0.27500000000000002</v>
      </c>
      <c r="M28" s="86">
        <v>5</v>
      </c>
      <c r="N28" s="86">
        <v>16.25</v>
      </c>
      <c r="O28" s="86">
        <v>3.5</v>
      </c>
      <c r="P28" s="86">
        <v>0.27500000000000002</v>
      </c>
      <c r="Q28" s="86">
        <v>0.19</v>
      </c>
      <c r="R28" s="86">
        <v>0</v>
      </c>
      <c r="S28" s="14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5"/>
    </row>
    <row r="29" spans="1:38" ht="15.75" customHeight="1" x14ac:dyDescent="0.25">
      <c r="A29" s="251" t="s">
        <v>159</v>
      </c>
      <c r="B29" s="116" t="s">
        <v>222</v>
      </c>
      <c r="C29" s="197">
        <v>40</v>
      </c>
      <c r="D29" s="192">
        <v>1.6625000000000001</v>
      </c>
      <c r="E29" s="192">
        <v>0.3</v>
      </c>
      <c r="F29" s="192">
        <v>10.462499999999999</v>
      </c>
      <c r="G29" s="194">
        <f t="shared" si="5"/>
        <v>51.199999999999996</v>
      </c>
      <c r="H29" s="192">
        <v>0.13124999999999998</v>
      </c>
      <c r="I29" s="192">
        <v>8.7499999999999981E-2</v>
      </c>
      <c r="J29" s="192">
        <v>0.17499999999999996</v>
      </c>
      <c r="K29" s="192">
        <v>0</v>
      </c>
      <c r="L29" s="192">
        <v>0.13124999999999998</v>
      </c>
      <c r="M29" s="192">
        <v>31.937499999999996</v>
      </c>
      <c r="N29" s="192">
        <v>54.6875</v>
      </c>
      <c r="O29" s="192">
        <v>17.5</v>
      </c>
      <c r="P29" s="192">
        <v>1.2249999999999999</v>
      </c>
      <c r="Q29" s="192">
        <v>0.3</v>
      </c>
      <c r="R29" s="192">
        <v>0.02</v>
      </c>
      <c r="S29" s="149"/>
    </row>
    <row r="30" spans="1:38" s="44" customFormat="1" ht="15.75" customHeight="1" x14ac:dyDescent="0.25">
      <c r="A30" s="142"/>
      <c r="B30" s="119" t="s">
        <v>275</v>
      </c>
      <c r="C30" s="191">
        <v>200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2"/>
      <c r="R30" s="192"/>
      <c r="S30" s="14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5"/>
    </row>
    <row r="31" spans="1:38" s="44" customFormat="1" ht="15.75" customHeight="1" x14ac:dyDescent="0.25">
      <c r="A31" s="125"/>
      <c r="B31" s="219" t="s">
        <v>21</v>
      </c>
      <c r="C31" s="189">
        <f>SUM(C20:R20+C30:R30)</f>
        <v>240</v>
      </c>
      <c r="D31" s="86">
        <f t="shared" ref="D31" si="6">SUM(D30)</f>
        <v>0</v>
      </c>
      <c r="E31" s="86">
        <f t="shared" ref="E31:R31" si="7">SUM(E30)</f>
        <v>0</v>
      </c>
      <c r="F31" s="86">
        <f t="shared" si="7"/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6">
        <f t="shared" si="7"/>
        <v>0</v>
      </c>
      <c r="O31" s="86">
        <f t="shared" si="7"/>
        <v>0</v>
      </c>
      <c r="P31" s="86">
        <f t="shared" si="7"/>
        <v>0</v>
      </c>
      <c r="Q31" s="86">
        <f t="shared" si="7"/>
        <v>0</v>
      </c>
      <c r="R31" s="86">
        <f t="shared" si="7"/>
        <v>0</v>
      </c>
      <c r="S31" s="14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5"/>
    </row>
    <row r="32" spans="1:38" s="44" customFormat="1" ht="15.75" customHeight="1" x14ac:dyDescent="0.25">
      <c r="A32" s="142"/>
      <c r="B32" s="143"/>
      <c r="C32" s="190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5"/>
    </row>
    <row r="33" spans="1:38" s="47" customFormat="1" ht="15.75" customHeight="1" x14ac:dyDescent="0.25">
      <c r="A33" s="138"/>
      <c r="B33" s="126" t="s">
        <v>98</v>
      </c>
      <c r="C33" s="195"/>
      <c r="D33" s="196">
        <v>19.25</v>
      </c>
      <c r="E33" s="196">
        <v>19.75</v>
      </c>
      <c r="F33" s="196">
        <v>83.75</v>
      </c>
      <c r="G33" s="196">
        <v>587.5</v>
      </c>
      <c r="H33" s="196">
        <v>0.3</v>
      </c>
      <c r="I33" s="196">
        <v>0.35</v>
      </c>
      <c r="J33" s="196">
        <v>15</v>
      </c>
      <c r="K33" s="196">
        <v>0.17499999999999999</v>
      </c>
      <c r="L33" s="196">
        <v>2.5</v>
      </c>
      <c r="M33" s="196">
        <v>275</v>
      </c>
      <c r="N33" s="196">
        <v>412.5</v>
      </c>
      <c r="O33" s="196">
        <v>62.5</v>
      </c>
      <c r="P33" s="196">
        <v>3</v>
      </c>
      <c r="Q33" s="196">
        <v>2.5</v>
      </c>
      <c r="R33" s="196">
        <v>2.5000000000000001E-2</v>
      </c>
      <c r="S33" s="149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80"/>
    </row>
    <row r="34" spans="1:38" ht="15.75" customHeight="1" x14ac:dyDescent="0.25">
      <c r="A34" s="138"/>
      <c r="B34" s="127" t="s">
        <v>178</v>
      </c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51"/>
    </row>
    <row r="35" spans="1:38" s="45" customFormat="1" ht="15.75" customHeight="1" x14ac:dyDescent="0.25">
      <c r="A35" s="115">
        <v>246</v>
      </c>
      <c r="B35" s="116" t="s">
        <v>271</v>
      </c>
      <c r="C35" s="197">
        <v>60</v>
      </c>
      <c r="D35" s="194">
        <v>0.42</v>
      </c>
      <c r="E35" s="194">
        <v>0.06</v>
      </c>
      <c r="F35" s="194">
        <v>1.1399999999999999</v>
      </c>
      <c r="G35" s="194">
        <f>D35*4+E35*9+F35*4</f>
        <v>6.7799999999999994</v>
      </c>
      <c r="H35" s="194">
        <v>2.4E-2</v>
      </c>
      <c r="I35" s="194">
        <v>1.2E-2</v>
      </c>
      <c r="J35" s="194">
        <v>2.94</v>
      </c>
      <c r="K35" s="194">
        <v>0</v>
      </c>
      <c r="L35" s="194">
        <v>0</v>
      </c>
      <c r="M35" s="194">
        <v>10.199999999999999</v>
      </c>
      <c r="N35" s="194">
        <v>18</v>
      </c>
      <c r="O35" s="194">
        <v>8.4</v>
      </c>
      <c r="P35" s="194">
        <v>0.3</v>
      </c>
      <c r="Q35" s="194">
        <v>0.12</v>
      </c>
      <c r="R35" s="201">
        <v>0</v>
      </c>
      <c r="S35" s="14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4"/>
    </row>
    <row r="36" spans="1:38" s="44" customFormat="1" ht="15.75" customHeight="1" x14ac:dyDescent="0.25">
      <c r="A36" s="251">
        <v>227</v>
      </c>
      <c r="B36" s="116" t="s">
        <v>272</v>
      </c>
      <c r="C36" s="197">
        <v>90</v>
      </c>
      <c r="D36" s="194">
        <v>12.27</v>
      </c>
      <c r="E36" s="194">
        <v>5.32</v>
      </c>
      <c r="F36" s="194">
        <v>0.56999999999999995</v>
      </c>
      <c r="G36" s="194">
        <f t="shared" ref="G36:G40" si="8">D36*4+E36*9+F36*4</f>
        <v>99.240000000000009</v>
      </c>
      <c r="H36" s="194">
        <v>0.04</v>
      </c>
      <c r="I36" s="194">
        <v>7.0000000000000007E-2</v>
      </c>
      <c r="J36" s="194">
        <v>1.2</v>
      </c>
      <c r="K36" s="194">
        <v>0.31</v>
      </c>
      <c r="L36" s="194">
        <v>1.45</v>
      </c>
      <c r="M36" s="194">
        <v>27.6</v>
      </c>
      <c r="N36" s="194">
        <v>116.5</v>
      </c>
      <c r="O36" s="194">
        <v>13.44</v>
      </c>
      <c r="P36" s="194">
        <v>0.378</v>
      </c>
      <c r="Q36" s="194">
        <v>0.26</v>
      </c>
      <c r="R36" s="201">
        <v>0.17</v>
      </c>
      <c r="S36" s="14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5"/>
    </row>
    <row r="37" spans="1:38" s="44" customFormat="1" ht="15.75" customHeight="1" x14ac:dyDescent="0.25">
      <c r="A37" s="251">
        <v>312</v>
      </c>
      <c r="B37" s="116" t="s">
        <v>75</v>
      </c>
      <c r="C37" s="197">
        <v>150</v>
      </c>
      <c r="D37" s="198">
        <v>3.07</v>
      </c>
      <c r="E37" s="198">
        <v>4.8</v>
      </c>
      <c r="F37" s="198">
        <v>20.440000000000001</v>
      </c>
      <c r="G37" s="194">
        <f t="shared" si="8"/>
        <v>137.24</v>
      </c>
      <c r="H37" s="198">
        <v>0.14000000000000001</v>
      </c>
      <c r="I37" s="198">
        <v>0.11</v>
      </c>
      <c r="J37" s="198">
        <v>18.16</v>
      </c>
      <c r="K37" s="198">
        <v>0</v>
      </c>
      <c r="L37" s="198">
        <v>0.09</v>
      </c>
      <c r="M37" s="198">
        <v>36.97</v>
      </c>
      <c r="N37" s="198">
        <v>86.59</v>
      </c>
      <c r="O37" s="198">
        <v>27.75</v>
      </c>
      <c r="P37" s="200">
        <v>1.01</v>
      </c>
      <c r="Q37" s="198">
        <v>0.45</v>
      </c>
      <c r="R37" s="201">
        <v>7.0000000000000001E-3</v>
      </c>
      <c r="S37" s="14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5"/>
    </row>
    <row r="38" spans="1:38" s="44" customFormat="1" ht="15.75" customHeight="1" x14ac:dyDescent="0.25">
      <c r="A38" s="251">
        <v>349</v>
      </c>
      <c r="B38" s="116" t="s">
        <v>92</v>
      </c>
      <c r="C38" s="197">
        <v>200</v>
      </c>
      <c r="D38" s="199">
        <v>0.66</v>
      </c>
      <c r="E38" s="199">
        <v>0.09</v>
      </c>
      <c r="F38" s="199">
        <v>32.01</v>
      </c>
      <c r="G38" s="194">
        <f t="shared" si="8"/>
        <v>131.48999999999998</v>
      </c>
      <c r="H38" s="199">
        <v>0.02</v>
      </c>
      <c r="I38" s="199">
        <v>0.02</v>
      </c>
      <c r="J38" s="199">
        <v>0.73</v>
      </c>
      <c r="K38" s="199">
        <v>0</v>
      </c>
      <c r="L38" s="199">
        <v>0</v>
      </c>
      <c r="M38" s="199">
        <v>32.479999999999997</v>
      </c>
      <c r="N38" s="199">
        <v>23.44</v>
      </c>
      <c r="O38" s="199">
        <v>17.46</v>
      </c>
      <c r="P38" s="202">
        <v>0.69</v>
      </c>
      <c r="Q38" s="199">
        <v>0</v>
      </c>
      <c r="R38" s="201">
        <v>0</v>
      </c>
      <c r="S38" s="14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5"/>
    </row>
    <row r="39" spans="1:38" s="44" customFormat="1" ht="15.75" customHeight="1" x14ac:dyDescent="0.25">
      <c r="A39" s="222" t="s">
        <v>215</v>
      </c>
      <c r="B39" s="119" t="s">
        <v>4</v>
      </c>
      <c r="C39" s="197">
        <v>30</v>
      </c>
      <c r="D39" s="194">
        <v>2.7</v>
      </c>
      <c r="E39" s="194">
        <v>0.34</v>
      </c>
      <c r="F39" s="194">
        <v>20.059999999999999</v>
      </c>
      <c r="G39" s="194">
        <f t="shared" si="8"/>
        <v>94.1</v>
      </c>
      <c r="H39" s="194">
        <v>0.04</v>
      </c>
      <c r="I39" s="194">
        <v>0.01</v>
      </c>
      <c r="J39" s="194">
        <v>0</v>
      </c>
      <c r="K39" s="194">
        <v>0</v>
      </c>
      <c r="L39" s="194">
        <v>0.44</v>
      </c>
      <c r="M39" s="194">
        <v>8</v>
      </c>
      <c r="N39" s="194">
        <v>26</v>
      </c>
      <c r="O39" s="194">
        <v>5.6</v>
      </c>
      <c r="P39" s="194">
        <v>0.44</v>
      </c>
      <c r="Q39" s="194">
        <v>0</v>
      </c>
      <c r="R39" s="201">
        <v>0</v>
      </c>
      <c r="S39" s="14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5"/>
    </row>
    <row r="40" spans="1:38" ht="15.75" customHeight="1" x14ac:dyDescent="0.25">
      <c r="A40" s="251" t="s">
        <v>159</v>
      </c>
      <c r="B40" s="116" t="s">
        <v>224</v>
      </c>
      <c r="C40" s="197">
        <v>20</v>
      </c>
      <c r="D40" s="198">
        <v>2.66</v>
      </c>
      <c r="E40" s="198">
        <v>0.48</v>
      </c>
      <c r="F40" s="198">
        <v>16.739999999999998</v>
      </c>
      <c r="G40" s="194">
        <f t="shared" si="8"/>
        <v>81.919999999999987</v>
      </c>
      <c r="H40" s="198">
        <v>0.22</v>
      </c>
      <c r="I40" s="198">
        <v>0.14000000000000001</v>
      </c>
      <c r="J40" s="198">
        <v>0.28000000000000003</v>
      </c>
      <c r="K40" s="198">
        <v>0</v>
      </c>
      <c r="L40" s="198">
        <v>0.22</v>
      </c>
      <c r="M40" s="198">
        <v>51.1</v>
      </c>
      <c r="N40" s="198">
        <v>87.5</v>
      </c>
      <c r="O40" s="198">
        <v>28</v>
      </c>
      <c r="P40" s="200">
        <v>1.96</v>
      </c>
      <c r="Q40" s="198">
        <v>0</v>
      </c>
      <c r="R40" s="201">
        <v>0.04</v>
      </c>
      <c r="S40" s="149"/>
    </row>
    <row r="41" spans="1:38" ht="15.75" customHeight="1" x14ac:dyDescent="0.25">
      <c r="A41" s="139"/>
      <c r="B41" s="140" t="s">
        <v>21</v>
      </c>
      <c r="C41" s="141">
        <f t="shared" ref="C41:R41" si="9">SUM(C34:C40)</f>
        <v>550</v>
      </c>
      <c r="D41" s="133">
        <f t="shared" si="9"/>
        <v>21.779999999999998</v>
      </c>
      <c r="E41" s="133">
        <f t="shared" si="9"/>
        <v>11.09</v>
      </c>
      <c r="F41" s="133">
        <f t="shared" si="9"/>
        <v>90.96</v>
      </c>
      <c r="G41" s="133">
        <f t="shared" si="9"/>
        <v>550.77</v>
      </c>
      <c r="H41" s="133">
        <f t="shared" si="9"/>
        <v>0.48399999999999999</v>
      </c>
      <c r="I41" s="133">
        <f t="shared" si="9"/>
        <v>0.36199999999999999</v>
      </c>
      <c r="J41" s="133">
        <f t="shared" si="9"/>
        <v>23.310000000000002</v>
      </c>
      <c r="K41" s="133">
        <f t="shared" si="9"/>
        <v>0.31</v>
      </c>
      <c r="L41" s="133">
        <f t="shared" si="9"/>
        <v>2.2000000000000002</v>
      </c>
      <c r="M41" s="133">
        <f t="shared" si="9"/>
        <v>166.35</v>
      </c>
      <c r="N41" s="133">
        <f t="shared" si="9"/>
        <v>358.03</v>
      </c>
      <c r="O41" s="133">
        <f t="shared" si="9"/>
        <v>100.65</v>
      </c>
      <c r="P41" s="133">
        <f t="shared" si="9"/>
        <v>4.7780000000000005</v>
      </c>
      <c r="Q41" s="133">
        <f t="shared" si="9"/>
        <v>0.83000000000000007</v>
      </c>
      <c r="R41" s="133">
        <f t="shared" si="9"/>
        <v>0.21700000000000003</v>
      </c>
      <c r="S41" s="149"/>
    </row>
    <row r="42" spans="1:38" ht="15.75" customHeight="1" x14ac:dyDescent="0.25">
      <c r="A42" s="139"/>
      <c r="B42" s="131" t="s">
        <v>181</v>
      </c>
      <c r="C42" s="189">
        <f>SUM(C30:R30+C41:R41)</f>
        <v>750</v>
      </c>
      <c r="D42" s="86">
        <f t="shared" ref="D42" si="10">SUM(D41)</f>
        <v>21.779999999999998</v>
      </c>
      <c r="E42" s="86">
        <f t="shared" ref="E42:R42" si="11">SUM(E41)</f>
        <v>11.09</v>
      </c>
      <c r="F42" s="86">
        <f t="shared" si="11"/>
        <v>90.96</v>
      </c>
      <c r="G42" s="86">
        <f t="shared" si="11"/>
        <v>550.77</v>
      </c>
      <c r="H42" s="227">
        <f t="shared" si="11"/>
        <v>0.48399999999999999</v>
      </c>
      <c r="I42" s="86">
        <f t="shared" si="11"/>
        <v>0.36199999999999999</v>
      </c>
      <c r="J42" s="86">
        <f t="shared" si="11"/>
        <v>23.310000000000002</v>
      </c>
      <c r="K42" s="86">
        <f t="shared" si="11"/>
        <v>0.31</v>
      </c>
      <c r="L42" s="86">
        <f t="shared" si="11"/>
        <v>2.2000000000000002</v>
      </c>
      <c r="M42" s="86">
        <f t="shared" si="11"/>
        <v>166.35</v>
      </c>
      <c r="N42" s="86">
        <f t="shared" si="11"/>
        <v>358.03</v>
      </c>
      <c r="O42" s="86">
        <f t="shared" si="11"/>
        <v>100.65</v>
      </c>
      <c r="P42" s="86">
        <f t="shared" si="11"/>
        <v>4.7780000000000005</v>
      </c>
      <c r="Q42" s="86">
        <f t="shared" si="11"/>
        <v>0.83000000000000007</v>
      </c>
      <c r="R42" s="86">
        <f t="shared" si="11"/>
        <v>0.21700000000000003</v>
      </c>
      <c r="S42" s="149"/>
    </row>
    <row r="43" spans="1:38" s="44" customFormat="1" ht="39" customHeight="1" x14ac:dyDescent="0.25">
      <c r="A43" s="230"/>
      <c r="B43" s="234"/>
      <c r="C43" s="233"/>
      <c r="D43" s="231"/>
      <c r="E43" s="231"/>
      <c r="F43" s="231"/>
      <c r="G43" s="231"/>
      <c r="H43" s="232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14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5"/>
    </row>
    <row r="44" spans="1:38" s="45" customFormat="1" ht="23.25" customHeight="1" x14ac:dyDescent="0.25">
      <c r="A44" s="218"/>
      <c r="B44" s="228" t="s">
        <v>189</v>
      </c>
      <c r="C44" s="303" t="s">
        <v>177</v>
      </c>
      <c r="D44" s="301" t="s">
        <v>148</v>
      </c>
      <c r="E44" s="301"/>
      <c r="F44" s="301"/>
      <c r="G44" s="304" t="s">
        <v>149</v>
      </c>
      <c r="H44" s="301" t="s">
        <v>150</v>
      </c>
      <c r="I44" s="301"/>
      <c r="J44" s="301"/>
      <c r="K44" s="301"/>
      <c r="L44" s="301"/>
      <c r="M44" s="296" t="s">
        <v>151</v>
      </c>
      <c r="N44" s="297"/>
      <c r="O44" s="297"/>
      <c r="P44" s="297"/>
      <c r="Q44" s="297"/>
      <c r="R44" s="298"/>
      <c r="S44" s="14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4"/>
    </row>
    <row r="45" spans="1:38" s="44" customFormat="1" ht="26.25" customHeight="1" x14ac:dyDescent="0.25">
      <c r="A45" s="294" t="s">
        <v>208</v>
      </c>
      <c r="B45" s="299"/>
      <c r="C45" s="287"/>
      <c r="D45" s="257" t="s">
        <v>0</v>
      </c>
      <c r="E45" s="257" t="s">
        <v>1</v>
      </c>
      <c r="F45" s="257" t="s">
        <v>2</v>
      </c>
      <c r="G45" s="293"/>
      <c r="H45" s="257" t="s">
        <v>41</v>
      </c>
      <c r="I45" s="257" t="s">
        <v>45</v>
      </c>
      <c r="J45" s="257" t="s">
        <v>42</v>
      </c>
      <c r="K45" s="257" t="s">
        <v>43</v>
      </c>
      <c r="L45" s="257" t="s">
        <v>44</v>
      </c>
      <c r="M45" s="257" t="s">
        <v>46</v>
      </c>
      <c r="N45" s="257" t="s">
        <v>47</v>
      </c>
      <c r="O45" s="257" t="s">
        <v>48</v>
      </c>
      <c r="P45" s="257" t="s">
        <v>49</v>
      </c>
      <c r="Q45" s="257" t="s">
        <v>100</v>
      </c>
      <c r="R45" s="257" t="s">
        <v>99</v>
      </c>
      <c r="S45" s="14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5"/>
    </row>
    <row r="46" spans="1:38" s="44" customFormat="1" ht="15.75" customHeight="1" x14ac:dyDescent="0.25">
      <c r="A46" s="125">
        <v>4</v>
      </c>
      <c r="B46" s="250" t="s">
        <v>192</v>
      </c>
      <c r="C46" s="249">
        <v>60</v>
      </c>
      <c r="D46" s="196">
        <v>0.96</v>
      </c>
      <c r="E46" s="196">
        <v>6.06</v>
      </c>
      <c r="F46" s="196">
        <v>5.76</v>
      </c>
      <c r="G46" s="196">
        <v>81.599999999999994</v>
      </c>
      <c r="H46" s="267">
        <v>2.4E-2</v>
      </c>
      <c r="I46" s="196">
        <v>0.03</v>
      </c>
      <c r="J46" s="196">
        <v>16.68</v>
      </c>
      <c r="K46" s="196">
        <v>0</v>
      </c>
      <c r="L46" s="196">
        <v>2.7</v>
      </c>
      <c r="M46" s="196">
        <v>26.4</v>
      </c>
      <c r="N46" s="196">
        <v>19.2</v>
      </c>
      <c r="O46" s="196">
        <v>10.199999999999999</v>
      </c>
      <c r="P46" s="248">
        <v>0.36</v>
      </c>
      <c r="Q46" s="196">
        <v>0</v>
      </c>
      <c r="R46" s="196">
        <v>0</v>
      </c>
      <c r="S46" s="14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5"/>
    </row>
    <row r="47" spans="1:38" s="44" customFormat="1" ht="15.75" customHeight="1" x14ac:dyDescent="0.25">
      <c r="A47" s="222">
        <v>296</v>
      </c>
      <c r="B47" s="187" t="s">
        <v>297</v>
      </c>
      <c r="C47" s="191">
        <v>100</v>
      </c>
      <c r="D47" s="194">
        <v>9.5</v>
      </c>
      <c r="E47" s="194">
        <v>12.64</v>
      </c>
      <c r="F47" s="194">
        <v>9.73</v>
      </c>
      <c r="G47" s="86">
        <f t="shared" ref="G47:G51" si="12">F47*4+E47*9+D47*4</f>
        <v>190.68</v>
      </c>
      <c r="H47" s="194">
        <v>7.0000000000000007E-2</v>
      </c>
      <c r="I47" s="194">
        <v>0.14000000000000001</v>
      </c>
      <c r="J47" s="194">
        <v>0.51</v>
      </c>
      <c r="K47" s="194">
        <v>0.81</v>
      </c>
      <c r="L47" s="194">
        <v>2.2999999999999998</v>
      </c>
      <c r="M47" s="194">
        <v>78.2</v>
      </c>
      <c r="N47" s="194">
        <v>78.52</v>
      </c>
      <c r="O47" s="194">
        <v>16.16</v>
      </c>
      <c r="P47" s="194">
        <v>28.97</v>
      </c>
      <c r="Q47" s="192">
        <v>2</v>
      </c>
      <c r="R47" s="192">
        <v>0.1</v>
      </c>
      <c r="S47" s="14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5"/>
    </row>
    <row r="48" spans="1:38" s="44" customFormat="1" ht="15.75" customHeight="1" x14ac:dyDescent="0.25">
      <c r="A48" s="224">
        <v>302</v>
      </c>
      <c r="B48" s="119" t="s">
        <v>298</v>
      </c>
      <c r="C48" s="191">
        <v>180</v>
      </c>
      <c r="D48" s="192">
        <v>6.97</v>
      </c>
      <c r="E48" s="192">
        <v>3.5994999999999995</v>
      </c>
      <c r="F48" s="192">
        <v>33.484999999999999</v>
      </c>
      <c r="G48" s="86">
        <f t="shared" si="12"/>
        <v>194.21549999999999</v>
      </c>
      <c r="H48" s="192">
        <v>0.20699999999999999</v>
      </c>
      <c r="I48" s="192">
        <v>0.11499999999999999</v>
      </c>
      <c r="J48" s="192">
        <v>0</v>
      </c>
      <c r="K48" s="192">
        <v>0.4</v>
      </c>
      <c r="L48" s="192">
        <v>0.50600000000000001</v>
      </c>
      <c r="M48" s="192">
        <v>27.0825</v>
      </c>
      <c r="N48" s="192">
        <v>213.43999999999997</v>
      </c>
      <c r="O48" s="192">
        <v>142.48499999999999</v>
      </c>
      <c r="P48" s="192">
        <v>4.83</v>
      </c>
      <c r="Q48" s="192">
        <v>1.1000000000000001</v>
      </c>
      <c r="R48" s="192">
        <v>0</v>
      </c>
      <c r="S48" s="14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5"/>
    </row>
    <row r="49" spans="1:38" ht="15.75" customHeight="1" x14ac:dyDescent="0.25">
      <c r="A49" s="222">
        <v>270</v>
      </c>
      <c r="B49" s="119" t="s">
        <v>38</v>
      </c>
      <c r="C49" s="191">
        <v>200</v>
      </c>
      <c r="D49" s="192">
        <v>2.9</v>
      </c>
      <c r="E49" s="192">
        <v>2.5</v>
      </c>
      <c r="F49" s="192">
        <v>14.7</v>
      </c>
      <c r="G49" s="86">
        <f t="shared" si="12"/>
        <v>92.899999999999991</v>
      </c>
      <c r="H49" s="192">
        <v>0.02</v>
      </c>
      <c r="I49" s="192">
        <v>0.13</v>
      </c>
      <c r="J49" s="192">
        <v>0.6</v>
      </c>
      <c r="K49" s="192">
        <v>0.1</v>
      </c>
      <c r="L49" s="192">
        <v>0.1</v>
      </c>
      <c r="M49" s="192">
        <v>120.3</v>
      </c>
      <c r="N49" s="192">
        <v>90</v>
      </c>
      <c r="O49" s="192">
        <v>14</v>
      </c>
      <c r="P49" s="192">
        <v>0.13</v>
      </c>
      <c r="Q49" s="192">
        <v>0.4</v>
      </c>
      <c r="R49" s="192">
        <v>0</v>
      </c>
      <c r="S49" s="149"/>
    </row>
    <row r="50" spans="1:38" s="44" customFormat="1" ht="15.75" customHeight="1" x14ac:dyDescent="0.25">
      <c r="A50" s="222" t="s">
        <v>158</v>
      </c>
      <c r="B50" s="119" t="s">
        <v>221</v>
      </c>
      <c r="C50" s="191">
        <v>60</v>
      </c>
      <c r="D50" s="86">
        <v>1.6875</v>
      </c>
      <c r="E50" s="86">
        <v>0.21499999999999997</v>
      </c>
      <c r="F50" s="86">
        <v>12.5375</v>
      </c>
      <c r="G50" s="86">
        <f t="shared" si="12"/>
        <v>58.835000000000001</v>
      </c>
      <c r="H50" s="86">
        <v>0.03</v>
      </c>
      <c r="I50" s="86">
        <v>6.2500000000000003E-3</v>
      </c>
      <c r="J50" s="86">
        <v>0</v>
      </c>
      <c r="K50" s="86">
        <v>0</v>
      </c>
      <c r="L50" s="86">
        <v>0.27500000000000002</v>
      </c>
      <c r="M50" s="86">
        <v>5</v>
      </c>
      <c r="N50" s="86">
        <v>16.25</v>
      </c>
      <c r="O50" s="86">
        <v>3.5</v>
      </c>
      <c r="P50" s="86">
        <v>0.27500000000000002</v>
      </c>
      <c r="Q50" s="86">
        <v>0.19</v>
      </c>
      <c r="R50" s="86">
        <v>0</v>
      </c>
      <c r="S50" s="14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5"/>
    </row>
    <row r="51" spans="1:38" s="45" customFormat="1" ht="15.75" customHeight="1" x14ac:dyDescent="0.25">
      <c r="A51" s="222" t="s">
        <v>159</v>
      </c>
      <c r="B51" s="116" t="s">
        <v>222</v>
      </c>
      <c r="C51" s="197">
        <v>40</v>
      </c>
      <c r="D51" s="192">
        <v>1.6625000000000001</v>
      </c>
      <c r="E51" s="192">
        <v>0.3</v>
      </c>
      <c r="F51" s="192">
        <v>10.462499999999999</v>
      </c>
      <c r="G51" s="86">
        <f t="shared" si="12"/>
        <v>51.199999999999996</v>
      </c>
      <c r="H51" s="192">
        <v>0.13124999999999998</v>
      </c>
      <c r="I51" s="192">
        <v>8.7499999999999981E-2</v>
      </c>
      <c r="J51" s="192">
        <v>0.17499999999999996</v>
      </c>
      <c r="K51" s="192">
        <v>0</v>
      </c>
      <c r="L51" s="192">
        <v>0.13124999999999998</v>
      </c>
      <c r="M51" s="192">
        <v>31.937499999999996</v>
      </c>
      <c r="N51" s="192">
        <v>54.6875</v>
      </c>
      <c r="O51" s="192">
        <v>17.5</v>
      </c>
      <c r="P51" s="192">
        <v>1.2249999999999999</v>
      </c>
      <c r="Q51" s="192">
        <v>0.3</v>
      </c>
      <c r="R51" s="192">
        <v>0.01</v>
      </c>
      <c r="S51" s="14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4"/>
    </row>
    <row r="52" spans="1:38" ht="15.75" customHeight="1" x14ac:dyDescent="0.25">
      <c r="A52" s="222"/>
      <c r="B52" s="119" t="s">
        <v>276</v>
      </c>
      <c r="C52" s="191">
        <v>20</v>
      </c>
      <c r="D52" s="192"/>
      <c r="E52" s="192"/>
      <c r="F52" s="192"/>
      <c r="G52" s="86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49"/>
    </row>
    <row r="53" spans="1:38" s="44" customFormat="1" ht="15.75" customHeight="1" x14ac:dyDescent="0.25">
      <c r="A53" s="122"/>
      <c r="B53" s="123" t="s">
        <v>21</v>
      </c>
      <c r="C53" s="188">
        <f>SUM(C46:C52)</f>
        <v>660</v>
      </c>
      <c r="D53" s="124">
        <f>SUM(D46:D52)</f>
        <v>23.68</v>
      </c>
      <c r="E53" s="124">
        <f t="shared" ref="E53:R53" si="13">SUM(E46:E52)</f>
        <v>25.314499999999999</v>
      </c>
      <c r="F53" s="124">
        <f t="shared" si="13"/>
        <v>86.674999999999983</v>
      </c>
      <c r="G53" s="124">
        <f t="shared" si="13"/>
        <v>669.43050000000005</v>
      </c>
      <c r="H53" s="124">
        <f t="shared" si="13"/>
        <v>0.48224999999999996</v>
      </c>
      <c r="I53" s="124">
        <f t="shared" si="13"/>
        <v>0.50875000000000004</v>
      </c>
      <c r="J53" s="124">
        <f t="shared" si="13"/>
        <v>17.965000000000003</v>
      </c>
      <c r="K53" s="124">
        <f t="shared" si="13"/>
        <v>1.31</v>
      </c>
      <c r="L53" s="124">
        <f t="shared" si="13"/>
        <v>6.0122499999999999</v>
      </c>
      <c r="M53" s="124">
        <f t="shared" si="13"/>
        <v>288.92</v>
      </c>
      <c r="N53" s="124">
        <f t="shared" si="13"/>
        <v>472.09749999999997</v>
      </c>
      <c r="O53" s="124">
        <f t="shared" si="13"/>
        <v>203.84499999999997</v>
      </c>
      <c r="P53" s="124">
        <f t="shared" si="13"/>
        <v>35.79</v>
      </c>
      <c r="Q53" s="124">
        <f t="shared" si="13"/>
        <v>3.9899999999999998</v>
      </c>
      <c r="R53" s="124">
        <f t="shared" si="13"/>
        <v>0.11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5"/>
    </row>
    <row r="54" spans="1:38" s="44" customFormat="1" ht="15.75" customHeight="1" x14ac:dyDescent="0.25">
      <c r="A54" s="138"/>
      <c r="B54" s="126" t="s">
        <v>98</v>
      </c>
      <c r="C54" s="195"/>
      <c r="D54" s="196">
        <v>19.25</v>
      </c>
      <c r="E54" s="196">
        <v>19.75</v>
      </c>
      <c r="F54" s="196">
        <v>83.75</v>
      </c>
      <c r="G54" s="196">
        <v>587.5</v>
      </c>
      <c r="H54" s="196">
        <v>0.3</v>
      </c>
      <c r="I54" s="196">
        <v>0.35</v>
      </c>
      <c r="J54" s="196">
        <v>15</v>
      </c>
      <c r="K54" s="196">
        <v>0.17499999999999999</v>
      </c>
      <c r="L54" s="196">
        <v>2.5</v>
      </c>
      <c r="M54" s="196">
        <v>275</v>
      </c>
      <c r="N54" s="196">
        <v>412.5</v>
      </c>
      <c r="O54" s="196">
        <v>62.5</v>
      </c>
      <c r="P54" s="196">
        <v>3</v>
      </c>
      <c r="Q54" s="196">
        <v>2.5</v>
      </c>
      <c r="R54" s="196">
        <v>2.5000000000000001E-2</v>
      </c>
      <c r="S54" s="14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5"/>
    </row>
    <row r="55" spans="1:38" s="44" customFormat="1" ht="15.75" customHeight="1" x14ac:dyDescent="0.25">
      <c r="A55" s="138"/>
      <c r="B55" s="127" t="s">
        <v>178</v>
      </c>
      <c r="C55" s="195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4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5"/>
    </row>
    <row r="56" spans="1:38" s="44" customFormat="1" ht="15.75" customHeight="1" x14ac:dyDescent="0.25">
      <c r="A56" s="252">
        <v>104</v>
      </c>
      <c r="B56" s="158" t="s">
        <v>240</v>
      </c>
      <c r="C56" s="212">
        <v>250</v>
      </c>
      <c r="D56" s="198">
        <f>2.19+3.99</f>
        <v>6.18</v>
      </c>
      <c r="E56" s="198">
        <f>2.78+2.74</f>
        <v>5.52</v>
      </c>
      <c r="F56" s="198">
        <f>15.39+0.15</f>
        <v>15.540000000000001</v>
      </c>
      <c r="G56" s="198">
        <f>D56*4+E56*9+F56*4</f>
        <v>136.56</v>
      </c>
      <c r="H56" s="198">
        <v>0.12</v>
      </c>
      <c r="I56" s="198">
        <v>7.0000000000000007E-2</v>
      </c>
      <c r="J56" s="198">
        <v>11.07</v>
      </c>
      <c r="K56" s="198">
        <v>0</v>
      </c>
      <c r="L56" s="198">
        <v>0.5</v>
      </c>
      <c r="M56" s="198">
        <v>29.7</v>
      </c>
      <c r="N56" s="198">
        <v>72.22</v>
      </c>
      <c r="O56" s="198">
        <v>29.6</v>
      </c>
      <c r="P56" s="200">
        <v>1.1499999999999999</v>
      </c>
      <c r="Q56" s="198">
        <v>1.25</v>
      </c>
      <c r="R56" s="201">
        <v>7.0000000000000007E-2</v>
      </c>
      <c r="S56" s="14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5"/>
    </row>
    <row r="57" spans="1:38" s="44" customFormat="1" ht="15.75" customHeight="1" x14ac:dyDescent="0.25">
      <c r="A57" s="127">
        <v>141</v>
      </c>
      <c r="B57" s="154" t="s">
        <v>174</v>
      </c>
      <c r="C57" s="189">
        <v>200</v>
      </c>
      <c r="D57" s="204">
        <v>20.87</v>
      </c>
      <c r="E57" s="204">
        <v>14.36</v>
      </c>
      <c r="F57" s="204">
        <v>32.35</v>
      </c>
      <c r="G57" s="198">
        <f t="shared" ref="G57:G61" si="14">D57*4+E57*9+F57*4</f>
        <v>342.12</v>
      </c>
      <c r="H57" s="204">
        <v>7.0000000000000007E-2</v>
      </c>
      <c r="I57" s="204">
        <v>0.31</v>
      </c>
      <c r="J57" s="204">
        <v>0.94</v>
      </c>
      <c r="K57" s="204">
        <v>0.88</v>
      </c>
      <c r="L57" s="199">
        <v>0.4</v>
      </c>
      <c r="M57" s="204">
        <v>184.9</v>
      </c>
      <c r="N57" s="204">
        <v>256.20999999999998</v>
      </c>
      <c r="O57" s="204">
        <v>29.3</v>
      </c>
      <c r="P57" s="204">
        <v>1.34</v>
      </c>
      <c r="Q57" s="204">
        <v>1.08</v>
      </c>
      <c r="R57" s="201">
        <v>0.06</v>
      </c>
      <c r="S57" s="14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5"/>
    </row>
    <row r="58" spans="1:38" s="44" customFormat="1" ht="15.75" customHeight="1" x14ac:dyDescent="0.25">
      <c r="A58" s="127" t="s">
        <v>227</v>
      </c>
      <c r="B58" s="116" t="s">
        <v>214</v>
      </c>
      <c r="C58" s="197">
        <v>30</v>
      </c>
      <c r="D58" s="198">
        <v>0.49</v>
      </c>
      <c r="E58" s="198">
        <v>1.75</v>
      </c>
      <c r="F58" s="198">
        <f>2.05+9.98</f>
        <v>12.030000000000001</v>
      </c>
      <c r="G58" s="194">
        <f t="shared" si="14"/>
        <v>65.830000000000013</v>
      </c>
      <c r="H58" s="198">
        <v>0.01</v>
      </c>
      <c r="I58" s="198">
        <v>0.01</v>
      </c>
      <c r="J58" s="198">
        <v>0.01</v>
      </c>
      <c r="K58" s="198">
        <v>0.01</v>
      </c>
      <c r="L58" s="199">
        <v>0</v>
      </c>
      <c r="M58" s="198">
        <f>9.55+0.3</f>
        <v>9.8500000000000014</v>
      </c>
      <c r="N58" s="198">
        <v>7.95</v>
      </c>
      <c r="O58" s="198">
        <v>1.84</v>
      </c>
      <c r="P58" s="200">
        <f>0.07+0.03</f>
        <v>0.1</v>
      </c>
      <c r="Q58" s="198">
        <v>0.08</v>
      </c>
      <c r="R58" s="205">
        <v>0.02</v>
      </c>
      <c r="S58" s="14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5"/>
    </row>
    <row r="59" spans="1:38" ht="15.75" customHeight="1" x14ac:dyDescent="0.25">
      <c r="A59" s="127"/>
      <c r="B59" s="153" t="s">
        <v>241</v>
      </c>
      <c r="C59" s="203">
        <v>200</v>
      </c>
      <c r="D59" s="204">
        <v>0.52</v>
      </c>
      <c r="E59" s="204">
        <v>0.18</v>
      </c>
      <c r="F59" s="204">
        <v>28.86</v>
      </c>
      <c r="G59" s="198">
        <f t="shared" si="14"/>
        <v>119.14</v>
      </c>
      <c r="H59" s="204">
        <v>1.4E-2</v>
      </c>
      <c r="I59" s="204">
        <v>1.7999999999999999E-2</v>
      </c>
      <c r="J59" s="204">
        <v>27.6</v>
      </c>
      <c r="K59" s="204">
        <v>0</v>
      </c>
      <c r="L59" s="204">
        <v>0</v>
      </c>
      <c r="M59" s="204">
        <v>23.7</v>
      </c>
      <c r="N59" s="204">
        <v>18.399999999999999</v>
      </c>
      <c r="O59" s="204">
        <v>13.4</v>
      </c>
      <c r="P59" s="204">
        <v>0.71199999999999997</v>
      </c>
      <c r="Q59" s="204">
        <v>0.01</v>
      </c>
      <c r="R59" s="201">
        <v>0</v>
      </c>
      <c r="S59" s="149"/>
    </row>
    <row r="60" spans="1:38" ht="15.75" customHeight="1" x14ac:dyDescent="0.25">
      <c r="A60" s="222" t="s">
        <v>215</v>
      </c>
      <c r="B60" s="119" t="s">
        <v>223</v>
      </c>
      <c r="C60" s="197">
        <v>60</v>
      </c>
      <c r="D60" s="213">
        <v>2.7</v>
      </c>
      <c r="E60" s="213">
        <v>0.34</v>
      </c>
      <c r="F60" s="213">
        <v>20.059999999999999</v>
      </c>
      <c r="G60" s="198">
        <f t="shared" si="14"/>
        <v>94.1</v>
      </c>
      <c r="H60" s="213">
        <v>0.04</v>
      </c>
      <c r="I60" s="213">
        <v>0.01</v>
      </c>
      <c r="J60" s="213">
        <v>0</v>
      </c>
      <c r="K60" s="213">
        <v>0</v>
      </c>
      <c r="L60" s="213">
        <v>0.44</v>
      </c>
      <c r="M60" s="213">
        <v>8</v>
      </c>
      <c r="N60" s="213">
        <v>26</v>
      </c>
      <c r="O60" s="213">
        <v>5.6</v>
      </c>
      <c r="P60" s="213">
        <v>0.44</v>
      </c>
      <c r="Q60" s="213">
        <v>0</v>
      </c>
      <c r="R60" s="201">
        <v>0</v>
      </c>
      <c r="S60" s="149"/>
    </row>
    <row r="61" spans="1:38" s="45" customFormat="1" ht="15.75" customHeight="1" x14ac:dyDescent="0.25">
      <c r="A61" s="251" t="s">
        <v>159</v>
      </c>
      <c r="B61" s="116" t="s">
        <v>224</v>
      </c>
      <c r="C61" s="197">
        <v>40</v>
      </c>
      <c r="D61" s="198">
        <v>2.66</v>
      </c>
      <c r="E61" s="198">
        <v>0.48</v>
      </c>
      <c r="F61" s="198">
        <v>16.739999999999998</v>
      </c>
      <c r="G61" s="198">
        <f t="shared" si="14"/>
        <v>81.919999999999987</v>
      </c>
      <c r="H61" s="198">
        <v>0.22</v>
      </c>
      <c r="I61" s="198">
        <v>0.14000000000000001</v>
      </c>
      <c r="J61" s="198">
        <v>0.28000000000000003</v>
      </c>
      <c r="K61" s="198">
        <v>0</v>
      </c>
      <c r="L61" s="198">
        <v>0.22</v>
      </c>
      <c r="M61" s="198">
        <v>51.1</v>
      </c>
      <c r="N61" s="198">
        <v>87.5</v>
      </c>
      <c r="O61" s="198">
        <v>28</v>
      </c>
      <c r="P61" s="200">
        <v>1.96</v>
      </c>
      <c r="Q61" s="198">
        <v>0</v>
      </c>
      <c r="R61" s="201">
        <v>0.04</v>
      </c>
      <c r="S61" s="14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4"/>
    </row>
    <row r="62" spans="1:38" ht="15.75" customHeight="1" x14ac:dyDescent="0.25">
      <c r="A62" s="251"/>
      <c r="B62" s="116"/>
      <c r="C62" s="19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201"/>
      <c r="S62" s="149"/>
    </row>
    <row r="63" spans="1:38" ht="15.75" customHeight="1" x14ac:dyDescent="0.25">
      <c r="A63" s="139"/>
      <c r="B63" s="140" t="s">
        <v>21</v>
      </c>
      <c r="C63" s="141">
        <f>SUM(C56:C62)+270</f>
        <v>1050</v>
      </c>
      <c r="D63" s="133">
        <f t="shared" ref="D63:R63" si="15">SUM(D56:D62)</f>
        <v>33.42</v>
      </c>
      <c r="E63" s="133">
        <f t="shared" si="15"/>
        <v>22.63</v>
      </c>
      <c r="F63" s="133">
        <f t="shared" si="15"/>
        <v>125.58</v>
      </c>
      <c r="G63" s="133">
        <f t="shared" si="15"/>
        <v>839.67</v>
      </c>
      <c r="H63" s="133">
        <f t="shared" si="15"/>
        <v>0.47399999999999998</v>
      </c>
      <c r="I63" s="133">
        <f t="shared" si="15"/>
        <v>0.55800000000000005</v>
      </c>
      <c r="J63" s="133">
        <f t="shared" si="15"/>
        <v>39.900000000000006</v>
      </c>
      <c r="K63" s="133">
        <f t="shared" si="15"/>
        <v>0.89</v>
      </c>
      <c r="L63" s="133">
        <f t="shared" si="15"/>
        <v>1.56</v>
      </c>
      <c r="M63" s="133">
        <f t="shared" si="15"/>
        <v>307.25</v>
      </c>
      <c r="N63" s="133">
        <f t="shared" si="15"/>
        <v>468.27999999999992</v>
      </c>
      <c r="O63" s="133">
        <f t="shared" si="15"/>
        <v>107.74000000000001</v>
      </c>
      <c r="P63" s="133">
        <f t="shared" si="15"/>
        <v>5.702</v>
      </c>
      <c r="Q63" s="133">
        <f t="shared" si="15"/>
        <v>2.42</v>
      </c>
      <c r="R63" s="133">
        <f t="shared" si="15"/>
        <v>0.19</v>
      </c>
      <c r="S63" s="149"/>
    </row>
    <row r="64" spans="1:38" s="44" customFormat="1" ht="15.75" customHeight="1" x14ac:dyDescent="0.25">
      <c r="A64" s="125"/>
      <c r="B64" s="131" t="s">
        <v>181</v>
      </c>
      <c r="C64" s="189">
        <f>SUM(C57:C63)</f>
        <v>1580</v>
      </c>
      <c r="D64" s="86">
        <f t="shared" ref="D64" si="16">SUM(D63)</f>
        <v>33.42</v>
      </c>
      <c r="E64" s="86">
        <f t="shared" ref="E64:R64" si="17">SUM(E63)</f>
        <v>22.63</v>
      </c>
      <c r="F64" s="86">
        <f t="shared" si="17"/>
        <v>125.58</v>
      </c>
      <c r="G64" s="86">
        <f t="shared" si="17"/>
        <v>839.67</v>
      </c>
      <c r="H64" s="86">
        <f t="shared" si="17"/>
        <v>0.47399999999999998</v>
      </c>
      <c r="I64" s="86">
        <f t="shared" si="17"/>
        <v>0.55800000000000005</v>
      </c>
      <c r="J64" s="86">
        <f t="shared" si="17"/>
        <v>39.900000000000006</v>
      </c>
      <c r="K64" s="86">
        <f t="shared" si="17"/>
        <v>0.89</v>
      </c>
      <c r="L64" s="86">
        <f t="shared" si="17"/>
        <v>1.56</v>
      </c>
      <c r="M64" s="86">
        <f t="shared" si="17"/>
        <v>307.25</v>
      </c>
      <c r="N64" s="86">
        <f t="shared" si="17"/>
        <v>468.27999999999992</v>
      </c>
      <c r="O64" s="86">
        <f t="shared" si="17"/>
        <v>107.74000000000001</v>
      </c>
      <c r="P64" s="86">
        <f t="shared" si="17"/>
        <v>5.702</v>
      </c>
      <c r="Q64" s="86">
        <f t="shared" si="17"/>
        <v>2.42</v>
      </c>
      <c r="R64" s="86">
        <f t="shared" si="17"/>
        <v>0.19</v>
      </c>
      <c r="S64" s="14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5"/>
    </row>
    <row r="65" spans="1:38" s="44" customFormat="1" ht="15.75" customHeight="1" x14ac:dyDescent="0.25">
      <c r="A65" s="284" t="s">
        <v>194</v>
      </c>
      <c r="B65" s="285"/>
      <c r="C65" s="208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14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5"/>
    </row>
    <row r="66" spans="1:38" s="44" customFormat="1" ht="15.75" customHeight="1" x14ac:dyDescent="0.25">
      <c r="A66" s="222">
        <f t="shared" ref="A66:G66" si="18">A46</f>
        <v>4</v>
      </c>
      <c r="B66" s="119" t="s">
        <v>233</v>
      </c>
      <c r="C66" s="191">
        <f t="shared" si="18"/>
        <v>60</v>
      </c>
      <c r="D66" s="192">
        <f t="shared" si="18"/>
        <v>0.96</v>
      </c>
      <c r="E66" s="192">
        <f t="shared" si="18"/>
        <v>6.06</v>
      </c>
      <c r="F66" s="192">
        <f t="shared" si="18"/>
        <v>5.76</v>
      </c>
      <c r="G66" s="192">
        <f t="shared" si="18"/>
        <v>81.599999999999994</v>
      </c>
      <c r="H66" s="192">
        <v>6.3840000000000008E-2</v>
      </c>
      <c r="I66" s="192">
        <v>3.1920000000000004E-2</v>
      </c>
      <c r="J66" s="192">
        <v>16.757999999999999</v>
      </c>
      <c r="K66" s="192">
        <v>0</v>
      </c>
      <c r="L66" s="192">
        <v>0.66500000000000004</v>
      </c>
      <c r="M66" s="192">
        <v>13.406400000000001</v>
      </c>
      <c r="N66" s="192">
        <v>24.897600000000001</v>
      </c>
      <c r="O66" s="192">
        <v>19.152000000000001</v>
      </c>
      <c r="P66" s="192">
        <v>0.86184000000000005</v>
      </c>
      <c r="Q66" s="211">
        <v>0.13600000000000001</v>
      </c>
      <c r="R66" s="211">
        <v>0</v>
      </c>
      <c r="S66" s="14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5"/>
    </row>
    <row r="67" spans="1:38" s="44" customFormat="1" ht="15.75" customHeight="1" x14ac:dyDescent="0.25">
      <c r="A67" s="222">
        <v>343</v>
      </c>
      <c r="B67" s="119" t="s">
        <v>288</v>
      </c>
      <c r="C67" s="191">
        <v>140</v>
      </c>
      <c r="D67" s="86">
        <f>6.4+1.33</f>
        <v>7.73</v>
      </c>
      <c r="E67" s="86">
        <f>4.08+4.61</f>
        <v>8.6900000000000013</v>
      </c>
      <c r="F67" s="86">
        <f>5.8+4.9</f>
        <v>10.7</v>
      </c>
      <c r="G67" s="192">
        <f t="shared" ref="G67:G71" si="19">F67*4+E67*9+D67*4</f>
        <v>151.93</v>
      </c>
      <c r="H67" s="86">
        <v>5.6000000000000001E-2</v>
      </c>
      <c r="I67" s="86">
        <v>0.08</v>
      </c>
      <c r="J67" s="86">
        <f>2.67+0.16</f>
        <v>2.83</v>
      </c>
      <c r="K67" s="86">
        <v>0.41</v>
      </c>
      <c r="L67" s="86">
        <v>0</v>
      </c>
      <c r="M67" s="86">
        <f>35.72+33.4</f>
        <v>69.12</v>
      </c>
      <c r="N67" s="86">
        <f>61.69+29.09</f>
        <v>90.78</v>
      </c>
      <c r="O67" s="86">
        <f>14.12+5.84</f>
        <v>19.96</v>
      </c>
      <c r="P67" s="86">
        <f>0.372+0.14</f>
        <v>0.51200000000000001</v>
      </c>
      <c r="Q67" s="192">
        <f>0.48+0.2</f>
        <v>0.67999999999999994</v>
      </c>
      <c r="R67" s="192">
        <v>0.1</v>
      </c>
      <c r="S67" s="14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5"/>
    </row>
    <row r="68" spans="1:38" s="44" customFormat="1" ht="15.75" customHeight="1" x14ac:dyDescent="0.25">
      <c r="A68" s="222">
        <v>312</v>
      </c>
      <c r="B68" s="119" t="s">
        <v>289</v>
      </c>
      <c r="C68" s="191">
        <v>180</v>
      </c>
      <c r="D68" s="192">
        <v>3.4577999999999998</v>
      </c>
      <c r="E68" s="192">
        <v>5.4239999999999995</v>
      </c>
      <c r="F68" s="192">
        <v>23.051999999999996</v>
      </c>
      <c r="G68" s="192">
        <f t="shared" si="19"/>
        <v>154.85519999999997</v>
      </c>
      <c r="H68" s="192">
        <v>0.15820000000000001</v>
      </c>
      <c r="I68" s="192">
        <v>0.12429999999999999</v>
      </c>
      <c r="J68" s="192">
        <v>20.452999999999999</v>
      </c>
      <c r="K68" s="192">
        <v>0</v>
      </c>
      <c r="L68" s="192">
        <v>0.20339999999999997</v>
      </c>
      <c r="M68" s="192">
        <v>41.696999999999996</v>
      </c>
      <c r="N68" s="192">
        <v>97.74499999999999</v>
      </c>
      <c r="O68" s="192">
        <v>31.357499999999998</v>
      </c>
      <c r="P68" s="192">
        <v>1.1413</v>
      </c>
      <c r="Q68" s="192">
        <v>0.64</v>
      </c>
      <c r="R68" s="192">
        <v>1E-3</v>
      </c>
      <c r="S68" s="14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5"/>
    </row>
    <row r="69" spans="1:38" s="44" customFormat="1" ht="15.75" customHeight="1" x14ac:dyDescent="0.25">
      <c r="A69" s="222">
        <v>377</v>
      </c>
      <c r="B69" s="119" t="s">
        <v>92</v>
      </c>
      <c r="C69" s="191">
        <v>200</v>
      </c>
      <c r="D69" s="194">
        <v>0.13</v>
      </c>
      <c r="E69" s="194">
        <v>1.8000000000000002E-2</v>
      </c>
      <c r="F69" s="194">
        <f>15.2-4.95</f>
        <v>10.25</v>
      </c>
      <c r="G69" s="192">
        <f t="shared" si="19"/>
        <v>41.682000000000002</v>
      </c>
      <c r="H69" s="194">
        <v>0</v>
      </c>
      <c r="I69" s="194">
        <v>0</v>
      </c>
      <c r="J69" s="194">
        <v>2.83</v>
      </c>
      <c r="K69" s="194">
        <v>0</v>
      </c>
      <c r="L69" s="194">
        <v>0.05</v>
      </c>
      <c r="M69" s="194">
        <v>14.05</v>
      </c>
      <c r="N69" s="194">
        <v>4.4000000000000004</v>
      </c>
      <c r="O69" s="194">
        <v>2.4</v>
      </c>
      <c r="P69" s="194">
        <v>0.38</v>
      </c>
      <c r="Q69" s="194">
        <v>0.02</v>
      </c>
      <c r="R69" s="192">
        <v>0</v>
      </c>
      <c r="S69" s="14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5"/>
    </row>
    <row r="70" spans="1:38" s="45" customFormat="1" ht="15.75" customHeight="1" x14ac:dyDescent="0.25">
      <c r="A70" s="222" t="s">
        <v>158</v>
      </c>
      <c r="B70" s="119" t="s">
        <v>221</v>
      </c>
      <c r="C70" s="191">
        <v>60</v>
      </c>
      <c r="D70" s="86">
        <v>1.6875</v>
      </c>
      <c r="E70" s="86">
        <v>0.21499999999999997</v>
      </c>
      <c r="F70" s="86">
        <v>12.5375</v>
      </c>
      <c r="G70" s="86">
        <f t="shared" si="19"/>
        <v>58.835000000000001</v>
      </c>
      <c r="H70" s="86">
        <v>0.03</v>
      </c>
      <c r="I70" s="86">
        <v>6.2500000000000003E-3</v>
      </c>
      <c r="J70" s="86">
        <v>0</v>
      </c>
      <c r="K70" s="86">
        <v>0</v>
      </c>
      <c r="L70" s="86">
        <v>0.27500000000000002</v>
      </c>
      <c r="M70" s="86">
        <v>5</v>
      </c>
      <c r="N70" s="86">
        <v>16.25</v>
      </c>
      <c r="O70" s="86">
        <v>3.5</v>
      </c>
      <c r="P70" s="86">
        <v>0.27500000000000002</v>
      </c>
      <c r="Q70" s="86">
        <v>0.19</v>
      </c>
      <c r="R70" s="86">
        <v>0</v>
      </c>
      <c r="S70" s="14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4"/>
    </row>
    <row r="71" spans="1:38" s="45" customFormat="1" ht="15.75" customHeight="1" x14ac:dyDescent="0.25">
      <c r="A71" s="222" t="s">
        <v>159</v>
      </c>
      <c r="B71" s="116" t="s">
        <v>222</v>
      </c>
      <c r="C71" s="197">
        <v>40</v>
      </c>
      <c r="D71" s="192">
        <v>1.6625000000000001</v>
      </c>
      <c r="E71" s="192">
        <v>0.3</v>
      </c>
      <c r="F71" s="192">
        <v>10.462499999999999</v>
      </c>
      <c r="G71" s="86">
        <f t="shared" si="19"/>
        <v>51.199999999999996</v>
      </c>
      <c r="H71" s="192">
        <v>0.13124999999999998</v>
      </c>
      <c r="I71" s="192">
        <v>8.7499999999999981E-2</v>
      </c>
      <c r="J71" s="192">
        <v>0.17499999999999996</v>
      </c>
      <c r="K71" s="192">
        <v>0</v>
      </c>
      <c r="L71" s="192">
        <v>0.13124999999999998</v>
      </c>
      <c r="M71" s="192">
        <v>31.937499999999996</v>
      </c>
      <c r="N71" s="192">
        <v>54.6875</v>
      </c>
      <c r="O71" s="192">
        <v>17.5</v>
      </c>
      <c r="P71" s="192">
        <v>1.2249999999999999</v>
      </c>
      <c r="Q71" s="192">
        <v>0.3</v>
      </c>
      <c r="R71" s="192">
        <v>0.01</v>
      </c>
      <c r="S71" s="14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4"/>
    </row>
    <row r="72" spans="1:38" ht="15.75" customHeight="1" x14ac:dyDescent="0.25">
      <c r="A72" s="222"/>
      <c r="B72" s="119" t="s">
        <v>277</v>
      </c>
      <c r="C72" s="191">
        <v>20</v>
      </c>
      <c r="D72" s="192"/>
      <c r="E72" s="192"/>
      <c r="F72" s="192"/>
      <c r="G72" s="86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49"/>
    </row>
    <row r="73" spans="1:38" s="44" customFormat="1" ht="15.75" customHeight="1" x14ac:dyDescent="0.25">
      <c r="A73" s="122"/>
      <c r="B73" s="123" t="s">
        <v>21</v>
      </c>
      <c r="C73" s="188">
        <f t="shared" ref="C73:R73" si="20">SUM(C66:C72)</f>
        <v>700</v>
      </c>
      <c r="D73" s="124">
        <f t="shared" si="20"/>
        <v>15.627800000000001</v>
      </c>
      <c r="E73" s="124">
        <f t="shared" si="20"/>
        <v>20.707000000000001</v>
      </c>
      <c r="F73" s="124">
        <f t="shared" si="20"/>
        <v>72.762</v>
      </c>
      <c r="G73" s="124">
        <f t="shared" si="20"/>
        <v>540.10219999999993</v>
      </c>
      <c r="H73" s="124">
        <f t="shared" si="20"/>
        <v>0.43928999999999996</v>
      </c>
      <c r="I73" s="124">
        <f t="shared" si="20"/>
        <v>0.32996999999999999</v>
      </c>
      <c r="J73" s="124">
        <f t="shared" si="20"/>
        <v>43.045999999999992</v>
      </c>
      <c r="K73" s="124">
        <f t="shared" si="20"/>
        <v>0.41</v>
      </c>
      <c r="L73" s="124">
        <f t="shared" si="20"/>
        <v>1.3246500000000001</v>
      </c>
      <c r="M73" s="124">
        <f t="shared" si="20"/>
        <v>175.21090000000001</v>
      </c>
      <c r="N73" s="124">
        <f t="shared" si="20"/>
        <v>288.76009999999997</v>
      </c>
      <c r="O73" s="124">
        <f t="shared" si="20"/>
        <v>93.869500000000002</v>
      </c>
      <c r="P73" s="124">
        <f t="shared" si="20"/>
        <v>4.3951399999999996</v>
      </c>
      <c r="Q73" s="124">
        <f t="shared" si="20"/>
        <v>1.966</v>
      </c>
      <c r="R73" s="124">
        <f t="shared" si="20"/>
        <v>0.111</v>
      </c>
      <c r="S73" s="14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5"/>
    </row>
    <row r="74" spans="1:38" s="44" customFormat="1" ht="15.75" customHeight="1" x14ac:dyDescent="0.25">
      <c r="A74" s="138"/>
      <c r="B74" s="126" t="s">
        <v>98</v>
      </c>
      <c r="C74" s="195"/>
      <c r="D74" s="196">
        <v>19.25</v>
      </c>
      <c r="E74" s="196">
        <v>19.75</v>
      </c>
      <c r="F74" s="196">
        <v>83.75</v>
      </c>
      <c r="G74" s="196">
        <v>587.5</v>
      </c>
      <c r="H74" s="196">
        <v>0.3</v>
      </c>
      <c r="I74" s="196">
        <v>0.35</v>
      </c>
      <c r="J74" s="196">
        <v>15</v>
      </c>
      <c r="K74" s="196">
        <v>0.17499999999999999</v>
      </c>
      <c r="L74" s="196">
        <v>2.5</v>
      </c>
      <c r="M74" s="196">
        <v>275</v>
      </c>
      <c r="N74" s="196">
        <v>412.5</v>
      </c>
      <c r="O74" s="196">
        <v>62.5</v>
      </c>
      <c r="P74" s="196">
        <v>3</v>
      </c>
      <c r="Q74" s="196">
        <v>2.5</v>
      </c>
      <c r="R74" s="196">
        <v>2.5000000000000001E-2</v>
      </c>
      <c r="S74" s="14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5"/>
    </row>
    <row r="75" spans="1:38" s="44" customFormat="1" ht="15.75" customHeight="1" x14ac:dyDescent="0.25">
      <c r="A75" s="138"/>
      <c r="B75" s="274" t="s">
        <v>178</v>
      </c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4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5"/>
    </row>
    <row r="76" spans="1:38" s="44" customFormat="1" ht="15.75" customHeight="1" x14ac:dyDescent="0.25">
      <c r="A76" s="222"/>
      <c r="B76" s="119" t="s">
        <v>217</v>
      </c>
      <c r="C76" s="191">
        <v>60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211"/>
      <c r="R76" s="211"/>
      <c r="S76" s="14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5"/>
    </row>
    <row r="77" spans="1:38" s="44" customFormat="1" ht="15.75" customHeight="1" x14ac:dyDescent="0.25">
      <c r="A77" s="251">
        <v>96</v>
      </c>
      <c r="B77" s="153" t="s">
        <v>183</v>
      </c>
      <c r="C77" s="203">
        <v>250</v>
      </c>
      <c r="D77" s="86">
        <v>2.02</v>
      </c>
      <c r="E77" s="86">
        <v>5.09</v>
      </c>
      <c r="F77" s="86">
        <v>11.98</v>
      </c>
      <c r="G77" s="86">
        <f>D77*4+E77*9+F77*4</f>
        <v>101.81</v>
      </c>
      <c r="H77" s="86">
        <v>0.09</v>
      </c>
      <c r="I77" s="86">
        <v>0.06</v>
      </c>
      <c r="J77" s="86">
        <v>8.3800000000000008</v>
      </c>
      <c r="K77" s="86">
        <v>0</v>
      </c>
      <c r="L77" s="86">
        <v>0.5</v>
      </c>
      <c r="M77" s="86">
        <v>29.15</v>
      </c>
      <c r="N77" s="86">
        <v>56.73</v>
      </c>
      <c r="O77" s="86">
        <v>24.18</v>
      </c>
      <c r="P77" s="145">
        <v>0.93</v>
      </c>
      <c r="Q77" s="86">
        <v>0.47</v>
      </c>
      <c r="R77" s="201">
        <v>0.05</v>
      </c>
      <c r="S77" s="14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5"/>
    </row>
    <row r="78" spans="1:38" s="44" customFormat="1" ht="15.75" customHeight="1" x14ac:dyDescent="0.25">
      <c r="A78" s="251"/>
      <c r="B78" s="116" t="s">
        <v>184</v>
      </c>
      <c r="C78" s="197">
        <v>100</v>
      </c>
      <c r="D78" s="204">
        <v>19.3</v>
      </c>
      <c r="E78" s="204">
        <v>16</v>
      </c>
      <c r="F78" s="204">
        <v>0.06</v>
      </c>
      <c r="G78" s="86">
        <f t="shared" ref="G78:G82" si="21">D78*4+E78*9+F78*4</f>
        <v>221.44</v>
      </c>
      <c r="H78" s="204">
        <v>0.06</v>
      </c>
      <c r="I78" s="204">
        <v>0.13</v>
      </c>
      <c r="J78" s="204">
        <v>2.08</v>
      </c>
      <c r="K78" s="204">
        <v>0.9</v>
      </c>
      <c r="L78" s="86">
        <v>0.3</v>
      </c>
      <c r="M78" s="204">
        <v>43.65</v>
      </c>
      <c r="N78" s="204">
        <v>149.58000000000001</v>
      </c>
      <c r="O78" s="204">
        <v>19.25</v>
      </c>
      <c r="P78" s="204">
        <v>1.71</v>
      </c>
      <c r="Q78" s="204">
        <v>0</v>
      </c>
      <c r="R78" s="201">
        <v>0</v>
      </c>
      <c r="S78" s="14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5"/>
    </row>
    <row r="79" spans="1:38" s="44" customFormat="1" ht="15.75" customHeight="1" x14ac:dyDescent="0.25">
      <c r="A79" s="127">
        <v>143</v>
      </c>
      <c r="B79" s="154" t="s">
        <v>71</v>
      </c>
      <c r="C79" s="189">
        <v>160</v>
      </c>
      <c r="D79" s="199">
        <v>2.19</v>
      </c>
      <c r="E79" s="199">
        <v>13.61</v>
      </c>
      <c r="F79" s="199">
        <v>10.65</v>
      </c>
      <c r="G79" s="86">
        <f t="shared" si="21"/>
        <v>173.85</v>
      </c>
      <c r="H79" s="199">
        <v>7.0000000000000007E-2</v>
      </c>
      <c r="I79" s="199">
        <v>7.0000000000000007E-2</v>
      </c>
      <c r="J79" s="199">
        <v>15.49</v>
      </c>
      <c r="K79" s="199">
        <v>0.56999999999999995</v>
      </c>
      <c r="L79" s="86">
        <v>0</v>
      </c>
      <c r="M79" s="199">
        <v>46</v>
      </c>
      <c r="N79" s="199">
        <v>55.71</v>
      </c>
      <c r="O79" s="199">
        <v>20.13</v>
      </c>
      <c r="P79" s="202">
        <v>0.74</v>
      </c>
      <c r="Q79" s="199">
        <v>0.35</v>
      </c>
      <c r="R79" s="201">
        <v>0.02</v>
      </c>
      <c r="S79" s="14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5"/>
    </row>
    <row r="80" spans="1:38" s="44" customFormat="1" ht="15.75" customHeight="1" x14ac:dyDescent="0.25">
      <c r="A80" s="251">
        <v>397</v>
      </c>
      <c r="B80" s="116" t="s">
        <v>266</v>
      </c>
      <c r="C80" s="197">
        <v>200</v>
      </c>
      <c r="D80" s="199">
        <v>0.12</v>
      </c>
      <c r="E80" s="199">
        <v>0.1</v>
      </c>
      <c r="F80" s="199">
        <v>27.5</v>
      </c>
      <c r="G80" s="86">
        <f t="shared" si="21"/>
        <v>111.38</v>
      </c>
      <c r="H80" s="199">
        <v>0.01</v>
      </c>
      <c r="I80" s="199" t="s">
        <v>185</v>
      </c>
      <c r="J80" s="199">
        <v>2.0699999999999998</v>
      </c>
      <c r="K80" s="199">
        <v>0</v>
      </c>
      <c r="L80" s="199">
        <v>0</v>
      </c>
      <c r="M80" s="199">
        <v>16.2</v>
      </c>
      <c r="N80" s="199">
        <v>7.2</v>
      </c>
      <c r="O80" s="199">
        <v>7.51</v>
      </c>
      <c r="P80" s="202">
        <v>0.89</v>
      </c>
      <c r="Q80" s="199">
        <v>7.0000000000000007E-2</v>
      </c>
      <c r="R80" s="201">
        <v>0.01</v>
      </c>
      <c r="S80" s="14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5"/>
    </row>
    <row r="81" spans="1:38" ht="15.75" customHeight="1" x14ac:dyDescent="0.25">
      <c r="A81" s="222" t="s">
        <v>215</v>
      </c>
      <c r="B81" s="119" t="s">
        <v>223</v>
      </c>
      <c r="C81" s="197">
        <v>60</v>
      </c>
      <c r="D81" s="213">
        <v>2.7</v>
      </c>
      <c r="E81" s="213">
        <v>0.34</v>
      </c>
      <c r="F81" s="213">
        <v>20.059999999999999</v>
      </c>
      <c r="G81" s="86">
        <f t="shared" si="21"/>
        <v>94.1</v>
      </c>
      <c r="H81" s="213">
        <v>0.04</v>
      </c>
      <c r="I81" s="213">
        <v>0.01</v>
      </c>
      <c r="J81" s="213">
        <v>0</v>
      </c>
      <c r="K81" s="213">
        <v>0</v>
      </c>
      <c r="L81" s="213">
        <v>0.44</v>
      </c>
      <c r="M81" s="213">
        <v>8</v>
      </c>
      <c r="N81" s="213">
        <v>26</v>
      </c>
      <c r="O81" s="213">
        <v>5.6</v>
      </c>
      <c r="P81" s="213">
        <v>0.44</v>
      </c>
      <c r="Q81" s="213">
        <v>0</v>
      </c>
      <c r="R81" s="201">
        <v>0</v>
      </c>
      <c r="S81" s="149"/>
    </row>
    <row r="82" spans="1:38" s="45" customFormat="1" ht="15.75" customHeight="1" x14ac:dyDescent="0.25">
      <c r="A82" s="251" t="s">
        <v>159</v>
      </c>
      <c r="B82" s="116" t="s">
        <v>224</v>
      </c>
      <c r="C82" s="197">
        <v>40</v>
      </c>
      <c r="D82" s="199">
        <v>1.33</v>
      </c>
      <c r="E82" s="199">
        <v>0.24</v>
      </c>
      <c r="F82" s="199">
        <v>8.3699999999999992</v>
      </c>
      <c r="G82" s="86">
        <f t="shared" si="21"/>
        <v>40.959999999999994</v>
      </c>
      <c r="H82" s="199">
        <v>0.11</v>
      </c>
      <c r="I82" s="199">
        <v>7.0000000000000007E-2</v>
      </c>
      <c r="J82" s="199">
        <v>0.14000000000000001</v>
      </c>
      <c r="K82" s="199">
        <v>0</v>
      </c>
      <c r="L82" s="199">
        <v>0.11</v>
      </c>
      <c r="M82" s="199">
        <v>25.55</v>
      </c>
      <c r="N82" s="199">
        <v>43.75</v>
      </c>
      <c r="O82" s="199">
        <v>14</v>
      </c>
      <c r="P82" s="202">
        <v>0.98</v>
      </c>
      <c r="Q82" s="199">
        <v>0</v>
      </c>
      <c r="R82" s="201">
        <v>0.2</v>
      </c>
      <c r="S82" s="14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4"/>
    </row>
    <row r="83" spans="1:38" s="44" customFormat="1" ht="15.75" customHeight="1" x14ac:dyDescent="0.25">
      <c r="A83" s="256"/>
      <c r="B83" s="140" t="s">
        <v>21</v>
      </c>
      <c r="C83" s="141">
        <f t="shared" ref="C83:R83" si="22">SUM(C77:C82)</f>
        <v>810</v>
      </c>
      <c r="D83" s="141">
        <f t="shared" si="22"/>
        <v>27.660000000000004</v>
      </c>
      <c r="E83" s="141">
        <f t="shared" si="22"/>
        <v>35.38000000000001</v>
      </c>
      <c r="F83" s="141">
        <f t="shared" si="22"/>
        <v>78.62</v>
      </c>
      <c r="G83" s="141">
        <f t="shared" si="22"/>
        <v>743.54000000000008</v>
      </c>
      <c r="H83" s="141">
        <f t="shared" si="22"/>
        <v>0.38</v>
      </c>
      <c r="I83" s="141">
        <f t="shared" si="22"/>
        <v>0.34</v>
      </c>
      <c r="J83" s="141">
        <f t="shared" si="22"/>
        <v>28.160000000000004</v>
      </c>
      <c r="K83" s="141">
        <f t="shared" si="22"/>
        <v>1.47</v>
      </c>
      <c r="L83" s="141">
        <f t="shared" si="22"/>
        <v>1.35</v>
      </c>
      <c r="M83" s="141">
        <f t="shared" si="22"/>
        <v>168.55</v>
      </c>
      <c r="N83" s="141">
        <f t="shared" si="22"/>
        <v>338.96999999999997</v>
      </c>
      <c r="O83" s="141">
        <f t="shared" si="22"/>
        <v>90.67</v>
      </c>
      <c r="P83" s="141">
        <f t="shared" si="22"/>
        <v>5.6899999999999995</v>
      </c>
      <c r="Q83" s="141">
        <f t="shared" si="22"/>
        <v>0.8899999999999999</v>
      </c>
      <c r="R83" s="141">
        <f t="shared" si="22"/>
        <v>0.28000000000000003</v>
      </c>
      <c r="S83" s="14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5"/>
    </row>
    <row r="84" spans="1:38" s="44" customFormat="1" ht="15.75" customHeight="1" x14ac:dyDescent="0.25">
      <c r="A84" s="256"/>
      <c r="B84" s="131" t="s">
        <v>181</v>
      </c>
      <c r="C84" s="189">
        <f>SUM(C73:R73+C83:R83)</f>
        <v>1510</v>
      </c>
      <c r="D84" s="86">
        <f t="shared" ref="D84" si="23">SUM(D83)</f>
        <v>27.660000000000004</v>
      </c>
      <c r="E84" s="86">
        <f t="shared" ref="E84:R84" si="24">SUM(E83)</f>
        <v>35.38000000000001</v>
      </c>
      <c r="F84" s="86">
        <f t="shared" si="24"/>
        <v>78.62</v>
      </c>
      <c r="G84" s="86">
        <f t="shared" si="24"/>
        <v>743.54000000000008</v>
      </c>
      <c r="H84" s="86">
        <f t="shared" si="24"/>
        <v>0.38</v>
      </c>
      <c r="I84" s="86">
        <f t="shared" si="24"/>
        <v>0.34</v>
      </c>
      <c r="J84" s="86">
        <f t="shared" si="24"/>
        <v>28.160000000000004</v>
      </c>
      <c r="K84" s="86">
        <f t="shared" si="24"/>
        <v>1.47</v>
      </c>
      <c r="L84" s="86">
        <f t="shared" si="24"/>
        <v>1.35</v>
      </c>
      <c r="M84" s="86">
        <f t="shared" si="24"/>
        <v>168.55</v>
      </c>
      <c r="N84" s="86">
        <f t="shared" si="24"/>
        <v>338.96999999999997</v>
      </c>
      <c r="O84" s="86">
        <f t="shared" si="24"/>
        <v>90.67</v>
      </c>
      <c r="P84" s="86">
        <f t="shared" si="24"/>
        <v>5.6899999999999995</v>
      </c>
      <c r="Q84" s="86">
        <f t="shared" si="24"/>
        <v>0.8899999999999999</v>
      </c>
      <c r="R84" s="86">
        <f t="shared" si="24"/>
        <v>0.28000000000000003</v>
      </c>
      <c r="S84" s="14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5"/>
    </row>
    <row r="85" spans="1:38" s="44" customFormat="1" ht="24.75" customHeight="1" x14ac:dyDescent="0.25">
      <c r="A85" s="226"/>
      <c r="B85" s="240"/>
      <c r="C85" s="237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14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5"/>
    </row>
    <row r="86" spans="1:38" s="44" customFormat="1" ht="15.75" hidden="1" customHeight="1" x14ac:dyDescent="0.25">
      <c r="A86" s="239"/>
      <c r="B86" s="169" t="s">
        <v>189</v>
      </c>
      <c r="C86" s="286" t="s">
        <v>177</v>
      </c>
      <c r="D86" s="291" t="s">
        <v>148</v>
      </c>
      <c r="E86" s="291"/>
      <c r="F86" s="291"/>
      <c r="G86" s="292" t="s">
        <v>149</v>
      </c>
      <c r="H86" s="291" t="s">
        <v>150</v>
      </c>
      <c r="I86" s="291"/>
      <c r="J86" s="291"/>
      <c r="K86" s="291"/>
      <c r="L86" s="291"/>
      <c r="M86" s="288" t="s">
        <v>151</v>
      </c>
      <c r="N86" s="289"/>
      <c r="O86" s="289"/>
      <c r="P86" s="289"/>
      <c r="Q86" s="289"/>
      <c r="R86" s="290"/>
      <c r="S86" s="14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5"/>
    </row>
    <row r="87" spans="1:38" s="44" customFormat="1" ht="49.5" customHeight="1" x14ac:dyDescent="0.25">
      <c r="A87" s="294" t="s">
        <v>219</v>
      </c>
      <c r="B87" s="295"/>
      <c r="C87" s="287"/>
      <c r="D87" s="257" t="s">
        <v>0</v>
      </c>
      <c r="E87" s="257" t="s">
        <v>1</v>
      </c>
      <c r="F87" s="257" t="s">
        <v>2</v>
      </c>
      <c r="G87" s="293"/>
      <c r="H87" s="257" t="s">
        <v>41</v>
      </c>
      <c r="I87" s="257" t="s">
        <v>45</v>
      </c>
      <c r="J87" s="257" t="s">
        <v>42</v>
      </c>
      <c r="K87" s="257" t="s">
        <v>43</v>
      </c>
      <c r="L87" s="257" t="s">
        <v>44</v>
      </c>
      <c r="M87" s="257" t="s">
        <v>46</v>
      </c>
      <c r="N87" s="257" t="s">
        <v>47</v>
      </c>
      <c r="O87" s="257" t="s">
        <v>48</v>
      </c>
      <c r="P87" s="257" t="s">
        <v>49</v>
      </c>
      <c r="Q87" s="257" t="s">
        <v>100</v>
      </c>
      <c r="R87" s="257" t="s">
        <v>99</v>
      </c>
      <c r="S87" s="14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5"/>
    </row>
    <row r="88" spans="1:38" ht="15.75" customHeight="1" thickBot="1" x14ac:dyDescent="0.3">
      <c r="A88" s="235">
        <v>97</v>
      </c>
      <c r="B88" s="236" t="s">
        <v>290</v>
      </c>
      <c r="C88" s="210">
        <v>60</v>
      </c>
      <c r="D88" s="192">
        <v>0.48719999999999997</v>
      </c>
      <c r="E88" s="192">
        <v>6.9599999999999995E-2</v>
      </c>
      <c r="F88" s="192">
        <v>1.3223999999999998</v>
      </c>
      <c r="G88" s="192">
        <f>F88*4+E88*9+D88*4</f>
        <v>7.8647999999999989</v>
      </c>
      <c r="H88" s="192">
        <v>2.3199999999999998E-2</v>
      </c>
      <c r="I88" s="192">
        <v>1.1599999999999999E-2</v>
      </c>
      <c r="J88" s="192">
        <v>3.4103999999999997</v>
      </c>
      <c r="K88" s="192">
        <v>0</v>
      </c>
      <c r="L88" s="192">
        <v>6.9599999999999995E-2</v>
      </c>
      <c r="M88" s="192">
        <v>11.831999999999999</v>
      </c>
      <c r="N88" s="192">
        <v>20.88</v>
      </c>
      <c r="O88" s="192">
        <v>9.7439999999999998</v>
      </c>
      <c r="P88" s="192">
        <v>0.34799999999999998</v>
      </c>
      <c r="Q88" s="192">
        <v>0.11</v>
      </c>
      <c r="R88" s="192">
        <v>0</v>
      </c>
      <c r="S88" s="149"/>
    </row>
    <row r="89" spans="1:38" ht="15.75" customHeight="1" x14ac:dyDescent="0.25">
      <c r="A89" s="134">
        <v>212</v>
      </c>
      <c r="B89" s="135" t="s">
        <v>291</v>
      </c>
      <c r="C89" s="191">
        <v>160</v>
      </c>
      <c r="D89" s="192">
        <v>15.771800000000001</v>
      </c>
      <c r="E89" s="192">
        <v>30.409400000000005</v>
      </c>
      <c r="F89" s="192">
        <v>2.7178</v>
      </c>
      <c r="G89" s="192">
        <f t="shared" ref="G89:G91" si="25">F89*4+E89*9+D89*4</f>
        <v>347.64300000000003</v>
      </c>
      <c r="H89" s="192">
        <v>0.14980000000000002</v>
      </c>
      <c r="I89" s="192">
        <v>0.47080000000000005</v>
      </c>
      <c r="J89" s="192">
        <v>0.21400000000000002</v>
      </c>
      <c r="K89" s="192">
        <v>2.88</v>
      </c>
      <c r="L89" s="192">
        <v>7.8</v>
      </c>
      <c r="M89" s="192">
        <v>95.444000000000003</v>
      </c>
      <c r="N89" s="192">
        <v>245.244</v>
      </c>
      <c r="O89" s="192">
        <v>20.0518</v>
      </c>
      <c r="P89" s="192">
        <v>2.7820000000000005</v>
      </c>
      <c r="Q89" s="192">
        <v>1.72</v>
      </c>
      <c r="R89" s="192">
        <v>0.01</v>
      </c>
      <c r="S89" s="149"/>
    </row>
    <row r="90" spans="1:38" ht="15.75" customHeight="1" x14ac:dyDescent="0.25">
      <c r="A90" s="134"/>
      <c r="B90" s="135" t="s">
        <v>292</v>
      </c>
      <c r="C90" s="191">
        <v>200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49"/>
    </row>
    <row r="91" spans="1:38" ht="15.75" customHeight="1" x14ac:dyDescent="0.25">
      <c r="A91" s="222" t="s">
        <v>158</v>
      </c>
      <c r="B91" s="119" t="s">
        <v>221</v>
      </c>
      <c r="C91" s="191">
        <v>30</v>
      </c>
      <c r="D91" s="192">
        <f>1.35*2</f>
        <v>2.7</v>
      </c>
      <c r="E91" s="192">
        <f>0.172*2</f>
        <v>0.34399999999999997</v>
      </c>
      <c r="F91" s="192">
        <f>10.03*2</f>
        <v>20.059999999999999</v>
      </c>
      <c r="G91" s="192">
        <f t="shared" si="25"/>
        <v>94.135999999999996</v>
      </c>
      <c r="H91" s="192">
        <v>2.4E-2</v>
      </c>
      <c r="I91" s="192">
        <v>5.0000000000000001E-3</v>
      </c>
      <c r="J91" s="192">
        <v>0</v>
      </c>
      <c r="K91" s="192">
        <v>0</v>
      </c>
      <c r="L91" s="192">
        <v>0.42</v>
      </c>
      <c r="M91" s="192">
        <v>8</v>
      </c>
      <c r="N91" s="192">
        <v>26</v>
      </c>
      <c r="O91" s="192">
        <v>5.6</v>
      </c>
      <c r="P91" s="192">
        <v>0.4</v>
      </c>
      <c r="Q91" s="192">
        <v>0.3</v>
      </c>
      <c r="R91" s="192">
        <v>0</v>
      </c>
      <c r="S91" s="149"/>
    </row>
    <row r="92" spans="1:38" ht="15.75" customHeight="1" x14ac:dyDescent="0.25">
      <c r="A92" s="222" t="str">
        <f t="shared" ref="A92:R92" si="26">A104</f>
        <v>109 пром</v>
      </c>
      <c r="B92" s="119" t="str">
        <f t="shared" si="26"/>
        <v>Хлеб ржаной (норма 30-35%) от сут. норм</v>
      </c>
      <c r="C92" s="191">
        <f t="shared" si="26"/>
        <v>40</v>
      </c>
      <c r="D92" s="192">
        <f t="shared" si="26"/>
        <v>2.66</v>
      </c>
      <c r="E92" s="192">
        <f t="shared" si="26"/>
        <v>0.48</v>
      </c>
      <c r="F92" s="192">
        <f t="shared" si="26"/>
        <v>16.739999999999998</v>
      </c>
      <c r="G92" s="192">
        <f t="shared" si="26"/>
        <v>81.919999999999987</v>
      </c>
      <c r="H92" s="192">
        <f t="shared" si="26"/>
        <v>0.22</v>
      </c>
      <c r="I92" s="192">
        <f t="shared" si="26"/>
        <v>0.14000000000000001</v>
      </c>
      <c r="J92" s="192">
        <f t="shared" si="26"/>
        <v>0.28000000000000003</v>
      </c>
      <c r="K92" s="192">
        <f t="shared" si="26"/>
        <v>0</v>
      </c>
      <c r="L92" s="192">
        <f t="shared" si="26"/>
        <v>0.22</v>
      </c>
      <c r="M92" s="192">
        <f t="shared" si="26"/>
        <v>51.1</v>
      </c>
      <c r="N92" s="192">
        <f t="shared" si="26"/>
        <v>87.5</v>
      </c>
      <c r="O92" s="192">
        <f t="shared" si="26"/>
        <v>28</v>
      </c>
      <c r="P92" s="192">
        <f t="shared" si="26"/>
        <v>1.96</v>
      </c>
      <c r="Q92" s="192">
        <f t="shared" si="26"/>
        <v>0</v>
      </c>
      <c r="R92" s="192">
        <f t="shared" si="26"/>
        <v>0.04</v>
      </c>
      <c r="S92" s="149"/>
    </row>
    <row r="93" spans="1:38" s="44" customFormat="1" ht="15.75" customHeight="1" x14ac:dyDescent="0.25">
      <c r="A93" s="118">
        <v>368</v>
      </c>
      <c r="B93" s="119" t="s">
        <v>156</v>
      </c>
      <c r="C93" s="197">
        <v>120</v>
      </c>
      <c r="D93" s="194">
        <v>1.08</v>
      </c>
      <c r="E93" s="194">
        <v>0.12</v>
      </c>
      <c r="F93" s="194">
        <v>10.8</v>
      </c>
      <c r="G93" s="199">
        <f>D93*4+E93*9+F93*4</f>
        <v>48.6</v>
      </c>
      <c r="H93" s="194">
        <v>0.03</v>
      </c>
      <c r="I93" s="194">
        <v>0.06</v>
      </c>
      <c r="J93" s="194">
        <v>12</v>
      </c>
      <c r="K93" s="194">
        <v>0</v>
      </c>
      <c r="L93" s="194">
        <v>1.32</v>
      </c>
      <c r="M93" s="194">
        <v>33.6</v>
      </c>
      <c r="N93" s="194">
        <v>31.2</v>
      </c>
      <c r="O93" s="194">
        <v>9.6</v>
      </c>
      <c r="P93" s="194">
        <v>0.84</v>
      </c>
      <c r="Q93" s="194">
        <v>0.09</v>
      </c>
      <c r="R93" s="201">
        <v>0</v>
      </c>
      <c r="S93" s="14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5"/>
    </row>
    <row r="94" spans="1:38" s="44" customFormat="1" ht="15.75" customHeight="1" x14ac:dyDescent="0.25">
      <c r="A94" s="118"/>
      <c r="B94" s="120"/>
      <c r="C94" s="197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4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5"/>
    </row>
    <row r="95" spans="1:38" s="44" customFormat="1" ht="15.75" customHeight="1" x14ac:dyDescent="0.25">
      <c r="A95" s="122"/>
      <c r="B95" s="123" t="s">
        <v>21</v>
      </c>
      <c r="C95" s="188">
        <f t="shared" ref="C95:R95" si="27">SUM(C88:C93)</f>
        <v>610</v>
      </c>
      <c r="D95" s="124">
        <f t="shared" si="27"/>
        <v>22.698999999999998</v>
      </c>
      <c r="E95" s="124">
        <f t="shared" si="27"/>
        <v>31.423000000000009</v>
      </c>
      <c r="F95" s="124">
        <f t="shared" si="27"/>
        <v>51.640199999999993</v>
      </c>
      <c r="G95" s="124">
        <f t="shared" si="27"/>
        <v>580.16380000000004</v>
      </c>
      <c r="H95" s="124">
        <f t="shared" si="27"/>
        <v>0.44700000000000006</v>
      </c>
      <c r="I95" s="124">
        <f t="shared" si="27"/>
        <v>0.68740000000000001</v>
      </c>
      <c r="J95" s="124">
        <f t="shared" si="27"/>
        <v>15.904399999999999</v>
      </c>
      <c r="K95" s="124">
        <f t="shared" si="27"/>
        <v>2.88</v>
      </c>
      <c r="L95" s="124">
        <f t="shared" si="27"/>
        <v>9.829600000000001</v>
      </c>
      <c r="M95" s="124">
        <f t="shared" si="27"/>
        <v>199.976</v>
      </c>
      <c r="N95" s="124">
        <f t="shared" si="27"/>
        <v>410.82400000000001</v>
      </c>
      <c r="O95" s="124">
        <f t="shared" si="27"/>
        <v>72.995800000000003</v>
      </c>
      <c r="P95" s="124">
        <f t="shared" si="27"/>
        <v>6.33</v>
      </c>
      <c r="Q95" s="124">
        <f t="shared" si="27"/>
        <v>2.2199999999999998</v>
      </c>
      <c r="R95" s="124">
        <f t="shared" si="27"/>
        <v>0.05</v>
      </c>
      <c r="S95" s="14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5"/>
    </row>
    <row r="96" spans="1:38" s="44" customFormat="1" ht="15.75" customHeight="1" x14ac:dyDescent="0.25">
      <c r="A96" s="136"/>
      <c r="B96" s="126" t="s">
        <v>98</v>
      </c>
      <c r="C96" s="195"/>
      <c r="D96" s="196">
        <v>19.25</v>
      </c>
      <c r="E96" s="196">
        <v>19.75</v>
      </c>
      <c r="F96" s="196">
        <v>83.75</v>
      </c>
      <c r="G96" s="196">
        <v>587.5</v>
      </c>
      <c r="H96" s="196">
        <v>0.3</v>
      </c>
      <c r="I96" s="196">
        <v>0.35</v>
      </c>
      <c r="J96" s="196">
        <v>15</v>
      </c>
      <c r="K96" s="196">
        <v>0.17499999999999999</v>
      </c>
      <c r="L96" s="196">
        <v>2.5</v>
      </c>
      <c r="M96" s="196">
        <v>275</v>
      </c>
      <c r="N96" s="196">
        <v>412.5</v>
      </c>
      <c r="O96" s="196">
        <v>62.5</v>
      </c>
      <c r="P96" s="196">
        <v>3</v>
      </c>
      <c r="Q96" s="196">
        <v>2.5</v>
      </c>
      <c r="R96" s="196">
        <v>2.5000000000000001E-2</v>
      </c>
      <c r="S96" s="14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5"/>
    </row>
    <row r="97" spans="1:38" s="44" customFormat="1" ht="15.75" customHeight="1" x14ac:dyDescent="0.25">
      <c r="A97" s="136"/>
      <c r="B97" s="127" t="s">
        <v>178</v>
      </c>
      <c r="C97" s="195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4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5"/>
    </row>
    <row r="98" spans="1:38" s="44" customFormat="1" ht="15.75" customHeight="1" x14ac:dyDescent="0.25">
      <c r="A98" s="136" t="s">
        <v>252</v>
      </c>
      <c r="B98" s="127" t="s">
        <v>253</v>
      </c>
      <c r="C98" s="195">
        <v>100</v>
      </c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248"/>
      <c r="Q98" s="196"/>
      <c r="R98" s="196"/>
      <c r="S98" s="14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5"/>
    </row>
    <row r="99" spans="1:38" s="44" customFormat="1" ht="15.75" customHeight="1" x14ac:dyDescent="0.25">
      <c r="A99" s="154">
        <v>84</v>
      </c>
      <c r="B99" s="154" t="s">
        <v>242</v>
      </c>
      <c r="C99" s="189">
        <v>250</v>
      </c>
      <c r="D99" s="204">
        <v>3.56</v>
      </c>
      <c r="E99" s="204">
        <v>5.12</v>
      </c>
      <c r="F99" s="204">
        <v>14.17</v>
      </c>
      <c r="G99" s="194">
        <f t="shared" ref="G99:G105" si="28">D99*4+E99*9+F99*4</f>
        <v>117</v>
      </c>
      <c r="H99" s="204">
        <v>0.1</v>
      </c>
      <c r="I99" s="204">
        <v>0.06</v>
      </c>
      <c r="J99" s="204">
        <v>6.7</v>
      </c>
      <c r="K99" s="204">
        <v>0</v>
      </c>
      <c r="L99" s="204">
        <v>0.5</v>
      </c>
      <c r="M99" s="204">
        <v>54.18</v>
      </c>
      <c r="N99" s="204">
        <v>99.5</v>
      </c>
      <c r="O99" s="204">
        <v>34.450000000000003</v>
      </c>
      <c r="P99" s="214">
        <v>1.73</v>
      </c>
      <c r="Q99" s="204">
        <v>0.32500000000000001</v>
      </c>
      <c r="R99" s="201">
        <v>0.02</v>
      </c>
      <c r="S99" s="14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5"/>
    </row>
    <row r="100" spans="1:38" s="44" customFormat="1" ht="15.75" customHeight="1" x14ac:dyDescent="0.25">
      <c r="A100" s="164">
        <v>229</v>
      </c>
      <c r="B100" s="153" t="s">
        <v>186</v>
      </c>
      <c r="C100" s="203">
        <v>140</v>
      </c>
      <c r="D100" s="199">
        <v>19.5</v>
      </c>
      <c r="E100" s="199">
        <v>9.9</v>
      </c>
      <c r="F100" s="199">
        <v>7.6</v>
      </c>
      <c r="G100" s="194">
        <f>D100*4+E100*9+F100*4</f>
        <v>197.50000000000003</v>
      </c>
      <c r="H100" s="199">
        <v>0.1</v>
      </c>
      <c r="I100" s="199">
        <v>0.1</v>
      </c>
      <c r="J100" s="199">
        <v>7.46</v>
      </c>
      <c r="K100" s="199">
        <v>0.11</v>
      </c>
      <c r="L100" s="204">
        <v>0.9</v>
      </c>
      <c r="M100" s="199">
        <v>78.14</v>
      </c>
      <c r="N100" s="199">
        <v>324.38</v>
      </c>
      <c r="O100" s="199">
        <v>97.06</v>
      </c>
      <c r="P100" s="202">
        <v>1.7</v>
      </c>
      <c r="Q100" s="199">
        <v>1.04</v>
      </c>
      <c r="R100" s="201">
        <v>0.48</v>
      </c>
      <c r="S100" s="14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5"/>
    </row>
    <row r="101" spans="1:38" ht="15.75" customHeight="1" x14ac:dyDescent="0.25">
      <c r="A101" s="43"/>
      <c r="B101" s="43" t="s">
        <v>243</v>
      </c>
      <c r="C101" s="203">
        <v>180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S101" s="149"/>
    </row>
    <row r="102" spans="1:38" s="48" customFormat="1" ht="15.75" customHeight="1" x14ac:dyDescent="0.25">
      <c r="A102" s="129">
        <v>392</v>
      </c>
      <c r="B102" s="116" t="s">
        <v>38</v>
      </c>
      <c r="C102" s="197">
        <v>200</v>
      </c>
      <c r="D102" s="86">
        <v>1.1000000000000001</v>
      </c>
      <c r="E102" s="86">
        <v>0.9</v>
      </c>
      <c r="F102" s="86">
        <v>12.56</v>
      </c>
      <c r="G102" s="86">
        <f t="shared" si="28"/>
        <v>62.74</v>
      </c>
      <c r="H102" s="86">
        <v>0</v>
      </c>
      <c r="I102" s="86">
        <v>0</v>
      </c>
      <c r="J102" s="86">
        <v>0.03</v>
      </c>
      <c r="K102" s="86">
        <v>0</v>
      </c>
      <c r="L102" s="204">
        <v>0</v>
      </c>
      <c r="M102" s="86">
        <v>11.1</v>
      </c>
      <c r="N102" s="86">
        <v>2.8</v>
      </c>
      <c r="O102" s="86">
        <v>1.4</v>
      </c>
      <c r="P102" s="145">
        <v>0.28000000000000003</v>
      </c>
      <c r="Q102" s="86">
        <v>0</v>
      </c>
      <c r="R102" s="205">
        <v>0</v>
      </c>
      <c r="S102" s="14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7"/>
    </row>
    <row r="103" spans="1:38" ht="15.75" customHeight="1" x14ac:dyDescent="0.25">
      <c r="A103" s="222" t="s">
        <v>215</v>
      </c>
      <c r="B103" s="119" t="s">
        <v>223</v>
      </c>
      <c r="C103" s="197">
        <v>60</v>
      </c>
      <c r="D103" s="213">
        <v>2.7</v>
      </c>
      <c r="E103" s="213">
        <v>0.34</v>
      </c>
      <c r="F103" s="213">
        <v>20.059999999999999</v>
      </c>
      <c r="G103" s="194">
        <f t="shared" si="28"/>
        <v>94.1</v>
      </c>
      <c r="H103" s="213">
        <v>0.04</v>
      </c>
      <c r="I103" s="213">
        <v>0.01</v>
      </c>
      <c r="J103" s="213">
        <v>0</v>
      </c>
      <c r="K103" s="213">
        <v>0</v>
      </c>
      <c r="L103" s="213">
        <v>0.44</v>
      </c>
      <c r="M103" s="213">
        <v>8</v>
      </c>
      <c r="N103" s="213">
        <v>26</v>
      </c>
      <c r="O103" s="213">
        <v>5.6</v>
      </c>
      <c r="P103" s="213">
        <v>0.44</v>
      </c>
      <c r="Q103" s="213">
        <v>0</v>
      </c>
      <c r="R103" s="201">
        <v>0</v>
      </c>
      <c r="S103" s="149"/>
    </row>
    <row r="104" spans="1:38" ht="21" customHeight="1" x14ac:dyDescent="0.25">
      <c r="A104" s="223" t="s">
        <v>159</v>
      </c>
      <c r="B104" s="116" t="s">
        <v>224</v>
      </c>
      <c r="C104" s="197">
        <v>40</v>
      </c>
      <c r="D104" s="199">
        <v>2.66</v>
      </c>
      <c r="E104" s="199">
        <v>0.48</v>
      </c>
      <c r="F104" s="199">
        <v>16.739999999999998</v>
      </c>
      <c r="G104" s="194">
        <f t="shared" si="28"/>
        <v>81.919999999999987</v>
      </c>
      <c r="H104" s="199">
        <v>0.22</v>
      </c>
      <c r="I104" s="199">
        <v>0.14000000000000001</v>
      </c>
      <c r="J104" s="199">
        <v>0.28000000000000003</v>
      </c>
      <c r="K104" s="199">
        <v>0</v>
      </c>
      <c r="L104" s="199">
        <v>0.22</v>
      </c>
      <c r="M104" s="199">
        <v>51.1</v>
      </c>
      <c r="N104" s="199">
        <v>87.5</v>
      </c>
      <c r="O104" s="199">
        <v>28</v>
      </c>
      <c r="P104" s="202">
        <v>1.96</v>
      </c>
      <c r="Q104" s="199">
        <v>0</v>
      </c>
      <c r="R104" s="201">
        <v>0.04</v>
      </c>
      <c r="S104" s="149"/>
    </row>
    <row r="105" spans="1:38" ht="15.75" customHeight="1" x14ac:dyDescent="0.25">
      <c r="A105" s="116"/>
      <c r="B105" s="130" t="s">
        <v>143</v>
      </c>
      <c r="C105" s="206">
        <v>20</v>
      </c>
      <c r="D105" s="207">
        <v>0.75</v>
      </c>
      <c r="E105" s="207">
        <v>0</v>
      </c>
      <c r="F105" s="207">
        <v>15.15</v>
      </c>
      <c r="G105" s="194">
        <f t="shared" si="28"/>
        <v>63.6</v>
      </c>
      <c r="H105" s="194">
        <v>1.4999999999999999E-2</v>
      </c>
      <c r="I105" s="194">
        <v>1.4999999999999999E-2</v>
      </c>
      <c r="J105" s="194">
        <v>3</v>
      </c>
      <c r="K105" s="194">
        <v>0</v>
      </c>
      <c r="L105" s="194">
        <v>0.15</v>
      </c>
      <c r="M105" s="194">
        <v>10.5</v>
      </c>
      <c r="N105" s="194">
        <v>10.5</v>
      </c>
      <c r="O105" s="194">
        <v>6</v>
      </c>
      <c r="P105" s="194">
        <v>2.1</v>
      </c>
      <c r="Q105" s="194">
        <v>0</v>
      </c>
      <c r="R105" s="201">
        <v>0</v>
      </c>
      <c r="S105" s="149"/>
    </row>
    <row r="106" spans="1:38" s="41" customFormat="1" ht="26.25" customHeight="1" x14ac:dyDescent="0.25">
      <c r="A106" s="139"/>
      <c r="B106" s="140" t="s">
        <v>21</v>
      </c>
      <c r="C106" s="141">
        <f t="shared" ref="C106:R106" si="29">SUM(C99:C105)</f>
        <v>890</v>
      </c>
      <c r="D106" s="133">
        <f t="shared" si="29"/>
        <v>30.27</v>
      </c>
      <c r="E106" s="133">
        <f t="shared" si="29"/>
        <v>16.740000000000002</v>
      </c>
      <c r="F106" s="133">
        <f t="shared" si="29"/>
        <v>86.28</v>
      </c>
      <c r="G106" s="133">
        <f t="shared" si="29"/>
        <v>616.86</v>
      </c>
      <c r="H106" s="133">
        <f t="shared" si="29"/>
        <v>0.47500000000000003</v>
      </c>
      <c r="I106" s="133">
        <f t="shared" si="29"/>
        <v>0.32500000000000007</v>
      </c>
      <c r="J106" s="133">
        <f t="shared" si="29"/>
        <v>17.47</v>
      </c>
      <c r="K106" s="133">
        <f t="shared" si="29"/>
        <v>0.11</v>
      </c>
      <c r="L106" s="133">
        <f t="shared" si="29"/>
        <v>2.21</v>
      </c>
      <c r="M106" s="133">
        <f t="shared" si="29"/>
        <v>213.01999999999998</v>
      </c>
      <c r="N106" s="133">
        <f t="shared" si="29"/>
        <v>550.68000000000006</v>
      </c>
      <c r="O106" s="133">
        <f t="shared" si="29"/>
        <v>172.51</v>
      </c>
      <c r="P106" s="133">
        <f t="shared" si="29"/>
        <v>8.2100000000000009</v>
      </c>
      <c r="Q106" s="133">
        <f t="shared" si="29"/>
        <v>1.365</v>
      </c>
      <c r="R106" s="133">
        <f t="shared" si="29"/>
        <v>0.54</v>
      </c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8"/>
    </row>
    <row r="107" spans="1:38" s="41" customFormat="1" ht="26.25" customHeight="1" x14ac:dyDescent="0.25">
      <c r="A107" s="155"/>
      <c r="B107" s="131" t="s">
        <v>181</v>
      </c>
      <c r="C107" s="141">
        <f>SUM(C95:R95+C106:R106)</f>
        <v>1500</v>
      </c>
      <c r="D107" s="133">
        <f t="shared" ref="D107:R107" si="30">SUM(D106)</f>
        <v>30.27</v>
      </c>
      <c r="E107" s="133">
        <f t="shared" si="30"/>
        <v>16.740000000000002</v>
      </c>
      <c r="F107" s="133">
        <f t="shared" si="30"/>
        <v>86.28</v>
      </c>
      <c r="G107" s="133">
        <f t="shared" si="30"/>
        <v>616.86</v>
      </c>
      <c r="H107" s="133">
        <f t="shared" si="30"/>
        <v>0.47500000000000003</v>
      </c>
      <c r="I107" s="133">
        <f t="shared" si="30"/>
        <v>0.32500000000000007</v>
      </c>
      <c r="J107" s="133">
        <f t="shared" si="30"/>
        <v>17.47</v>
      </c>
      <c r="K107" s="133">
        <f t="shared" si="30"/>
        <v>0.11</v>
      </c>
      <c r="L107" s="133">
        <f t="shared" si="30"/>
        <v>2.21</v>
      </c>
      <c r="M107" s="133">
        <f t="shared" si="30"/>
        <v>213.01999999999998</v>
      </c>
      <c r="N107" s="133">
        <f t="shared" si="30"/>
        <v>550.68000000000006</v>
      </c>
      <c r="O107" s="133">
        <f t="shared" si="30"/>
        <v>172.51</v>
      </c>
      <c r="P107" s="133">
        <f t="shared" si="30"/>
        <v>8.2100000000000009</v>
      </c>
      <c r="Q107" s="133">
        <f t="shared" si="30"/>
        <v>1.365</v>
      </c>
      <c r="R107" s="133">
        <f t="shared" si="30"/>
        <v>0.54</v>
      </c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8"/>
    </row>
    <row r="108" spans="1:38" s="44" customFormat="1" ht="15.75" customHeight="1" x14ac:dyDescent="0.25">
      <c r="A108" s="294" t="s">
        <v>250</v>
      </c>
      <c r="B108" s="295"/>
      <c r="C108" s="208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152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5"/>
    </row>
    <row r="109" spans="1:38" s="44" customFormat="1" ht="15.75" customHeight="1" x14ac:dyDescent="0.25">
      <c r="A109" s="118">
        <v>246</v>
      </c>
      <c r="B109" s="119" t="s">
        <v>254</v>
      </c>
      <c r="C109" s="191">
        <v>80</v>
      </c>
      <c r="D109" s="194">
        <v>0.42</v>
      </c>
      <c r="E109" s="194">
        <v>0.06</v>
      </c>
      <c r="F109" s="194">
        <v>1.1399999999999999</v>
      </c>
      <c r="G109" s="194">
        <f>F109*4+E109*9+D109*4</f>
        <v>6.7799999999999994</v>
      </c>
      <c r="H109" s="194">
        <v>0.02</v>
      </c>
      <c r="I109" s="194">
        <v>0.01</v>
      </c>
      <c r="J109" s="194">
        <v>2.94</v>
      </c>
      <c r="K109" s="194">
        <v>0</v>
      </c>
      <c r="L109" s="194">
        <v>0.06</v>
      </c>
      <c r="M109" s="194">
        <v>10.199999999999999</v>
      </c>
      <c r="N109" s="194">
        <v>18</v>
      </c>
      <c r="O109" s="194">
        <v>8.4</v>
      </c>
      <c r="P109" s="194">
        <v>0.3</v>
      </c>
      <c r="Q109" s="192">
        <v>0.10199999999999999</v>
      </c>
      <c r="R109" s="192">
        <v>0</v>
      </c>
      <c r="S109" s="14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5"/>
    </row>
    <row r="110" spans="1:38" s="46" customFormat="1" ht="15.75" customHeight="1" x14ac:dyDescent="0.25">
      <c r="A110" s="118">
        <v>269</v>
      </c>
      <c r="B110" s="119" t="s">
        <v>264</v>
      </c>
      <c r="C110" s="191">
        <v>180</v>
      </c>
      <c r="D110" s="86">
        <v>7.1495327102803738</v>
      </c>
      <c r="E110" s="86">
        <v>9.3925233644859816</v>
      </c>
      <c r="F110" s="86">
        <v>7.2336448598130838</v>
      </c>
      <c r="G110" s="86">
        <v>142.06542056074767</v>
      </c>
      <c r="H110" s="86">
        <v>8.4112149532710276E-2</v>
      </c>
      <c r="I110" s="86">
        <v>8.4112149532710276E-2</v>
      </c>
      <c r="J110" s="86">
        <v>0.12616822429906543</v>
      </c>
      <c r="K110" s="86">
        <v>0.1</v>
      </c>
      <c r="L110" s="86">
        <v>0.42056074766355139</v>
      </c>
      <c r="M110" s="86">
        <v>20.579439252336446</v>
      </c>
      <c r="N110" s="86">
        <v>87.588785046728972</v>
      </c>
      <c r="O110" s="86">
        <v>16.355140186915886</v>
      </c>
      <c r="P110" s="86">
        <v>1.1869158878504673</v>
      </c>
      <c r="Q110" s="86">
        <v>2.3199999999999998</v>
      </c>
      <c r="R110" s="86">
        <v>0</v>
      </c>
      <c r="S110" s="149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6"/>
    </row>
    <row r="111" spans="1:38" s="46" customFormat="1" ht="15.75" customHeight="1" x14ac:dyDescent="0.25">
      <c r="A111" s="118"/>
      <c r="B111" s="99" t="s">
        <v>6</v>
      </c>
      <c r="C111" s="191">
        <v>200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149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6"/>
    </row>
    <row r="112" spans="1:38" s="48" customFormat="1" ht="15.75" customHeight="1" x14ac:dyDescent="0.25">
      <c r="A112" s="222" t="s">
        <v>158</v>
      </c>
      <c r="B112" s="119" t="s">
        <v>221</v>
      </c>
      <c r="C112" s="191">
        <v>60</v>
      </c>
      <c r="D112" s="192">
        <v>1.6625000000000001</v>
      </c>
      <c r="E112" s="192">
        <v>0.3</v>
      </c>
      <c r="F112" s="192">
        <v>10.462499999999999</v>
      </c>
      <c r="G112" s="192">
        <v>51.2</v>
      </c>
      <c r="H112" s="192">
        <v>0.13124999999999998</v>
      </c>
      <c r="I112" s="192">
        <v>8.7499999999999981E-2</v>
      </c>
      <c r="J112" s="192">
        <v>0.17499999999999996</v>
      </c>
      <c r="K112" s="192">
        <v>0</v>
      </c>
      <c r="L112" s="192">
        <v>0.13124999999999998</v>
      </c>
      <c r="M112" s="192">
        <v>31.937499999999996</v>
      </c>
      <c r="N112" s="192">
        <v>54.6875</v>
      </c>
      <c r="O112" s="192">
        <v>17.5</v>
      </c>
      <c r="P112" s="192">
        <v>1.2249999999999999</v>
      </c>
      <c r="Q112" s="192">
        <v>0.3</v>
      </c>
      <c r="R112" s="192">
        <v>0.02</v>
      </c>
      <c r="S112" s="151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7"/>
    </row>
    <row r="113" spans="1:38" s="107" customFormat="1" ht="15.75" customHeight="1" x14ac:dyDescent="0.25">
      <c r="A113" s="222" t="s">
        <v>159</v>
      </c>
      <c r="B113" s="116" t="s">
        <v>222</v>
      </c>
      <c r="C113" s="197">
        <v>40</v>
      </c>
      <c r="D113" s="192">
        <f>1.35*2</f>
        <v>2.7</v>
      </c>
      <c r="E113" s="192">
        <f>0.172*2</f>
        <v>0.34399999999999997</v>
      </c>
      <c r="F113" s="192">
        <f>10.03*2</f>
        <v>20.059999999999999</v>
      </c>
      <c r="G113" s="192">
        <f t="shared" ref="G113" si="31">F113*4+E113*9+D113*4</f>
        <v>94.135999999999996</v>
      </c>
      <c r="H113" s="192">
        <v>2.4E-2</v>
      </c>
      <c r="I113" s="192">
        <v>5.0000000000000001E-3</v>
      </c>
      <c r="J113" s="192">
        <v>0</v>
      </c>
      <c r="K113" s="192">
        <v>0</v>
      </c>
      <c r="L113" s="192">
        <v>0.42</v>
      </c>
      <c r="M113" s="192">
        <v>8</v>
      </c>
      <c r="N113" s="192">
        <v>26</v>
      </c>
      <c r="O113" s="192">
        <v>5.6</v>
      </c>
      <c r="P113" s="192">
        <v>0.4</v>
      </c>
      <c r="Q113" s="192">
        <v>0.3</v>
      </c>
      <c r="R113" s="192">
        <v>0</v>
      </c>
      <c r="S113" s="14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106"/>
    </row>
    <row r="114" spans="1:38" s="99" customFormat="1" ht="15.75" customHeight="1" x14ac:dyDescent="0.25">
      <c r="A114" s="222"/>
      <c r="B114" s="119" t="s">
        <v>143</v>
      </c>
      <c r="C114" s="191">
        <v>60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1:38" s="99" customFormat="1" ht="15.75" customHeight="1" x14ac:dyDescent="0.25">
      <c r="A115" s="122"/>
      <c r="B115" s="123" t="s">
        <v>21</v>
      </c>
      <c r="C115" s="188">
        <f t="shared" ref="C115:R115" si="32">SUM(C109:C114)</f>
        <v>620</v>
      </c>
      <c r="D115" s="124">
        <f t="shared" si="32"/>
        <v>11.932032710280374</v>
      </c>
      <c r="E115" s="124">
        <f t="shared" si="32"/>
        <v>10.096523364485982</v>
      </c>
      <c r="F115" s="124">
        <f t="shared" si="32"/>
        <v>38.896144859813077</v>
      </c>
      <c r="G115" s="124">
        <f t="shared" si="32"/>
        <v>294.18142056074771</v>
      </c>
      <c r="H115" s="124">
        <f t="shared" si="32"/>
        <v>0.25936214953271025</v>
      </c>
      <c r="I115" s="124">
        <f t="shared" si="32"/>
        <v>0.18661214953271027</v>
      </c>
      <c r="J115" s="124">
        <f t="shared" si="32"/>
        <v>3.2411682242990651</v>
      </c>
      <c r="K115" s="124">
        <f t="shared" si="32"/>
        <v>0.1</v>
      </c>
      <c r="L115" s="124">
        <f t="shared" si="32"/>
        <v>1.0318107476635514</v>
      </c>
      <c r="M115" s="124">
        <f t="shared" si="32"/>
        <v>70.716939252336445</v>
      </c>
      <c r="N115" s="124">
        <f t="shared" si="32"/>
        <v>186.27628504672896</v>
      </c>
      <c r="O115" s="124">
        <f t="shared" si="32"/>
        <v>47.855140186915889</v>
      </c>
      <c r="P115" s="124">
        <f t="shared" si="32"/>
        <v>3.1119158878504671</v>
      </c>
      <c r="Q115" s="124">
        <f t="shared" si="32"/>
        <v>3.0219999999999994</v>
      </c>
      <c r="R115" s="124">
        <f t="shared" si="32"/>
        <v>0.02</v>
      </c>
    </row>
    <row r="116" spans="1:38" s="99" customFormat="1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38" s="99" customFormat="1" ht="15.75" customHeight="1" x14ac:dyDescent="0.25">
      <c r="A117" s="294" t="s">
        <v>255</v>
      </c>
      <c r="B117" s="295"/>
      <c r="C117" s="208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</row>
    <row r="118" spans="1:38" s="99" customFormat="1" ht="15.75" customHeight="1" x14ac:dyDescent="0.25">
      <c r="A118" s="118">
        <v>246</v>
      </c>
      <c r="B118" s="119" t="s">
        <v>271</v>
      </c>
      <c r="C118" s="189">
        <v>100</v>
      </c>
      <c r="D118" s="199">
        <v>1.73</v>
      </c>
      <c r="E118" s="199">
        <v>1.63</v>
      </c>
      <c r="F118" s="199">
        <v>3.47</v>
      </c>
      <c r="G118" s="199">
        <f>D118*4+E118*9+F118*4</f>
        <v>35.47</v>
      </c>
      <c r="H118" s="199">
        <v>3.4000000000000002E-2</v>
      </c>
      <c r="I118" s="199">
        <v>0.02</v>
      </c>
      <c r="J118" s="199">
        <v>5.82</v>
      </c>
      <c r="K118" s="199">
        <v>0.08</v>
      </c>
      <c r="L118" s="199">
        <v>0</v>
      </c>
      <c r="M118" s="199">
        <v>14.35</v>
      </c>
      <c r="N118" s="199">
        <v>36.700000000000003</v>
      </c>
      <c r="O118" s="199">
        <v>12.1</v>
      </c>
      <c r="P118" s="202">
        <v>0.42</v>
      </c>
      <c r="Q118" s="199">
        <v>0</v>
      </c>
      <c r="R118" s="201">
        <v>0</v>
      </c>
    </row>
    <row r="119" spans="1:38" s="99" customFormat="1" ht="15.75" customHeight="1" x14ac:dyDescent="0.25">
      <c r="A119" s="159">
        <v>211</v>
      </c>
      <c r="B119" s="154" t="s">
        <v>167</v>
      </c>
      <c r="C119" s="189">
        <v>80</v>
      </c>
      <c r="D119" s="86">
        <v>19.12</v>
      </c>
      <c r="E119" s="86">
        <v>25.38</v>
      </c>
      <c r="F119" s="86">
        <v>2.72</v>
      </c>
      <c r="G119" s="199">
        <f t="shared" ref="G119" si="33">D119*4+E119*9+F119*4</f>
        <v>315.77999999999997</v>
      </c>
      <c r="H119" s="86">
        <v>0.106</v>
      </c>
      <c r="I119" s="86">
        <v>0.57999999999999996</v>
      </c>
      <c r="J119" s="86">
        <v>0.34</v>
      </c>
      <c r="K119" s="86">
        <v>3.8719999999999999</v>
      </c>
      <c r="L119" s="199">
        <f>1.2*1.4</f>
        <v>1.68</v>
      </c>
      <c r="M119" s="86">
        <v>278.93</v>
      </c>
      <c r="N119" s="86">
        <v>333.06</v>
      </c>
      <c r="O119" s="86">
        <v>23.28</v>
      </c>
      <c r="P119" s="145">
        <v>2.93</v>
      </c>
      <c r="Q119" s="86">
        <v>2.59</v>
      </c>
      <c r="R119" s="201">
        <v>0.36</v>
      </c>
    </row>
    <row r="120" spans="1:38" s="99" customFormat="1" ht="15.75" customHeight="1" x14ac:dyDescent="0.25">
      <c r="A120" s="98"/>
      <c r="B120" s="99" t="s">
        <v>6</v>
      </c>
      <c r="C120" s="191">
        <v>200</v>
      </c>
    </row>
    <row r="121" spans="1:38" s="99" customFormat="1" ht="15.75" customHeight="1" x14ac:dyDescent="0.25">
      <c r="A121" s="222" t="s">
        <v>158</v>
      </c>
      <c r="B121" s="119" t="s">
        <v>221</v>
      </c>
      <c r="C121" s="191">
        <v>60</v>
      </c>
      <c r="D121" s="192">
        <v>1.6625000000000001</v>
      </c>
      <c r="E121" s="192">
        <v>0.3</v>
      </c>
      <c r="F121" s="192">
        <v>10.462499999999999</v>
      </c>
      <c r="G121" s="192">
        <v>51.2</v>
      </c>
      <c r="H121" s="192">
        <v>0.13124999999999998</v>
      </c>
      <c r="I121" s="192">
        <v>8.7499999999999981E-2</v>
      </c>
      <c r="J121" s="192">
        <v>0.17499999999999996</v>
      </c>
      <c r="K121" s="192">
        <v>0</v>
      </c>
      <c r="L121" s="192">
        <v>0.13124999999999998</v>
      </c>
      <c r="M121" s="192">
        <v>31.937499999999996</v>
      </c>
      <c r="N121" s="192">
        <v>54.6875</v>
      </c>
      <c r="O121" s="192">
        <v>17.5</v>
      </c>
      <c r="P121" s="192">
        <v>1.2249999999999999</v>
      </c>
      <c r="Q121" s="192">
        <v>0.3</v>
      </c>
      <c r="R121" s="192">
        <v>0.02</v>
      </c>
    </row>
    <row r="122" spans="1:38" s="99" customFormat="1" ht="15.75" customHeight="1" x14ac:dyDescent="0.25">
      <c r="A122" s="222" t="s">
        <v>159</v>
      </c>
      <c r="B122" s="116" t="s">
        <v>222</v>
      </c>
      <c r="C122" s="197">
        <v>40</v>
      </c>
      <c r="D122" s="192">
        <f>1.35*2</f>
        <v>2.7</v>
      </c>
      <c r="E122" s="192">
        <f>0.172*2</f>
        <v>0.34399999999999997</v>
      </c>
      <c r="F122" s="192">
        <f>10.03*2</f>
        <v>20.059999999999999</v>
      </c>
      <c r="G122" s="192">
        <f t="shared" ref="G122" si="34">F122*4+E122*9+D122*4</f>
        <v>94.135999999999996</v>
      </c>
      <c r="H122" s="192">
        <v>2.4E-2</v>
      </c>
      <c r="I122" s="192">
        <v>5.0000000000000001E-3</v>
      </c>
      <c r="J122" s="192">
        <v>0</v>
      </c>
      <c r="K122" s="192">
        <v>0</v>
      </c>
      <c r="L122" s="192">
        <v>0.42</v>
      </c>
      <c r="M122" s="192">
        <v>8</v>
      </c>
      <c r="N122" s="192">
        <v>26</v>
      </c>
      <c r="O122" s="192">
        <v>5.6</v>
      </c>
      <c r="P122" s="192">
        <v>0.4</v>
      </c>
      <c r="Q122" s="192">
        <v>0.3</v>
      </c>
      <c r="R122" s="192">
        <v>0</v>
      </c>
    </row>
    <row r="123" spans="1:38" s="99" customFormat="1" ht="15.75" customHeight="1" x14ac:dyDescent="0.25">
      <c r="A123" s="118"/>
      <c r="B123" s="119" t="s">
        <v>278</v>
      </c>
      <c r="C123" s="191">
        <v>20</v>
      </c>
      <c r="D123" s="192">
        <v>1.0015060240963856</v>
      </c>
      <c r="E123" s="192">
        <v>0</v>
      </c>
      <c r="F123" s="192">
        <v>20.23042168674699</v>
      </c>
      <c r="G123" s="192">
        <v>84.927710843373504</v>
      </c>
      <c r="H123" s="192">
        <v>2.0030120481927715E-2</v>
      </c>
      <c r="I123" s="192">
        <v>2.0030120481927715E-2</v>
      </c>
      <c r="J123" s="192">
        <v>4.0060240963855422</v>
      </c>
      <c r="K123" s="192">
        <v>0</v>
      </c>
      <c r="L123" s="192">
        <v>0.20030120481927713</v>
      </c>
      <c r="M123" s="192">
        <v>14.021084337349398</v>
      </c>
      <c r="N123" s="192">
        <v>14.021084337349398</v>
      </c>
      <c r="O123" s="192">
        <v>8.0120481927710845</v>
      </c>
      <c r="P123" s="192">
        <v>2.8042168674698797</v>
      </c>
      <c r="Q123" s="192">
        <v>0.04</v>
      </c>
      <c r="R123" s="192">
        <v>0</v>
      </c>
    </row>
    <row r="124" spans="1:38" s="99" customFormat="1" ht="15.75" customHeight="1" x14ac:dyDescent="0.25">
      <c r="A124" s="122"/>
      <c r="B124" s="123" t="s">
        <v>21</v>
      </c>
      <c r="C124" s="188">
        <f t="shared" ref="C124:R124" si="35">SUM(C118:C122)</f>
        <v>480</v>
      </c>
      <c r="D124" s="124">
        <f t="shared" si="35"/>
        <v>25.212500000000002</v>
      </c>
      <c r="E124" s="124">
        <f t="shared" si="35"/>
        <v>27.654</v>
      </c>
      <c r="F124" s="124">
        <f t="shared" si="35"/>
        <v>36.712499999999999</v>
      </c>
      <c r="G124" s="124">
        <f t="shared" si="35"/>
        <v>496.58600000000001</v>
      </c>
      <c r="H124" s="124">
        <f t="shared" si="35"/>
        <v>0.29525000000000001</v>
      </c>
      <c r="I124" s="124">
        <f t="shared" si="35"/>
        <v>0.6925</v>
      </c>
      <c r="J124" s="124">
        <f t="shared" si="35"/>
        <v>6.335</v>
      </c>
      <c r="K124" s="124">
        <f t="shared" si="35"/>
        <v>3.952</v>
      </c>
      <c r="L124" s="124">
        <f t="shared" si="35"/>
        <v>2.2312499999999997</v>
      </c>
      <c r="M124" s="124">
        <f t="shared" si="35"/>
        <v>333.21750000000003</v>
      </c>
      <c r="N124" s="124">
        <f t="shared" si="35"/>
        <v>450.44749999999999</v>
      </c>
      <c r="O124" s="124">
        <f t="shared" si="35"/>
        <v>58.480000000000004</v>
      </c>
      <c r="P124" s="124">
        <f t="shared" si="35"/>
        <v>4.9750000000000005</v>
      </c>
      <c r="Q124" s="124">
        <f t="shared" si="35"/>
        <v>3.1899999999999995</v>
      </c>
      <c r="R124" s="124">
        <f t="shared" si="35"/>
        <v>0.38</v>
      </c>
    </row>
    <row r="125" spans="1:38" s="99" customFormat="1" ht="15.75" customHeight="1" x14ac:dyDescent="0.25">
      <c r="A125" s="118"/>
      <c r="B125" s="126" t="s">
        <v>98</v>
      </c>
      <c r="C125" s="195"/>
      <c r="D125" s="196">
        <v>19.25</v>
      </c>
      <c r="E125" s="196">
        <v>19.75</v>
      </c>
      <c r="F125" s="196">
        <v>83.75</v>
      </c>
      <c r="G125" s="196">
        <v>587.5</v>
      </c>
      <c r="H125" s="196">
        <v>0.3</v>
      </c>
      <c r="I125" s="196">
        <v>0.35</v>
      </c>
      <c r="J125" s="196">
        <v>15</v>
      </c>
      <c r="K125" s="196">
        <v>0.17499999999999999</v>
      </c>
      <c r="L125" s="196">
        <v>2.5</v>
      </c>
      <c r="M125" s="196">
        <v>275</v>
      </c>
      <c r="N125" s="196">
        <v>412.5</v>
      </c>
      <c r="O125" s="196">
        <v>62.5</v>
      </c>
      <c r="P125" s="196">
        <v>3</v>
      </c>
      <c r="Q125" s="196">
        <v>2.5</v>
      </c>
      <c r="R125" s="196">
        <v>2.5000000000000001E-2</v>
      </c>
    </row>
    <row r="126" spans="1:38" s="99" customFormat="1" ht="43.5" customHeight="1" x14ac:dyDescent="0.25">
      <c r="A126" s="118"/>
      <c r="B126" s="127" t="s">
        <v>178</v>
      </c>
      <c r="C126" s="19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</row>
    <row r="127" spans="1:38" s="99" customFormat="1" ht="15.75" customHeight="1" x14ac:dyDescent="0.25">
      <c r="A127" s="157" t="s">
        <v>190</v>
      </c>
      <c r="B127" s="158" t="s">
        <v>191</v>
      </c>
      <c r="C127" s="212">
        <v>250</v>
      </c>
      <c r="D127" s="199">
        <v>1.59</v>
      </c>
      <c r="E127" s="199">
        <v>4.99</v>
      </c>
      <c r="F127" s="199">
        <v>9.15</v>
      </c>
      <c r="G127" s="199">
        <f>D127*4+E127*9+F127*4</f>
        <v>87.87</v>
      </c>
      <c r="H127" s="199">
        <v>7.0000000000000007E-2</v>
      </c>
      <c r="I127" s="199">
        <v>0.05</v>
      </c>
      <c r="J127" s="199">
        <v>10.38</v>
      </c>
      <c r="K127" s="199">
        <v>0</v>
      </c>
      <c r="L127" s="199">
        <v>0.3</v>
      </c>
      <c r="M127" s="199">
        <v>34.85</v>
      </c>
      <c r="N127" s="199">
        <v>49.28</v>
      </c>
      <c r="O127" s="199">
        <v>20.75</v>
      </c>
      <c r="P127" s="202">
        <v>0.78</v>
      </c>
      <c r="Q127" s="199">
        <v>0.57999999999999996</v>
      </c>
      <c r="R127" s="201">
        <v>0.01</v>
      </c>
    </row>
    <row r="128" spans="1:38" s="99" customFormat="1" ht="23.25" customHeight="1" x14ac:dyDescent="0.25">
      <c r="A128" s="118">
        <v>269</v>
      </c>
      <c r="B128" s="119" t="s">
        <v>88</v>
      </c>
      <c r="C128" s="191">
        <v>100</v>
      </c>
      <c r="D128" s="86">
        <v>7.1495327102803738</v>
      </c>
      <c r="E128" s="86">
        <v>9.3925233644859816</v>
      </c>
      <c r="F128" s="86">
        <v>7.2336448598130838</v>
      </c>
      <c r="G128" s="86">
        <v>142.06542056074767</v>
      </c>
      <c r="H128" s="86">
        <v>8.4112149532710276E-2</v>
      </c>
      <c r="I128" s="86">
        <v>8.4112149532710276E-2</v>
      </c>
      <c r="J128" s="86">
        <v>0.12616822429906543</v>
      </c>
      <c r="K128" s="86">
        <v>0.1</v>
      </c>
      <c r="L128" s="86">
        <v>0.42056074766355139</v>
      </c>
      <c r="M128" s="86">
        <v>20.579439252336446</v>
      </c>
      <c r="N128" s="86">
        <v>87.588785046728972</v>
      </c>
      <c r="O128" s="86">
        <v>16.355140186915886</v>
      </c>
      <c r="P128" s="86">
        <v>1.1869158878504673</v>
      </c>
      <c r="Q128" s="86">
        <v>2.3199999999999998</v>
      </c>
      <c r="R128" s="86">
        <v>0</v>
      </c>
    </row>
    <row r="129" spans="1:38" s="99" customFormat="1" ht="15.75" customHeight="1" x14ac:dyDescent="0.25">
      <c r="A129" s="172" t="s">
        <v>70</v>
      </c>
      <c r="B129" s="135" t="s">
        <v>71</v>
      </c>
      <c r="C129" s="210">
        <v>160</v>
      </c>
      <c r="D129" s="192">
        <v>2.69</v>
      </c>
      <c r="E129" s="192">
        <v>5</v>
      </c>
      <c r="F129" s="192">
        <v>13.1</v>
      </c>
      <c r="G129" s="192">
        <v>216.3</v>
      </c>
      <c r="H129" s="192">
        <v>0.08</v>
      </c>
      <c r="I129" s="192">
        <v>0.08</v>
      </c>
      <c r="J129" s="192">
        <v>19.059999999999999</v>
      </c>
      <c r="K129" s="192">
        <v>0.7</v>
      </c>
      <c r="L129" s="192">
        <v>0</v>
      </c>
      <c r="M129" s="192">
        <v>56.6</v>
      </c>
      <c r="N129" s="192">
        <v>68.56</v>
      </c>
      <c r="O129" s="192">
        <v>24.7</v>
      </c>
      <c r="P129" s="192">
        <v>0.91</v>
      </c>
      <c r="Q129" s="192">
        <v>0.43</v>
      </c>
      <c r="R129" s="192">
        <v>0</v>
      </c>
    </row>
    <row r="130" spans="1:38" s="99" customFormat="1" ht="15.75" customHeight="1" x14ac:dyDescent="0.25">
      <c r="A130" s="154"/>
      <c r="B130" s="154" t="s">
        <v>124</v>
      </c>
      <c r="C130" s="189">
        <v>200</v>
      </c>
      <c r="D130" s="207">
        <v>1</v>
      </c>
      <c r="E130" s="207">
        <v>0</v>
      </c>
      <c r="F130" s="207">
        <v>20.200000000000003</v>
      </c>
      <c r="G130" s="199">
        <f t="shared" ref="G130:G132" si="36">D130*4+E130*9+F130*4</f>
        <v>84.800000000000011</v>
      </c>
      <c r="H130" s="194">
        <v>2.2000000000000002E-2</v>
      </c>
      <c r="I130" s="194">
        <v>2.2000000000000002E-2</v>
      </c>
      <c r="J130" s="194">
        <v>4</v>
      </c>
      <c r="K130" s="194">
        <v>0</v>
      </c>
      <c r="L130" s="194">
        <v>0.2</v>
      </c>
      <c r="M130" s="194">
        <v>14</v>
      </c>
      <c r="N130" s="194">
        <v>14</v>
      </c>
      <c r="O130" s="194">
        <v>8</v>
      </c>
      <c r="P130" s="194">
        <v>2.8000000000000003</v>
      </c>
      <c r="Q130" s="194">
        <v>0</v>
      </c>
      <c r="R130" s="201">
        <v>0</v>
      </c>
    </row>
    <row r="131" spans="1:38" s="99" customFormat="1" ht="15.75" customHeight="1" x14ac:dyDescent="0.25">
      <c r="A131" s="222" t="s">
        <v>215</v>
      </c>
      <c r="B131" s="119" t="s">
        <v>223</v>
      </c>
      <c r="C131" s="197">
        <v>60</v>
      </c>
      <c r="D131" s="213">
        <v>2.7</v>
      </c>
      <c r="E131" s="213">
        <v>0.34</v>
      </c>
      <c r="F131" s="213">
        <v>20.059999999999999</v>
      </c>
      <c r="G131" s="199">
        <f t="shared" si="36"/>
        <v>94.1</v>
      </c>
      <c r="H131" s="213">
        <v>0.04</v>
      </c>
      <c r="I131" s="213">
        <v>0.01</v>
      </c>
      <c r="J131" s="213">
        <v>0</v>
      </c>
      <c r="K131" s="213">
        <v>0</v>
      </c>
      <c r="L131" s="213">
        <v>0.44</v>
      </c>
      <c r="M131" s="213">
        <v>8</v>
      </c>
      <c r="N131" s="213">
        <v>26</v>
      </c>
      <c r="O131" s="213">
        <v>5.6</v>
      </c>
      <c r="P131" s="213">
        <v>0.44</v>
      </c>
      <c r="Q131" s="213">
        <v>0</v>
      </c>
      <c r="R131" s="201">
        <v>0</v>
      </c>
    </row>
    <row r="132" spans="1:38" s="99" customFormat="1" ht="15.75" customHeight="1" x14ac:dyDescent="0.25">
      <c r="A132" s="223" t="s">
        <v>159</v>
      </c>
      <c r="B132" s="116" t="s">
        <v>224</v>
      </c>
      <c r="C132" s="197">
        <v>40</v>
      </c>
      <c r="D132" s="199">
        <v>1.33</v>
      </c>
      <c r="E132" s="199">
        <v>0.24</v>
      </c>
      <c r="F132" s="199">
        <v>8.3699999999999992</v>
      </c>
      <c r="G132" s="199">
        <f t="shared" si="36"/>
        <v>40.959999999999994</v>
      </c>
      <c r="H132" s="199">
        <v>0.11</v>
      </c>
      <c r="I132" s="199">
        <v>7.0000000000000007E-2</v>
      </c>
      <c r="J132" s="199">
        <v>0.14000000000000001</v>
      </c>
      <c r="K132" s="199">
        <v>0</v>
      </c>
      <c r="L132" s="199">
        <v>0.11</v>
      </c>
      <c r="M132" s="199">
        <v>25.55</v>
      </c>
      <c r="N132" s="199">
        <v>43.75</v>
      </c>
      <c r="O132" s="199">
        <v>14</v>
      </c>
      <c r="P132" s="202">
        <v>0.98</v>
      </c>
      <c r="Q132" s="199">
        <v>0</v>
      </c>
      <c r="R132" s="201">
        <v>0.02</v>
      </c>
    </row>
    <row r="133" spans="1:38" s="99" customFormat="1" ht="15.75" customHeight="1" x14ac:dyDescent="0.25">
      <c r="A133" s="139"/>
      <c r="B133" s="140" t="s">
        <v>21</v>
      </c>
      <c r="C133" s="141">
        <f t="shared" ref="C133:R133" si="37">SUM(C127:C132)</f>
        <v>810</v>
      </c>
      <c r="D133" s="141">
        <f t="shared" si="37"/>
        <v>16.459532710280371</v>
      </c>
      <c r="E133" s="141">
        <f t="shared" si="37"/>
        <v>19.962523364485982</v>
      </c>
      <c r="F133" s="141">
        <f t="shared" si="37"/>
        <v>78.113644859813093</v>
      </c>
      <c r="G133" s="141">
        <f t="shared" si="37"/>
        <v>666.09542056074781</v>
      </c>
      <c r="H133" s="141">
        <f t="shared" si="37"/>
        <v>0.4061121495327103</v>
      </c>
      <c r="I133" s="141">
        <f t="shared" si="37"/>
        <v>0.31611214953271027</v>
      </c>
      <c r="J133" s="141">
        <f t="shared" si="37"/>
        <v>33.706168224299063</v>
      </c>
      <c r="K133" s="141">
        <f t="shared" si="37"/>
        <v>0.79999999999999993</v>
      </c>
      <c r="L133" s="141">
        <f t="shared" si="37"/>
        <v>1.4705607476635514</v>
      </c>
      <c r="M133" s="141">
        <f t="shared" si="37"/>
        <v>159.57943925233647</v>
      </c>
      <c r="N133" s="141">
        <f t="shared" si="37"/>
        <v>289.17878504672899</v>
      </c>
      <c r="O133" s="141">
        <f t="shared" si="37"/>
        <v>89.405140186915887</v>
      </c>
      <c r="P133" s="141">
        <f t="shared" si="37"/>
        <v>7.0969158878504679</v>
      </c>
      <c r="Q133" s="141">
        <f t="shared" si="37"/>
        <v>3.33</v>
      </c>
      <c r="R133" s="141">
        <f t="shared" si="37"/>
        <v>0.03</v>
      </c>
    </row>
    <row r="134" spans="1:38" s="99" customFormat="1" ht="15.75" customHeight="1" x14ac:dyDescent="0.25">
      <c r="A134" s="155"/>
      <c r="B134" s="131" t="s">
        <v>181</v>
      </c>
      <c r="C134" s="141">
        <f>SUM(C133:R133+C124:R124)</f>
        <v>1290</v>
      </c>
      <c r="D134" s="133">
        <f t="shared" ref="D134:R134" si="38">SUM(D133)</f>
        <v>16.459532710280371</v>
      </c>
      <c r="E134" s="133">
        <f t="shared" si="38"/>
        <v>19.962523364485982</v>
      </c>
      <c r="F134" s="133">
        <f t="shared" si="38"/>
        <v>78.113644859813093</v>
      </c>
      <c r="G134" s="133">
        <f t="shared" si="38"/>
        <v>666.09542056074781</v>
      </c>
      <c r="H134" s="133">
        <f t="shared" si="38"/>
        <v>0.4061121495327103</v>
      </c>
      <c r="I134" s="133">
        <f t="shared" si="38"/>
        <v>0.31611214953271027</v>
      </c>
      <c r="J134" s="133">
        <f t="shared" si="38"/>
        <v>33.706168224299063</v>
      </c>
      <c r="K134" s="133">
        <f t="shared" si="38"/>
        <v>0.79999999999999993</v>
      </c>
      <c r="L134" s="133">
        <f t="shared" si="38"/>
        <v>1.4705607476635514</v>
      </c>
      <c r="M134" s="133">
        <f t="shared" si="38"/>
        <v>159.57943925233647</v>
      </c>
      <c r="N134" s="133">
        <f t="shared" si="38"/>
        <v>289.17878504672899</v>
      </c>
      <c r="O134" s="133">
        <f t="shared" si="38"/>
        <v>89.405140186915887</v>
      </c>
      <c r="P134" s="133">
        <f t="shared" si="38"/>
        <v>7.0969158878504679</v>
      </c>
      <c r="Q134" s="133">
        <f t="shared" si="38"/>
        <v>3.33</v>
      </c>
      <c r="R134" s="133">
        <f t="shared" si="38"/>
        <v>0.03</v>
      </c>
    </row>
    <row r="135" spans="1:38" s="109" customFormat="1" ht="15.75" customHeight="1" x14ac:dyDescent="0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108"/>
    </row>
    <row r="136" spans="1:38" ht="15.75" customHeight="1" x14ac:dyDescent="0.25">
      <c r="A136" s="239"/>
      <c r="B136" s="169" t="s">
        <v>189</v>
      </c>
      <c r="C136" s="286" t="s">
        <v>177</v>
      </c>
      <c r="D136" s="291" t="s">
        <v>148</v>
      </c>
      <c r="E136" s="291"/>
      <c r="F136" s="291"/>
      <c r="G136" s="292" t="s">
        <v>149</v>
      </c>
      <c r="H136" s="291" t="s">
        <v>150</v>
      </c>
      <c r="I136" s="291"/>
      <c r="J136" s="291"/>
      <c r="K136" s="291"/>
      <c r="L136" s="291"/>
      <c r="M136" s="288" t="s">
        <v>151</v>
      </c>
      <c r="N136" s="289"/>
      <c r="O136" s="289"/>
      <c r="P136" s="289"/>
      <c r="Q136" s="289"/>
      <c r="R136" s="290"/>
      <c r="S136" s="149"/>
    </row>
    <row r="137" spans="1:38" ht="15.75" customHeight="1" x14ac:dyDescent="0.25">
      <c r="A137" s="284" t="s">
        <v>256</v>
      </c>
      <c r="B137" s="285"/>
      <c r="C137" s="287"/>
      <c r="D137" s="257" t="s">
        <v>0</v>
      </c>
      <c r="E137" s="257" t="s">
        <v>1</v>
      </c>
      <c r="F137" s="257" t="s">
        <v>2</v>
      </c>
      <c r="G137" s="293"/>
      <c r="H137" s="257" t="s">
        <v>41</v>
      </c>
      <c r="I137" s="257" t="s">
        <v>45</v>
      </c>
      <c r="J137" s="257" t="s">
        <v>42</v>
      </c>
      <c r="K137" s="257" t="s">
        <v>43</v>
      </c>
      <c r="L137" s="257" t="s">
        <v>44</v>
      </c>
      <c r="M137" s="257" t="s">
        <v>46</v>
      </c>
      <c r="N137" s="257" t="s">
        <v>47</v>
      </c>
      <c r="O137" s="257" t="s">
        <v>48</v>
      </c>
      <c r="P137" s="257" t="s">
        <v>49</v>
      </c>
      <c r="Q137" s="257" t="s">
        <v>100</v>
      </c>
      <c r="R137" s="257" t="s">
        <v>99</v>
      </c>
      <c r="S137" s="149"/>
    </row>
    <row r="138" spans="1:38" s="148" customFormat="1" ht="15.75" customHeight="1" x14ac:dyDescent="0.25">
      <c r="A138" s="276"/>
      <c r="B138" s="277" t="s">
        <v>279</v>
      </c>
      <c r="C138" s="278">
        <f t="shared" ref="C138:R138" si="39">C158</f>
        <v>60</v>
      </c>
      <c r="D138" s="270">
        <f t="shared" si="39"/>
        <v>0.55859999999999999</v>
      </c>
      <c r="E138" s="270">
        <f t="shared" si="39"/>
        <v>7.9799999999999996E-2</v>
      </c>
      <c r="F138" s="270">
        <f t="shared" si="39"/>
        <v>1.5162</v>
      </c>
      <c r="G138" s="271">
        <f t="shared" si="39"/>
        <v>9.0173999999999985</v>
      </c>
      <c r="H138" s="270">
        <f t="shared" si="39"/>
        <v>2.6600000000000002E-2</v>
      </c>
      <c r="I138" s="270">
        <f t="shared" si="39"/>
        <v>1.3300000000000001E-2</v>
      </c>
      <c r="J138" s="270">
        <f t="shared" si="39"/>
        <v>3.9102000000000001</v>
      </c>
      <c r="K138" s="270">
        <f t="shared" si="39"/>
        <v>0</v>
      </c>
      <c r="L138" s="270">
        <f t="shared" si="39"/>
        <v>7.9799999999999996E-2</v>
      </c>
      <c r="M138" s="270">
        <f t="shared" si="39"/>
        <v>13.565999999999999</v>
      </c>
      <c r="N138" s="270">
        <f t="shared" si="39"/>
        <v>23.94</v>
      </c>
      <c r="O138" s="270">
        <f t="shared" si="39"/>
        <v>11.172000000000001</v>
      </c>
      <c r="P138" s="270">
        <f t="shared" si="39"/>
        <v>0.39900000000000002</v>
      </c>
      <c r="Q138" s="270">
        <f t="shared" si="39"/>
        <v>0.13600000000000001</v>
      </c>
      <c r="R138" s="270">
        <f t="shared" si="39"/>
        <v>0</v>
      </c>
      <c r="S138" s="14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67"/>
    </row>
    <row r="139" spans="1:38" s="99" customFormat="1" ht="15.75" customHeight="1" x14ac:dyDescent="0.25">
      <c r="A139" s="118">
        <v>235</v>
      </c>
      <c r="B139" s="119" t="s">
        <v>280</v>
      </c>
      <c r="C139" s="191">
        <v>100</v>
      </c>
      <c r="D139" s="194">
        <v>7.66</v>
      </c>
      <c r="E139" s="194">
        <v>5.3</v>
      </c>
      <c r="F139" s="194">
        <v>5.8</v>
      </c>
      <c r="G139" s="192">
        <f t="shared" ref="G139:G144" si="40">F139*4+E139*9+D139*4</f>
        <v>101.53999999999999</v>
      </c>
      <c r="H139" s="194">
        <f>0.036*0.875</f>
        <v>3.15E-2</v>
      </c>
      <c r="I139" s="194">
        <f>0.054*0.875</f>
        <v>4.725E-2</v>
      </c>
      <c r="J139" s="194">
        <v>2.2599999999999998</v>
      </c>
      <c r="K139" s="194">
        <v>0.17</v>
      </c>
      <c r="L139" s="194">
        <v>3.11</v>
      </c>
      <c r="M139" s="194">
        <v>43.8</v>
      </c>
      <c r="N139" s="194">
        <v>115.9</v>
      </c>
      <c r="O139" s="194">
        <v>17.149999999999999</v>
      </c>
      <c r="P139" s="194">
        <v>1.48</v>
      </c>
      <c r="Q139" s="192">
        <v>0.59</v>
      </c>
      <c r="R139" s="192"/>
      <c r="S139" s="149"/>
      <c r="AL139" s="67"/>
    </row>
    <row r="140" spans="1:38" s="99" customFormat="1" ht="15.75" customHeight="1" x14ac:dyDescent="0.25">
      <c r="A140" s="118">
        <v>310</v>
      </c>
      <c r="B140" s="119" t="s">
        <v>281</v>
      </c>
      <c r="C140" s="191">
        <v>180</v>
      </c>
      <c r="D140" s="192">
        <v>3.3205</v>
      </c>
      <c r="E140" s="192">
        <v>4.8815999999999997</v>
      </c>
      <c r="F140" s="192">
        <v>26.001300000000001</v>
      </c>
      <c r="G140" s="192">
        <f t="shared" si="40"/>
        <v>161.2216</v>
      </c>
      <c r="H140" s="192">
        <v>0.16949999999999998</v>
      </c>
      <c r="I140" s="192">
        <v>0.10169999999999998</v>
      </c>
      <c r="J140" s="192">
        <v>23.729999999999997</v>
      </c>
      <c r="K140" s="192">
        <v>0</v>
      </c>
      <c r="L140" s="192">
        <v>0.22599999999999998</v>
      </c>
      <c r="M140" s="192">
        <v>62.036999999999992</v>
      </c>
      <c r="N140" s="192">
        <v>90.060999999999993</v>
      </c>
      <c r="O140" s="192">
        <v>33.108999999999995</v>
      </c>
      <c r="P140" s="192">
        <v>1.2994999999999999</v>
      </c>
      <c r="Q140" s="192">
        <v>0.66</v>
      </c>
      <c r="R140" s="192">
        <v>0</v>
      </c>
      <c r="S140" s="149"/>
      <c r="AL140" s="67"/>
    </row>
    <row r="141" spans="1:38" s="99" customFormat="1" ht="15.75" customHeight="1" x14ac:dyDescent="0.25">
      <c r="A141" s="118">
        <v>282</v>
      </c>
      <c r="B141" s="119" t="s">
        <v>282</v>
      </c>
      <c r="C141" s="191">
        <v>200</v>
      </c>
      <c r="D141" s="192">
        <v>1.04</v>
      </c>
      <c r="E141" s="192">
        <v>0.6</v>
      </c>
      <c r="F141" s="192">
        <v>10.199999999999999</v>
      </c>
      <c r="G141" s="192">
        <f t="shared" si="40"/>
        <v>50.36</v>
      </c>
      <c r="H141" s="192">
        <v>0.2</v>
      </c>
      <c r="I141" s="192">
        <v>0.4</v>
      </c>
      <c r="J141" s="192">
        <v>8</v>
      </c>
      <c r="K141" s="192">
        <v>1E-3</v>
      </c>
      <c r="L141" s="192">
        <v>11</v>
      </c>
      <c r="M141" s="192">
        <v>32</v>
      </c>
      <c r="N141" s="192">
        <v>29</v>
      </c>
      <c r="O141" s="192">
        <v>21</v>
      </c>
      <c r="P141" s="192">
        <v>6.4</v>
      </c>
      <c r="Q141" s="192">
        <v>0.78</v>
      </c>
      <c r="R141" s="192">
        <v>0.01</v>
      </c>
      <c r="S141" s="149"/>
      <c r="AL141" s="67"/>
    </row>
    <row r="142" spans="1:38" s="99" customFormat="1" ht="15.75" customHeight="1" x14ac:dyDescent="0.25">
      <c r="A142" s="222" t="s">
        <v>158</v>
      </c>
      <c r="B142" s="119" t="s">
        <v>221</v>
      </c>
      <c r="C142" s="191">
        <v>60</v>
      </c>
      <c r="D142" s="192">
        <f>1.35*2</f>
        <v>2.7</v>
      </c>
      <c r="E142" s="192">
        <f>0.172*2</f>
        <v>0.34399999999999997</v>
      </c>
      <c r="F142" s="192">
        <f>10.03*2</f>
        <v>20.059999999999999</v>
      </c>
      <c r="G142" s="192">
        <f t="shared" si="40"/>
        <v>94.135999999999996</v>
      </c>
      <c r="H142" s="192">
        <v>2.4E-2</v>
      </c>
      <c r="I142" s="192">
        <v>5.0000000000000001E-3</v>
      </c>
      <c r="J142" s="192">
        <v>0</v>
      </c>
      <c r="K142" s="192">
        <v>0</v>
      </c>
      <c r="L142" s="192">
        <v>0.42</v>
      </c>
      <c r="M142" s="192">
        <v>8</v>
      </c>
      <c r="N142" s="192">
        <v>26</v>
      </c>
      <c r="O142" s="192">
        <v>5.6</v>
      </c>
      <c r="P142" s="192">
        <v>0.4</v>
      </c>
      <c r="Q142" s="192">
        <v>0.3</v>
      </c>
      <c r="R142" s="192">
        <v>0</v>
      </c>
      <c r="S142" s="149"/>
      <c r="AL142" s="67"/>
    </row>
    <row r="143" spans="1:38" s="99" customFormat="1" ht="15.75" customHeight="1" x14ac:dyDescent="0.25">
      <c r="A143" s="222" t="s">
        <v>159</v>
      </c>
      <c r="B143" s="116" t="s">
        <v>222</v>
      </c>
      <c r="C143" s="197">
        <v>40</v>
      </c>
      <c r="D143" s="192">
        <v>1.6625000000000001</v>
      </c>
      <c r="E143" s="192">
        <v>0.3</v>
      </c>
      <c r="F143" s="192">
        <v>10.462499999999999</v>
      </c>
      <c r="G143" s="192">
        <f t="shared" si="40"/>
        <v>51.199999999999996</v>
      </c>
      <c r="H143" s="192">
        <v>0.13124999999999998</v>
      </c>
      <c r="I143" s="192">
        <v>8.7499999999999981E-2</v>
      </c>
      <c r="J143" s="192">
        <v>0.17499999999999996</v>
      </c>
      <c r="K143" s="192">
        <v>0</v>
      </c>
      <c r="L143" s="192">
        <v>0.13124999999999998</v>
      </c>
      <c r="M143" s="192">
        <v>31.937499999999996</v>
      </c>
      <c r="N143" s="192">
        <v>54.6875</v>
      </c>
      <c r="O143" s="192">
        <v>17.5</v>
      </c>
      <c r="P143" s="192">
        <v>1.2249999999999999</v>
      </c>
      <c r="Q143" s="192">
        <v>0.3</v>
      </c>
      <c r="R143" s="192">
        <v>0.02</v>
      </c>
      <c r="S143" s="149"/>
      <c r="AL143" s="67"/>
    </row>
    <row r="144" spans="1:38" s="99" customFormat="1" ht="15.75" customHeight="1" x14ac:dyDescent="0.25">
      <c r="A144" s="118"/>
      <c r="B144" s="119" t="s">
        <v>283</v>
      </c>
      <c r="C144" s="191">
        <v>20</v>
      </c>
      <c r="D144" s="192">
        <v>0.75301204819277112</v>
      </c>
      <c r="E144" s="192">
        <v>0</v>
      </c>
      <c r="F144" s="192">
        <v>15.210843373493976</v>
      </c>
      <c r="G144" s="192">
        <f t="shared" si="40"/>
        <v>63.855421686746986</v>
      </c>
      <c r="H144" s="192">
        <v>1.5060240963855423E-2</v>
      </c>
      <c r="I144" s="192">
        <v>1.5060240963855423E-2</v>
      </c>
      <c r="J144" s="192">
        <v>3.0120481927710845</v>
      </c>
      <c r="K144" s="192">
        <v>0</v>
      </c>
      <c r="L144" s="192">
        <v>0.15060240963855423</v>
      </c>
      <c r="M144" s="192">
        <v>10.542168674698795</v>
      </c>
      <c r="N144" s="192">
        <v>10.542168674698795</v>
      </c>
      <c r="O144" s="192">
        <v>6.024096385542169</v>
      </c>
      <c r="P144" s="192">
        <v>2.1084337349397591</v>
      </c>
      <c r="Q144" s="192">
        <v>0.03</v>
      </c>
      <c r="R144" s="192">
        <v>0</v>
      </c>
      <c r="S144" s="149"/>
      <c r="AL144" s="67"/>
    </row>
    <row r="145" spans="1:38" s="99" customFormat="1" ht="15.75" customHeight="1" x14ac:dyDescent="0.25">
      <c r="A145" s="245"/>
      <c r="B145" s="120"/>
      <c r="C145" s="197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49"/>
      <c r="AL145" s="67"/>
    </row>
    <row r="146" spans="1:38" s="99" customFormat="1" ht="15.75" customHeight="1" x14ac:dyDescent="0.25">
      <c r="A146" s="122"/>
      <c r="B146" s="123" t="s">
        <v>21</v>
      </c>
      <c r="C146" s="188">
        <f t="shared" ref="C146:F146" si="41">SUM(C139:C144)</f>
        <v>600</v>
      </c>
      <c r="D146" s="124">
        <f t="shared" si="41"/>
        <v>17.136012048192772</v>
      </c>
      <c r="E146" s="124">
        <f t="shared" si="41"/>
        <v>11.425599999999999</v>
      </c>
      <c r="F146" s="124">
        <f t="shared" si="41"/>
        <v>87.734643373493967</v>
      </c>
      <c r="G146" s="124">
        <f t="shared" ref="G146:R146" si="42">SUM(G139:G144)</f>
        <v>522.31302168674699</v>
      </c>
      <c r="H146" s="124">
        <f t="shared" si="42"/>
        <v>0.57131024096385541</v>
      </c>
      <c r="I146" s="124">
        <f t="shared" si="42"/>
        <v>0.65651024096385546</v>
      </c>
      <c r="J146" s="124">
        <f t="shared" si="42"/>
        <v>37.177048192771075</v>
      </c>
      <c r="K146" s="124">
        <f t="shared" si="42"/>
        <v>0.17100000000000001</v>
      </c>
      <c r="L146" s="124">
        <f t="shared" si="42"/>
        <v>15.037852409638553</v>
      </c>
      <c r="M146" s="124">
        <f t="shared" si="42"/>
        <v>188.31666867469878</v>
      </c>
      <c r="N146" s="124">
        <f t="shared" si="42"/>
        <v>326.19066867469883</v>
      </c>
      <c r="O146" s="124">
        <f t="shared" si="42"/>
        <v>100.38309638554215</v>
      </c>
      <c r="P146" s="124">
        <f t="shared" si="42"/>
        <v>12.912933734939759</v>
      </c>
      <c r="Q146" s="124">
        <f t="shared" si="42"/>
        <v>2.6599999999999997</v>
      </c>
      <c r="R146" s="124">
        <f t="shared" si="42"/>
        <v>0.03</v>
      </c>
      <c r="S146" s="149"/>
      <c r="AL146" s="67"/>
    </row>
    <row r="147" spans="1:38" s="99" customFormat="1" ht="15.75" customHeight="1" x14ac:dyDescent="0.25">
      <c r="A147" s="136"/>
      <c r="B147" s="126" t="s">
        <v>98</v>
      </c>
      <c r="C147" s="195"/>
      <c r="D147" s="196">
        <v>19.25</v>
      </c>
      <c r="E147" s="196">
        <v>19.75</v>
      </c>
      <c r="F147" s="196">
        <v>83.75</v>
      </c>
      <c r="G147" s="196">
        <v>587.5</v>
      </c>
      <c r="H147" s="196">
        <v>0.3</v>
      </c>
      <c r="I147" s="196">
        <v>0.35</v>
      </c>
      <c r="J147" s="196">
        <v>15</v>
      </c>
      <c r="K147" s="196">
        <v>0.17499999999999999</v>
      </c>
      <c r="L147" s="196">
        <v>2.5</v>
      </c>
      <c r="M147" s="196">
        <v>275</v>
      </c>
      <c r="N147" s="196">
        <v>412.5</v>
      </c>
      <c r="O147" s="196">
        <v>62.5</v>
      </c>
      <c r="P147" s="196">
        <v>3</v>
      </c>
      <c r="Q147" s="196">
        <v>2.5</v>
      </c>
      <c r="R147" s="196">
        <v>2.5000000000000001E-2</v>
      </c>
      <c r="S147" s="149"/>
      <c r="AL147" s="67"/>
    </row>
    <row r="148" spans="1:38" s="99" customFormat="1" ht="15.75" customHeight="1" x14ac:dyDescent="0.25">
      <c r="A148" s="136"/>
      <c r="B148" s="127" t="s">
        <v>178</v>
      </c>
      <c r="C148" s="195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49"/>
      <c r="AL148" s="67"/>
    </row>
    <row r="149" spans="1:38" s="99" customFormat="1" ht="15.75" customHeight="1" x14ac:dyDescent="0.25">
      <c r="A149" s="160">
        <v>128</v>
      </c>
      <c r="B149" s="116" t="s">
        <v>244</v>
      </c>
      <c r="C149" s="197">
        <v>250</v>
      </c>
      <c r="D149" s="86">
        <v>1.6</v>
      </c>
      <c r="E149" s="86">
        <v>4.8600000000000003</v>
      </c>
      <c r="F149" s="86">
        <v>8.56</v>
      </c>
      <c r="G149" s="86">
        <f>D149*4+E149*9+F149*4</f>
        <v>84.38</v>
      </c>
      <c r="H149" s="86">
        <v>0.03</v>
      </c>
      <c r="I149" s="86">
        <v>0.04</v>
      </c>
      <c r="J149" s="86">
        <v>10.93</v>
      </c>
      <c r="K149" s="86">
        <v>0</v>
      </c>
      <c r="L149" s="86">
        <v>0.5</v>
      </c>
      <c r="M149" s="86">
        <v>52.53</v>
      </c>
      <c r="N149" s="86">
        <v>46.1</v>
      </c>
      <c r="O149" s="86">
        <v>23.13</v>
      </c>
      <c r="P149" s="145">
        <v>1.1000000000000001</v>
      </c>
      <c r="Q149" s="86">
        <v>0.74</v>
      </c>
      <c r="R149" s="201">
        <v>7.0000000000000007E-2</v>
      </c>
      <c r="S149" s="149"/>
      <c r="AL149" s="67"/>
    </row>
    <row r="150" spans="1:38" s="99" customFormat="1" ht="15.75" customHeight="1" x14ac:dyDescent="0.25">
      <c r="A150" s="222">
        <v>259</v>
      </c>
      <c r="B150" s="119" t="s">
        <v>22</v>
      </c>
      <c r="C150" s="191">
        <v>200</v>
      </c>
      <c r="D150" s="86">
        <v>17.009708737864077</v>
      </c>
      <c r="E150" s="86">
        <v>15.679611650485436</v>
      </c>
      <c r="F150" s="86">
        <v>25.864077669902912</v>
      </c>
      <c r="G150" s="194">
        <f t="shared" ref="G150" si="43">F150*4+E150*9+D150*4</f>
        <v>312.61165048543688</v>
      </c>
      <c r="H150" s="86">
        <v>0.13980582524271842</v>
      </c>
      <c r="I150" s="86">
        <v>0.19805825242718447</v>
      </c>
      <c r="J150" s="86">
        <v>8.0970873786407758</v>
      </c>
      <c r="K150" s="86">
        <v>0</v>
      </c>
      <c r="L150" s="86">
        <v>10.067961165048542</v>
      </c>
      <c r="M150" s="86">
        <v>36.504854368932037</v>
      </c>
      <c r="N150" s="86">
        <v>215.95145631067962</v>
      </c>
      <c r="O150" s="86">
        <v>50.902912621359221</v>
      </c>
      <c r="P150" s="86">
        <v>4.6213592233009706</v>
      </c>
      <c r="Q150" s="211">
        <v>3.38</v>
      </c>
      <c r="R150" s="211">
        <v>0</v>
      </c>
      <c r="S150" s="149"/>
      <c r="AL150" s="67"/>
    </row>
    <row r="151" spans="1:38" s="99" customFormat="1" ht="15.75" customHeight="1" x14ac:dyDescent="0.25">
      <c r="A151" s="154"/>
      <c r="B151" s="154" t="s">
        <v>89</v>
      </c>
      <c r="C151" s="189">
        <v>200</v>
      </c>
      <c r="D151" s="86">
        <v>0.68</v>
      </c>
      <c r="E151" s="86">
        <v>0.28000000000000003</v>
      </c>
      <c r="F151" s="86">
        <v>20.76</v>
      </c>
      <c r="G151" s="86">
        <f t="shared" ref="G151:G152" si="44">D151*4+E151*9+F151*4</f>
        <v>88.28</v>
      </c>
      <c r="H151" s="86">
        <v>0.01</v>
      </c>
      <c r="I151" s="86">
        <v>0.06</v>
      </c>
      <c r="J151" s="86">
        <v>100</v>
      </c>
      <c r="K151" s="86">
        <v>0</v>
      </c>
      <c r="L151" s="86">
        <v>0</v>
      </c>
      <c r="M151" s="86">
        <v>21.34</v>
      </c>
      <c r="N151" s="86">
        <v>3.44</v>
      </c>
      <c r="O151" s="86">
        <v>3.44</v>
      </c>
      <c r="P151" s="145">
        <v>0.63400000000000001</v>
      </c>
      <c r="Q151" s="86">
        <v>0.02</v>
      </c>
      <c r="R151" s="201">
        <v>0.4</v>
      </c>
      <c r="S151" s="149"/>
      <c r="AL151" s="67"/>
    </row>
    <row r="152" spans="1:38" s="99" customFormat="1" ht="15.75" customHeight="1" x14ac:dyDescent="0.25">
      <c r="A152" s="222" t="s">
        <v>215</v>
      </c>
      <c r="B152" s="119" t="s">
        <v>223</v>
      </c>
      <c r="C152" s="197">
        <v>60</v>
      </c>
      <c r="D152" s="213">
        <v>4.05</v>
      </c>
      <c r="E152" s="213">
        <v>0.51</v>
      </c>
      <c r="F152" s="213">
        <v>30.09</v>
      </c>
      <c r="G152" s="86">
        <f t="shared" si="44"/>
        <v>141.15</v>
      </c>
      <c r="H152" s="213">
        <v>0.06</v>
      </c>
      <c r="I152" s="213" t="s">
        <v>193</v>
      </c>
      <c r="J152" s="213">
        <v>0</v>
      </c>
      <c r="K152" s="213">
        <v>0</v>
      </c>
      <c r="L152" s="213">
        <v>0.66</v>
      </c>
      <c r="M152" s="213">
        <v>12</v>
      </c>
      <c r="N152" s="213">
        <v>39</v>
      </c>
      <c r="O152" s="213">
        <v>8.4</v>
      </c>
      <c r="P152" s="213">
        <v>0.66</v>
      </c>
      <c r="Q152" s="213">
        <v>0</v>
      </c>
      <c r="R152" s="201">
        <v>0</v>
      </c>
      <c r="S152" s="149"/>
      <c r="AL152" s="67"/>
    </row>
    <row r="153" spans="1:38" s="99" customFormat="1" ht="15.75" customHeight="1" x14ac:dyDescent="0.25">
      <c r="A153" s="223" t="s">
        <v>159</v>
      </c>
      <c r="B153" s="116" t="s">
        <v>224</v>
      </c>
      <c r="C153" s="197">
        <v>40</v>
      </c>
      <c r="D153" s="199">
        <v>1.33</v>
      </c>
      <c r="E153" s="199">
        <v>0.24</v>
      </c>
      <c r="F153" s="199">
        <v>8.3699999999999992</v>
      </c>
      <c r="G153" s="86">
        <f>D153*4+E153*9+F153*4</f>
        <v>40.959999999999994</v>
      </c>
      <c r="H153" s="199">
        <v>0.11</v>
      </c>
      <c r="I153" s="199">
        <v>7.0000000000000007E-2</v>
      </c>
      <c r="J153" s="199">
        <v>0.14000000000000001</v>
      </c>
      <c r="K153" s="199">
        <v>0</v>
      </c>
      <c r="L153" s="199">
        <v>0.11</v>
      </c>
      <c r="M153" s="199">
        <v>25.55</v>
      </c>
      <c r="N153" s="199">
        <v>43.75</v>
      </c>
      <c r="O153" s="199">
        <v>14</v>
      </c>
      <c r="P153" s="202">
        <v>0.98</v>
      </c>
      <c r="Q153" s="199">
        <v>0</v>
      </c>
      <c r="R153" s="201">
        <v>0.02</v>
      </c>
      <c r="S153" s="149"/>
      <c r="AL153" s="67"/>
    </row>
    <row r="154" spans="1:38" s="99" customFormat="1" ht="15.75" customHeight="1" x14ac:dyDescent="0.25">
      <c r="A154" s="43"/>
      <c r="B154" s="43" t="s">
        <v>165</v>
      </c>
      <c r="C154" s="197">
        <v>50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149"/>
      <c r="AL154" s="67"/>
    </row>
    <row r="155" spans="1:38" s="99" customFormat="1" ht="15.75" customHeight="1" x14ac:dyDescent="0.25">
      <c r="A155" s="139"/>
      <c r="B155" s="140" t="s">
        <v>21</v>
      </c>
      <c r="C155" s="141">
        <f>SUM(C149:C154)</f>
        <v>800</v>
      </c>
      <c r="D155" s="133">
        <f t="shared" ref="D155:P155" si="45">SUM(D149:D153)</f>
        <v>24.669708737864077</v>
      </c>
      <c r="E155" s="133">
        <f t="shared" si="45"/>
        <v>21.569611650485438</v>
      </c>
      <c r="F155" s="133">
        <f t="shared" si="45"/>
        <v>93.644077669902927</v>
      </c>
      <c r="G155" s="133">
        <f t="shared" si="45"/>
        <v>667.38165048543692</v>
      </c>
      <c r="H155" s="133">
        <f t="shared" si="45"/>
        <v>0.34980582524271842</v>
      </c>
      <c r="I155" s="133">
        <f t="shared" si="45"/>
        <v>0.36805825242718448</v>
      </c>
      <c r="J155" s="133">
        <f t="shared" si="45"/>
        <v>119.16708737864077</v>
      </c>
      <c r="K155" s="133">
        <f t="shared" si="45"/>
        <v>0</v>
      </c>
      <c r="L155" s="133">
        <f t="shared" si="45"/>
        <v>11.337961165048542</v>
      </c>
      <c r="M155" s="133">
        <f t="shared" si="45"/>
        <v>147.92485436893205</v>
      </c>
      <c r="N155" s="133">
        <f t="shared" si="45"/>
        <v>348.24145631067961</v>
      </c>
      <c r="O155" s="133">
        <f t="shared" si="45"/>
        <v>99.87291262135922</v>
      </c>
      <c r="P155" s="133">
        <f t="shared" si="45"/>
        <v>7.9953592233009712</v>
      </c>
      <c r="Q155" s="133"/>
      <c r="R155" s="133">
        <f>SUM(R149:R153)</f>
        <v>0.49000000000000005</v>
      </c>
      <c r="S155" s="148"/>
      <c r="AL155" s="67"/>
    </row>
    <row r="156" spans="1:38" s="99" customFormat="1" ht="15.75" customHeight="1" x14ac:dyDescent="0.25">
      <c r="A156" s="136"/>
      <c r="B156" s="131" t="s">
        <v>181</v>
      </c>
      <c r="C156" s="189">
        <f>SUM(C155:R155)</f>
        <v>2343.0125436893204</v>
      </c>
      <c r="D156" s="86">
        <f t="shared" ref="D156:R156" si="46">SUM(D155)</f>
        <v>24.669708737864077</v>
      </c>
      <c r="E156" s="86">
        <f t="shared" si="46"/>
        <v>21.569611650485438</v>
      </c>
      <c r="F156" s="86">
        <f t="shared" si="46"/>
        <v>93.644077669902927</v>
      </c>
      <c r="G156" s="86">
        <f t="shared" si="46"/>
        <v>667.38165048543692</v>
      </c>
      <c r="H156" s="86">
        <f t="shared" si="46"/>
        <v>0.34980582524271842</v>
      </c>
      <c r="I156" s="86">
        <f t="shared" si="46"/>
        <v>0.36805825242718448</v>
      </c>
      <c r="J156" s="86">
        <f t="shared" si="46"/>
        <v>119.16708737864077</v>
      </c>
      <c r="K156" s="86">
        <f t="shared" si="46"/>
        <v>0</v>
      </c>
      <c r="L156" s="86">
        <f t="shared" si="46"/>
        <v>11.337961165048542</v>
      </c>
      <c r="M156" s="86">
        <f t="shared" si="46"/>
        <v>147.92485436893205</v>
      </c>
      <c r="N156" s="86">
        <f t="shared" si="46"/>
        <v>348.24145631067961</v>
      </c>
      <c r="O156" s="86">
        <f t="shared" si="46"/>
        <v>99.87291262135922</v>
      </c>
      <c r="P156" s="86">
        <f t="shared" si="46"/>
        <v>7.9953592233009712</v>
      </c>
      <c r="Q156" s="86">
        <f t="shared" si="46"/>
        <v>0</v>
      </c>
      <c r="R156" s="86">
        <f t="shared" si="46"/>
        <v>0.49000000000000005</v>
      </c>
      <c r="S156" s="148"/>
      <c r="AL156" s="67"/>
    </row>
    <row r="157" spans="1:38" s="99" customFormat="1" ht="15.75" customHeight="1" x14ac:dyDescent="0.25">
      <c r="A157" s="284" t="s">
        <v>257</v>
      </c>
      <c r="B157" s="285"/>
      <c r="C157" s="208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148"/>
      <c r="AL157" s="67"/>
    </row>
    <row r="158" spans="1:38" s="99" customFormat="1" ht="15.75" customHeight="1" x14ac:dyDescent="0.25">
      <c r="A158" s="118"/>
      <c r="B158" s="119" t="s">
        <v>233</v>
      </c>
      <c r="C158" s="191">
        <v>60</v>
      </c>
      <c r="D158" s="192">
        <v>0.55859999999999999</v>
      </c>
      <c r="E158" s="192">
        <v>7.9799999999999996E-2</v>
      </c>
      <c r="F158" s="192">
        <v>1.5162</v>
      </c>
      <c r="G158" s="192">
        <f>F158*4+E158*9+D158*4</f>
        <v>9.0173999999999985</v>
      </c>
      <c r="H158" s="192">
        <v>2.6600000000000002E-2</v>
      </c>
      <c r="I158" s="192">
        <v>1.3300000000000001E-2</v>
      </c>
      <c r="J158" s="192">
        <v>3.9102000000000001</v>
      </c>
      <c r="K158" s="192">
        <v>0</v>
      </c>
      <c r="L158" s="192">
        <v>7.9799999999999996E-2</v>
      </c>
      <c r="M158" s="192">
        <v>13.565999999999999</v>
      </c>
      <c r="N158" s="192">
        <v>23.94</v>
      </c>
      <c r="O158" s="192">
        <v>11.172000000000001</v>
      </c>
      <c r="P158" s="192">
        <v>0.39900000000000002</v>
      </c>
      <c r="Q158" s="211">
        <v>0.13600000000000001</v>
      </c>
      <c r="R158" s="211">
        <v>0</v>
      </c>
      <c r="S158" s="148"/>
      <c r="AL158" s="67"/>
    </row>
    <row r="159" spans="1:38" s="99" customFormat="1" ht="15.75" customHeight="1" x14ac:dyDescent="0.25">
      <c r="A159" s="118">
        <v>278</v>
      </c>
      <c r="B159" s="119" t="s">
        <v>299</v>
      </c>
      <c r="C159" s="191">
        <v>90</v>
      </c>
      <c r="D159" s="86">
        <v>4.2699999999999996</v>
      </c>
      <c r="E159" s="86">
        <v>4.7699999999999996</v>
      </c>
      <c r="F159" s="86">
        <v>5.59</v>
      </c>
      <c r="G159" s="192">
        <f t="shared" ref="G159:G164" si="47">F159*4+E159*9+D159*4</f>
        <v>82.36999999999999</v>
      </c>
      <c r="H159" s="86">
        <v>0.02</v>
      </c>
      <c r="I159" s="86">
        <v>0.03</v>
      </c>
      <c r="J159" s="86">
        <v>0.39</v>
      </c>
      <c r="K159" s="86">
        <v>0.18</v>
      </c>
      <c r="L159" s="86">
        <v>0</v>
      </c>
      <c r="M159" s="86">
        <v>15.2</v>
      </c>
      <c r="N159" s="86">
        <v>48.2</v>
      </c>
      <c r="O159" s="86">
        <v>9.99</v>
      </c>
      <c r="P159" s="86">
        <v>0.47</v>
      </c>
      <c r="Q159" s="192">
        <v>0.96</v>
      </c>
      <c r="R159" s="192">
        <v>0</v>
      </c>
      <c r="S159" s="148"/>
      <c r="AL159" s="67"/>
    </row>
    <row r="160" spans="1:38" s="99" customFormat="1" ht="15.75" customHeight="1" x14ac:dyDescent="0.25">
      <c r="A160" s="246">
        <v>265</v>
      </c>
      <c r="B160" s="119" t="s">
        <v>285</v>
      </c>
      <c r="C160" s="191">
        <v>50</v>
      </c>
      <c r="D160" s="86">
        <v>0.7</v>
      </c>
      <c r="E160" s="86">
        <v>2.4900000000000002</v>
      </c>
      <c r="F160" s="86">
        <v>2.93</v>
      </c>
      <c r="G160" s="192">
        <f t="shared" si="47"/>
        <v>36.93</v>
      </c>
      <c r="H160" s="86">
        <v>0.01</v>
      </c>
      <c r="I160" s="86">
        <v>0.01</v>
      </c>
      <c r="J160" s="86">
        <v>1.9E-2</v>
      </c>
      <c r="K160" s="86">
        <v>0.17</v>
      </c>
      <c r="L160" s="86">
        <v>0</v>
      </c>
      <c r="M160" s="86">
        <v>13.65</v>
      </c>
      <c r="N160" s="86">
        <v>11.36</v>
      </c>
      <c r="O160" s="86">
        <v>2.64</v>
      </c>
      <c r="P160" s="86">
        <v>0.1</v>
      </c>
      <c r="Q160" s="192">
        <v>0.13</v>
      </c>
      <c r="R160" s="192">
        <v>0</v>
      </c>
      <c r="S160" s="148"/>
      <c r="AL160" s="67"/>
    </row>
    <row r="161" spans="1:38" s="99" customFormat="1" ht="15.75" customHeight="1" x14ac:dyDescent="0.25">
      <c r="A161" s="118">
        <v>302</v>
      </c>
      <c r="B161" s="119" t="s">
        <v>300</v>
      </c>
      <c r="C161" s="191">
        <v>180</v>
      </c>
      <c r="D161" s="194">
        <v>7.8</v>
      </c>
      <c r="E161" s="194">
        <v>3.6</v>
      </c>
      <c r="F161" s="194">
        <v>39</v>
      </c>
      <c r="G161" s="192">
        <f t="shared" si="47"/>
        <v>219.6</v>
      </c>
      <c r="H161" s="194">
        <v>0.18</v>
      </c>
      <c r="I161" s="194">
        <v>0.1</v>
      </c>
      <c r="J161" s="194">
        <v>0</v>
      </c>
      <c r="K161" s="194">
        <v>0.35</v>
      </c>
      <c r="L161" s="194">
        <v>0.44</v>
      </c>
      <c r="M161" s="194">
        <v>23.55</v>
      </c>
      <c r="N161" s="194">
        <v>185.6</v>
      </c>
      <c r="O161" s="194">
        <v>123.9</v>
      </c>
      <c r="P161" s="194">
        <v>4.2</v>
      </c>
      <c r="Q161" s="192">
        <v>1.1000000000000001</v>
      </c>
      <c r="R161" s="192">
        <v>0</v>
      </c>
      <c r="S161" s="148"/>
      <c r="AL161" s="67"/>
    </row>
    <row r="162" spans="1:38" s="99" customFormat="1" ht="15.75" customHeight="1" x14ac:dyDescent="0.25">
      <c r="A162" s="118">
        <v>342</v>
      </c>
      <c r="B162" s="119" t="s">
        <v>301</v>
      </c>
      <c r="C162" s="191">
        <v>200</v>
      </c>
      <c r="D162" s="192">
        <v>0.6</v>
      </c>
      <c r="E162" s="192">
        <v>0.4</v>
      </c>
      <c r="F162" s="192">
        <v>10.4</v>
      </c>
      <c r="G162" s="192">
        <f t="shared" si="47"/>
        <v>47.6</v>
      </c>
      <c r="H162" s="192">
        <v>0.02</v>
      </c>
      <c r="I162" s="192">
        <v>0.04</v>
      </c>
      <c r="J162" s="192">
        <v>3.4</v>
      </c>
      <c r="K162" s="192">
        <v>0</v>
      </c>
      <c r="L162" s="192">
        <v>0.4</v>
      </c>
      <c r="M162" s="192">
        <v>21.2</v>
      </c>
      <c r="N162" s="192">
        <v>22.6</v>
      </c>
      <c r="O162" s="192">
        <v>14.6</v>
      </c>
      <c r="P162" s="192">
        <v>3.2</v>
      </c>
      <c r="Q162" s="192">
        <v>0.12</v>
      </c>
      <c r="R162" s="192">
        <v>0</v>
      </c>
      <c r="S162" s="148"/>
      <c r="AL162" s="67"/>
    </row>
    <row r="163" spans="1:38" s="99" customFormat="1" ht="15.75" customHeight="1" x14ac:dyDescent="0.25">
      <c r="A163" s="222" t="s">
        <v>158</v>
      </c>
      <c r="B163" s="119" t="s">
        <v>221</v>
      </c>
      <c r="C163" s="191">
        <v>60</v>
      </c>
      <c r="D163" s="192">
        <v>1.6625000000000001</v>
      </c>
      <c r="E163" s="192">
        <v>0.3</v>
      </c>
      <c r="F163" s="192">
        <v>10.462499999999999</v>
      </c>
      <c r="G163" s="192">
        <f t="shared" si="47"/>
        <v>51.199999999999996</v>
      </c>
      <c r="H163" s="192">
        <v>0.13124999999999998</v>
      </c>
      <c r="I163" s="192">
        <v>8.7499999999999981E-2</v>
      </c>
      <c r="J163" s="192">
        <v>0.17499999999999996</v>
      </c>
      <c r="K163" s="192">
        <v>0</v>
      </c>
      <c r="L163" s="192">
        <v>0.13124999999999998</v>
      </c>
      <c r="M163" s="192">
        <v>31.937499999999996</v>
      </c>
      <c r="N163" s="192">
        <v>54.6875</v>
      </c>
      <c r="O163" s="192">
        <v>17.5</v>
      </c>
      <c r="P163" s="192">
        <v>1.2249999999999999</v>
      </c>
      <c r="Q163" s="192">
        <v>0.3</v>
      </c>
      <c r="R163" s="192">
        <v>0.02</v>
      </c>
      <c r="S163" s="148"/>
      <c r="AL163" s="67"/>
    </row>
    <row r="164" spans="1:38" s="99" customFormat="1" ht="15.75" customHeight="1" x14ac:dyDescent="0.25">
      <c r="A164" s="222" t="s">
        <v>159</v>
      </c>
      <c r="B164" s="116" t="s">
        <v>222</v>
      </c>
      <c r="C164" s="197">
        <v>40</v>
      </c>
      <c r="D164" s="192">
        <f>1.35*2</f>
        <v>2.7</v>
      </c>
      <c r="E164" s="192">
        <f>0.172*2</f>
        <v>0.34399999999999997</v>
      </c>
      <c r="F164" s="192">
        <f>10.03*2</f>
        <v>20.059999999999999</v>
      </c>
      <c r="G164" s="192">
        <f t="shared" si="47"/>
        <v>94.135999999999996</v>
      </c>
      <c r="H164" s="192">
        <v>2.4E-2</v>
      </c>
      <c r="I164" s="192">
        <v>5.0000000000000001E-3</v>
      </c>
      <c r="J164" s="192">
        <v>0</v>
      </c>
      <c r="K164" s="192">
        <v>0</v>
      </c>
      <c r="L164" s="192">
        <v>0.42</v>
      </c>
      <c r="M164" s="192">
        <v>8</v>
      </c>
      <c r="N164" s="192">
        <v>26</v>
      </c>
      <c r="O164" s="192">
        <v>5.6</v>
      </c>
      <c r="P164" s="192">
        <v>0.4</v>
      </c>
      <c r="Q164" s="192">
        <v>0.3</v>
      </c>
      <c r="R164" s="192">
        <v>0</v>
      </c>
      <c r="S164" s="148"/>
      <c r="AL164" s="67"/>
    </row>
    <row r="165" spans="1:38" s="99" customFormat="1" ht="15.75" customHeight="1" x14ac:dyDescent="0.25">
      <c r="A165" s="175"/>
      <c r="B165" s="176"/>
      <c r="C165" s="215"/>
      <c r="D165" s="86"/>
      <c r="E165" s="86"/>
      <c r="F165" s="86"/>
      <c r="G165" s="192"/>
      <c r="H165" s="86"/>
      <c r="I165" s="86"/>
      <c r="J165" s="86"/>
      <c r="K165" s="86"/>
      <c r="L165" s="86"/>
      <c r="M165" s="86"/>
      <c r="N165" s="86"/>
      <c r="O165" s="86"/>
      <c r="P165" s="86"/>
      <c r="Q165" s="192"/>
      <c r="R165" s="192"/>
      <c r="S165" s="148"/>
      <c r="AL165" s="67"/>
    </row>
    <row r="166" spans="1:38" s="99" customFormat="1" ht="15.75" customHeight="1" x14ac:dyDescent="0.25">
      <c r="A166" s="118"/>
      <c r="B166" s="120"/>
      <c r="C166" s="197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48"/>
      <c r="AL166" s="67"/>
    </row>
    <row r="167" spans="1:38" s="99" customFormat="1" ht="15.75" customHeight="1" x14ac:dyDescent="0.25">
      <c r="A167" s="122"/>
      <c r="B167" s="137" t="s">
        <v>21</v>
      </c>
      <c r="C167" s="188">
        <f>SUM(C158:C165)</f>
        <v>680</v>
      </c>
      <c r="D167" s="124">
        <f t="shared" ref="D167:R167" si="48">SUM(D158:D165)</f>
        <v>18.2911</v>
      </c>
      <c r="E167" s="124">
        <f t="shared" si="48"/>
        <v>11.9838</v>
      </c>
      <c r="F167" s="124">
        <f t="shared" si="48"/>
        <v>89.958699999999993</v>
      </c>
      <c r="G167" s="124">
        <f t="shared" si="48"/>
        <v>540.85339999999997</v>
      </c>
      <c r="H167" s="124">
        <f t="shared" si="48"/>
        <v>0.41184999999999999</v>
      </c>
      <c r="I167" s="124">
        <f t="shared" si="48"/>
        <v>0.2858</v>
      </c>
      <c r="J167" s="124">
        <f t="shared" si="48"/>
        <v>7.8942000000000005</v>
      </c>
      <c r="K167" s="124">
        <f t="shared" si="48"/>
        <v>0.7</v>
      </c>
      <c r="L167" s="124">
        <f t="shared" si="48"/>
        <v>1.47105</v>
      </c>
      <c r="M167" s="124">
        <f t="shared" si="48"/>
        <v>127.1035</v>
      </c>
      <c r="N167" s="124">
        <f t="shared" si="48"/>
        <v>372.38750000000005</v>
      </c>
      <c r="O167" s="124">
        <f t="shared" si="48"/>
        <v>185.40199999999999</v>
      </c>
      <c r="P167" s="124">
        <f t="shared" si="48"/>
        <v>9.9939999999999998</v>
      </c>
      <c r="Q167" s="124">
        <f t="shared" si="48"/>
        <v>3.0459999999999998</v>
      </c>
      <c r="R167" s="124">
        <f t="shared" si="48"/>
        <v>0.02</v>
      </c>
      <c r="S167" s="148"/>
      <c r="AL167" s="67"/>
    </row>
    <row r="168" spans="1:38" s="99" customFormat="1" ht="15.75" customHeight="1" x14ac:dyDescent="0.25">
      <c r="A168" s="138"/>
      <c r="B168" s="126" t="s">
        <v>98</v>
      </c>
      <c r="C168" s="195"/>
      <c r="D168" s="196">
        <v>19.25</v>
      </c>
      <c r="E168" s="196">
        <v>19.75</v>
      </c>
      <c r="F168" s="196">
        <v>83.75</v>
      </c>
      <c r="G168" s="196">
        <v>587.5</v>
      </c>
      <c r="H168" s="196">
        <v>0.3</v>
      </c>
      <c r="I168" s="196">
        <v>0.35</v>
      </c>
      <c r="J168" s="196">
        <v>15</v>
      </c>
      <c r="K168" s="196">
        <v>0.17499999999999999</v>
      </c>
      <c r="L168" s="196">
        <v>2.5</v>
      </c>
      <c r="M168" s="196">
        <v>275</v>
      </c>
      <c r="N168" s="196">
        <v>412.5</v>
      </c>
      <c r="O168" s="196">
        <v>62.5</v>
      </c>
      <c r="P168" s="196">
        <v>3</v>
      </c>
      <c r="Q168" s="196">
        <v>2.5</v>
      </c>
      <c r="R168" s="196">
        <v>2.5000000000000001E-2</v>
      </c>
      <c r="S168" s="148"/>
      <c r="AL168" s="67"/>
    </row>
    <row r="169" spans="1:38" s="99" customFormat="1" ht="15.75" customHeight="1" x14ac:dyDescent="0.25">
      <c r="A169" s="138"/>
      <c r="B169" s="127" t="s">
        <v>178</v>
      </c>
      <c r="C169" s="195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48"/>
      <c r="AL169" s="67"/>
    </row>
    <row r="170" spans="1:38" s="99" customFormat="1" ht="15.75" customHeight="1" x14ac:dyDescent="0.25">
      <c r="A170" s="115"/>
      <c r="B170" s="116" t="s">
        <v>251</v>
      </c>
      <c r="C170" s="197">
        <v>100</v>
      </c>
      <c r="D170" s="194">
        <v>0.42</v>
      </c>
      <c r="E170" s="194">
        <v>0.06</v>
      </c>
      <c r="F170" s="194">
        <v>1.1399999999999999</v>
      </c>
      <c r="G170" s="194">
        <f>D170*4+E170*9+F170*4</f>
        <v>6.7799999999999994</v>
      </c>
      <c r="H170" s="194">
        <v>2.4E-2</v>
      </c>
      <c r="I170" s="194">
        <v>1.2E-2</v>
      </c>
      <c r="J170" s="194">
        <v>2.94</v>
      </c>
      <c r="K170" s="194">
        <v>0</v>
      </c>
      <c r="L170" s="194">
        <v>0</v>
      </c>
      <c r="M170" s="194">
        <v>10.199999999999999</v>
      </c>
      <c r="N170" s="194">
        <v>18</v>
      </c>
      <c r="O170" s="194">
        <v>8.4</v>
      </c>
      <c r="P170" s="194">
        <v>0.3</v>
      </c>
      <c r="Q170" s="194">
        <v>0.12</v>
      </c>
      <c r="R170" s="201">
        <v>0</v>
      </c>
      <c r="S170" s="148"/>
      <c r="AL170" s="67"/>
    </row>
    <row r="171" spans="1:38" s="99" customFormat="1" ht="15.75" customHeight="1" x14ac:dyDescent="0.25">
      <c r="A171" s="161" t="s">
        <v>198</v>
      </c>
      <c r="B171" s="162" t="s">
        <v>199</v>
      </c>
      <c r="C171" s="212">
        <v>250</v>
      </c>
      <c r="D171" s="194">
        <v>2.38</v>
      </c>
      <c r="E171" s="194">
        <v>5.077</v>
      </c>
      <c r="F171" s="194">
        <v>12.9</v>
      </c>
      <c r="G171" s="194">
        <f t="shared" ref="G171:G176" si="49">D171*4+E171*9+F171*4</f>
        <v>106.81299999999999</v>
      </c>
      <c r="H171" s="194">
        <v>5.5E-2</v>
      </c>
      <c r="I171" s="194">
        <v>2.1999999999999999E-2</v>
      </c>
      <c r="J171" s="194">
        <v>0.95</v>
      </c>
      <c r="K171" s="194">
        <v>0</v>
      </c>
      <c r="L171" s="194">
        <v>0.2</v>
      </c>
      <c r="M171" s="194">
        <v>27.3</v>
      </c>
      <c r="N171" s="194">
        <v>36.770000000000003</v>
      </c>
      <c r="O171" s="194">
        <v>15.22</v>
      </c>
      <c r="P171" s="194">
        <v>0.72</v>
      </c>
      <c r="Q171" s="194">
        <v>0.21</v>
      </c>
      <c r="R171" s="201">
        <v>0</v>
      </c>
      <c r="S171" s="148"/>
      <c r="AL171" s="67"/>
    </row>
    <row r="172" spans="1:38" s="99" customFormat="1" ht="15.75" customHeight="1" x14ac:dyDescent="0.25">
      <c r="A172" s="154">
        <v>234</v>
      </c>
      <c r="B172" s="154" t="s">
        <v>200</v>
      </c>
      <c r="C172" s="189">
        <v>90</v>
      </c>
      <c r="D172" s="194">
        <v>6.99</v>
      </c>
      <c r="E172" s="194">
        <v>5.8</v>
      </c>
      <c r="F172" s="194">
        <v>9.9700000000000006</v>
      </c>
      <c r="G172" s="194">
        <f t="shared" si="49"/>
        <v>120.03999999999999</v>
      </c>
      <c r="H172" s="194">
        <v>4.7E-2</v>
      </c>
      <c r="I172" s="194">
        <v>7.0000000000000007E-2</v>
      </c>
      <c r="J172" s="194">
        <v>0.88</v>
      </c>
      <c r="K172" s="194">
        <v>0.15</v>
      </c>
      <c r="L172" s="194">
        <v>0.4</v>
      </c>
      <c r="M172" s="194">
        <v>40.92</v>
      </c>
      <c r="N172" s="194">
        <v>92.31</v>
      </c>
      <c r="O172" s="194">
        <v>27.56</v>
      </c>
      <c r="P172" s="194">
        <v>0.77</v>
      </c>
      <c r="Q172" s="194">
        <v>0.9</v>
      </c>
      <c r="R172" s="201">
        <v>0.86</v>
      </c>
      <c r="S172" s="148"/>
      <c r="AL172" s="67"/>
    </row>
    <row r="173" spans="1:38" s="99" customFormat="1" ht="15.75" customHeight="1" x14ac:dyDescent="0.25">
      <c r="A173" s="247">
        <v>125</v>
      </c>
      <c r="B173" s="158" t="s">
        <v>84</v>
      </c>
      <c r="C173" s="212">
        <v>180</v>
      </c>
      <c r="D173" s="86">
        <v>2.67</v>
      </c>
      <c r="E173" s="86">
        <v>5.24</v>
      </c>
      <c r="F173" s="86">
        <v>18.54</v>
      </c>
      <c r="G173" s="194">
        <f t="shared" si="49"/>
        <v>132</v>
      </c>
      <c r="H173" s="86">
        <v>0.15</v>
      </c>
      <c r="I173" s="86">
        <v>0.1</v>
      </c>
      <c r="J173" s="86">
        <v>19.11</v>
      </c>
      <c r="K173" s="86">
        <v>0.08</v>
      </c>
      <c r="L173" s="86">
        <v>0</v>
      </c>
      <c r="M173" s="86">
        <v>18.100000000000001</v>
      </c>
      <c r="N173" s="86">
        <v>73.900000000000006</v>
      </c>
      <c r="O173" s="86">
        <v>26.92</v>
      </c>
      <c r="P173" s="145">
        <v>1.08</v>
      </c>
      <c r="Q173" s="86">
        <v>0.37</v>
      </c>
      <c r="R173" s="201">
        <v>0</v>
      </c>
      <c r="S173" s="163"/>
      <c r="AL173" s="67"/>
    </row>
    <row r="174" spans="1:38" s="99" customFormat="1" ht="15.75" customHeight="1" x14ac:dyDescent="0.25">
      <c r="A174" s="116">
        <v>397</v>
      </c>
      <c r="B174" s="116" t="s">
        <v>245</v>
      </c>
      <c r="C174" s="197">
        <v>200</v>
      </c>
      <c r="D174" s="199">
        <v>0.12</v>
      </c>
      <c r="E174" s="199">
        <v>0.1</v>
      </c>
      <c r="F174" s="199">
        <v>27.5</v>
      </c>
      <c r="G174" s="86">
        <f t="shared" si="49"/>
        <v>111.38</v>
      </c>
      <c r="H174" s="199">
        <v>0.01</v>
      </c>
      <c r="I174" s="199" t="s">
        <v>185</v>
      </c>
      <c r="J174" s="199">
        <v>2.0699999999999998</v>
      </c>
      <c r="K174" s="199">
        <v>0</v>
      </c>
      <c r="L174" s="199">
        <v>0</v>
      </c>
      <c r="M174" s="199">
        <v>16.2</v>
      </c>
      <c r="N174" s="199">
        <v>7.2</v>
      </c>
      <c r="O174" s="199">
        <v>7.51</v>
      </c>
      <c r="P174" s="202">
        <v>0.89</v>
      </c>
      <c r="Q174" s="199">
        <v>7.0000000000000007E-2</v>
      </c>
      <c r="R174" s="201">
        <v>0</v>
      </c>
      <c r="S174" s="148"/>
      <c r="AL174" s="67"/>
    </row>
    <row r="175" spans="1:38" s="99" customFormat="1" ht="15.75" customHeight="1" x14ac:dyDescent="0.25">
      <c r="A175" s="222" t="s">
        <v>215</v>
      </c>
      <c r="B175" s="119" t="s">
        <v>223</v>
      </c>
      <c r="C175" s="197">
        <v>60</v>
      </c>
      <c r="D175" s="213">
        <v>4.05</v>
      </c>
      <c r="E175" s="213">
        <v>0.51</v>
      </c>
      <c r="F175" s="213">
        <v>30.09</v>
      </c>
      <c r="G175" s="86">
        <f t="shared" si="49"/>
        <v>141.15</v>
      </c>
      <c r="H175" s="213">
        <v>0.06</v>
      </c>
      <c r="I175" s="213" t="s">
        <v>193</v>
      </c>
      <c r="J175" s="213">
        <v>0</v>
      </c>
      <c r="K175" s="213">
        <v>0</v>
      </c>
      <c r="L175" s="213">
        <v>0.66</v>
      </c>
      <c r="M175" s="213">
        <v>12</v>
      </c>
      <c r="N175" s="213">
        <v>39</v>
      </c>
      <c r="O175" s="213">
        <v>8.4</v>
      </c>
      <c r="P175" s="213">
        <v>0.66</v>
      </c>
      <c r="Q175" s="213">
        <v>0</v>
      </c>
      <c r="R175" s="201">
        <v>0</v>
      </c>
      <c r="S175" s="148"/>
      <c r="AL175" s="67"/>
    </row>
    <row r="176" spans="1:38" s="99" customFormat="1" ht="15.75" customHeight="1" x14ac:dyDescent="0.25">
      <c r="A176" s="223" t="s">
        <v>159</v>
      </c>
      <c r="B176" s="116" t="s">
        <v>224</v>
      </c>
      <c r="C176" s="197">
        <v>40</v>
      </c>
      <c r="D176" s="199">
        <v>2.66</v>
      </c>
      <c r="E176" s="199">
        <v>0.48</v>
      </c>
      <c r="F176" s="199">
        <v>16.739999999999998</v>
      </c>
      <c r="G176" s="194">
        <f t="shared" si="49"/>
        <v>81.919999999999987</v>
      </c>
      <c r="H176" s="199">
        <v>0.22</v>
      </c>
      <c r="I176" s="199">
        <v>0.14000000000000001</v>
      </c>
      <c r="J176" s="199">
        <v>0.28000000000000003</v>
      </c>
      <c r="K176" s="199">
        <v>0</v>
      </c>
      <c r="L176" s="199">
        <v>0.22</v>
      </c>
      <c r="M176" s="199">
        <v>51.1</v>
      </c>
      <c r="N176" s="199">
        <v>87.5</v>
      </c>
      <c r="O176" s="199">
        <v>28</v>
      </c>
      <c r="P176" s="202">
        <v>1.96</v>
      </c>
      <c r="Q176" s="199">
        <v>0</v>
      </c>
      <c r="R176" s="201">
        <v>0.04</v>
      </c>
      <c r="S176" s="148"/>
      <c r="AL176" s="67"/>
    </row>
    <row r="177" spans="1:38" s="99" customFormat="1" ht="15.75" customHeight="1" x14ac:dyDescent="0.25">
      <c r="A177" s="139"/>
      <c r="B177" s="140" t="s">
        <v>21</v>
      </c>
      <c r="C177" s="141">
        <f t="shared" ref="C177:R177" si="50">SUM(C170:C176)</f>
        <v>920</v>
      </c>
      <c r="D177" s="133">
        <f t="shared" si="50"/>
        <v>19.29</v>
      </c>
      <c r="E177" s="133">
        <f t="shared" si="50"/>
        <v>17.267000000000003</v>
      </c>
      <c r="F177" s="133">
        <f t="shared" si="50"/>
        <v>116.88</v>
      </c>
      <c r="G177" s="133">
        <f t="shared" si="50"/>
        <v>700.08299999999997</v>
      </c>
      <c r="H177" s="133">
        <f t="shared" si="50"/>
        <v>0.56600000000000006</v>
      </c>
      <c r="I177" s="133">
        <f t="shared" si="50"/>
        <v>0.34400000000000003</v>
      </c>
      <c r="J177" s="133">
        <f t="shared" si="50"/>
        <v>26.23</v>
      </c>
      <c r="K177" s="133">
        <f t="shared" si="50"/>
        <v>0.22999999999999998</v>
      </c>
      <c r="L177" s="133">
        <f t="shared" si="50"/>
        <v>1.4800000000000002</v>
      </c>
      <c r="M177" s="133">
        <f t="shared" si="50"/>
        <v>175.82000000000002</v>
      </c>
      <c r="N177" s="133">
        <f t="shared" si="50"/>
        <v>354.68</v>
      </c>
      <c r="O177" s="133">
        <f t="shared" si="50"/>
        <v>122.01</v>
      </c>
      <c r="P177" s="133">
        <f t="shared" si="50"/>
        <v>6.38</v>
      </c>
      <c r="Q177" s="133">
        <f t="shared" si="50"/>
        <v>1.6700000000000002</v>
      </c>
      <c r="R177" s="133">
        <f t="shared" si="50"/>
        <v>0.9</v>
      </c>
      <c r="S177" s="148"/>
      <c r="AL177" s="67"/>
    </row>
    <row r="178" spans="1:38" s="99" customFormat="1" ht="15.75" customHeight="1" x14ac:dyDescent="0.25">
      <c r="A178" s="138"/>
      <c r="B178" s="131" t="s">
        <v>181</v>
      </c>
      <c r="C178" s="189">
        <f>SUM(C177:R177+C167:R167)</f>
        <v>1600</v>
      </c>
      <c r="D178" s="86">
        <f t="shared" ref="D178:R178" si="51">SUM(D177)</f>
        <v>19.29</v>
      </c>
      <c r="E178" s="86">
        <f t="shared" si="51"/>
        <v>17.267000000000003</v>
      </c>
      <c r="F178" s="86">
        <f t="shared" si="51"/>
        <v>116.88</v>
      </c>
      <c r="G178" s="86">
        <f t="shared" si="51"/>
        <v>700.08299999999997</v>
      </c>
      <c r="H178" s="86">
        <f t="shared" si="51"/>
        <v>0.56600000000000006</v>
      </c>
      <c r="I178" s="86">
        <f t="shared" si="51"/>
        <v>0.34400000000000003</v>
      </c>
      <c r="J178" s="86">
        <f t="shared" si="51"/>
        <v>26.23</v>
      </c>
      <c r="K178" s="86">
        <f t="shared" si="51"/>
        <v>0.22999999999999998</v>
      </c>
      <c r="L178" s="86">
        <f t="shared" si="51"/>
        <v>1.4800000000000002</v>
      </c>
      <c r="M178" s="86">
        <f t="shared" si="51"/>
        <v>175.82000000000002</v>
      </c>
      <c r="N178" s="86">
        <f t="shared" si="51"/>
        <v>354.68</v>
      </c>
      <c r="O178" s="86">
        <f t="shared" si="51"/>
        <v>122.01</v>
      </c>
      <c r="P178" s="86">
        <f t="shared" si="51"/>
        <v>6.38</v>
      </c>
      <c r="Q178" s="86">
        <f t="shared" si="51"/>
        <v>1.6700000000000002</v>
      </c>
      <c r="R178" s="86">
        <f t="shared" si="51"/>
        <v>0.9</v>
      </c>
      <c r="S178" s="148"/>
      <c r="AL178" s="67"/>
    </row>
    <row r="179" spans="1:38" s="99" customFormat="1" ht="15.75" customHeight="1" x14ac:dyDescent="0.25">
      <c r="A179" s="241"/>
      <c r="B179" s="242"/>
      <c r="C179" s="243"/>
      <c r="D179" s="244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148"/>
      <c r="AL179" s="67"/>
    </row>
    <row r="180" spans="1:38" s="99" customFormat="1" ht="15.75" customHeight="1" x14ac:dyDescent="0.25">
      <c r="A180" s="218"/>
      <c r="B180" s="228" t="s">
        <v>189</v>
      </c>
      <c r="C180" s="303" t="s">
        <v>177</v>
      </c>
      <c r="D180" s="301" t="s">
        <v>148</v>
      </c>
      <c r="E180" s="301"/>
      <c r="F180" s="301"/>
      <c r="G180" s="304" t="s">
        <v>149</v>
      </c>
      <c r="H180" s="301" t="s">
        <v>150</v>
      </c>
      <c r="I180" s="301"/>
      <c r="J180" s="301"/>
      <c r="K180" s="301"/>
      <c r="L180" s="301"/>
      <c r="M180" s="296" t="s">
        <v>151</v>
      </c>
      <c r="N180" s="297"/>
      <c r="O180" s="297"/>
      <c r="P180" s="297"/>
      <c r="Q180" s="297"/>
      <c r="R180" s="298"/>
      <c r="S180" s="148"/>
      <c r="AL180" s="67"/>
    </row>
    <row r="181" spans="1:38" s="99" customFormat="1" ht="15.75" customHeight="1" x14ac:dyDescent="0.25">
      <c r="A181" s="284" t="s">
        <v>258</v>
      </c>
      <c r="B181" s="285"/>
      <c r="C181" s="287"/>
      <c r="D181" s="257" t="s">
        <v>0</v>
      </c>
      <c r="E181" s="257" t="s">
        <v>1</v>
      </c>
      <c r="F181" s="257" t="s">
        <v>2</v>
      </c>
      <c r="G181" s="293"/>
      <c r="H181" s="257" t="s">
        <v>41</v>
      </c>
      <c r="I181" s="257" t="s">
        <v>45</v>
      </c>
      <c r="J181" s="257" t="s">
        <v>42</v>
      </c>
      <c r="K181" s="257" t="s">
        <v>43</v>
      </c>
      <c r="L181" s="257" t="s">
        <v>44</v>
      </c>
      <c r="M181" s="257" t="s">
        <v>46</v>
      </c>
      <c r="N181" s="257" t="s">
        <v>47</v>
      </c>
      <c r="O181" s="257" t="s">
        <v>48</v>
      </c>
      <c r="P181" s="257" t="s">
        <v>49</v>
      </c>
      <c r="Q181" s="257" t="s">
        <v>100</v>
      </c>
      <c r="R181" s="257" t="s">
        <v>99</v>
      </c>
      <c r="S181" s="148"/>
      <c r="AL181" s="67"/>
    </row>
    <row r="182" spans="1:38" s="99" customFormat="1" ht="15.75" customHeight="1" x14ac:dyDescent="0.25">
      <c r="A182" s="269"/>
      <c r="B182" s="272" t="s">
        <v>284</v>
      </c>
      <c r="C182" s="191">
        <v>10</v>
      </c>
      <c r="D182" s="270"/>
      <c r="E182" s="270"/>
      <c r="F182" s="270"/>
      <c r="G182" s="271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148"/>
      <c r="AL182" s="67"/>
    </row>
    <row r="183" spans="1:38" s="99" customFormat="1" ht="15.75" customHeight="1" x14ac:dyDescent="0.25">
      <c r="A183" s="118">
        <v>222</v>
      </c>
      <c r="B183" s="119" t="s">
        <v>293</v>
      </c>
      <c r="C183" s="191">
        <v>180</v>
      </c>
      <c r="D183" s="86">
        <v>16.48</v>
      </c>
      <c r="E183" s="86">
        <v>13.92</v>
      </c>
      <c r="F183" s="86">
        <v>33.479999999999997</v>
      </c>
      <c r="G183" s="86">
        <f>F183*4+E183*9+D183*4</f>
        <v>325.12</v>
      </c>
      <c r="H183" s="86">
        <v>0.1</v>
      </c>
      <c r="I183" s="86">
        <v>0.26</v>
      </c>
      <c r="J183" s="86">
        <v>0.42</v>
      </c>
      <c r="K183" s="86">
        <v>0.83</v>
      </c>
      <c r="L183" s="86">
        <v>0</v>
      </c>
      <c r="M183" s="86">
        <v>170.72</v>
      </c>
      <c r="N183" s="86">
        <v>224.08</v>
      </c>
      <c r="O183" s="86">
        <v>29.82</v>
      </c>
      <c r="P183" s="86">
        <v>1.18</v>
      </c>
      <c r="Q183" s="192">
        <v>0.59</v>
      </c>
      <c r="R183" s="216">
        <v>0</v>
      </c>
      <c r="S183" s="148"/>
      <c r="AL183" s="67"/>
    </row>
    <row r="184" spans="1:38" s="99" customFormat="1" ht="15.75" customHeight="1" x14ac:dyDescent="0.25">
      <c r="A184" s="136">
        <v>12</v>
      </c>
      <c r="B184" s="177" t="s">
        <v>294</v>
      </c>
      <c r="C184" s="190">
        <v>30</v>
      </c>
      <c r="D184" s="192">
        <v>1.1278195488721805</v>
      </c>
      <c r="E184" s="192">
        <v>3.0075187969924809E-3</v>
      </c>
      <c r="F184" s="192">
        <v>8.5413533834586453</v>
      </c>
      <c r="G184" s="86">
        <f t="shared" ref="G184:G186" si="52">F184*4+E184*9+D184*4</f>
        <v>38.703759398496231</v>
      </c>
      <c r="H184" s="192">
        <v>7.5187969924812026E-3</v>
      </c>
      <c r="I184" s="192">
        <v>2.2556390977443608E-2</v>
      </c>
      <c r="J184" s="192">
        <v>0.15037593984962405</v>
      </c>
      <c r="K184" s="192">
        <v>0</v>
      </c>
      <c r="L184" s="192">
        <v>0</v>
      </c>
      <c r="M184" s="192">
        <v>47.669172932330824</v>
      </c>
      <c r="N184" s="192">
        <v>34.436090225563909</v>
      </c>
      <c r="O184" s="192">
        <v>5.1127819548872173</v>
      </c>
      <c r="P184" s="192">
        <v>3.007518796992481E-2</v>
      </c>
      <c r="Q184" s="192">
        <v>0.15</v>
      </c>
      <c r="R184" s="216">
        <v>0</v>
      </c>
      <c r="S184" s="148"/>
      <c r="AL184" s="67"/>
    </row>
    <row r="185" spans="1:38" s="99" customFormat="1" ht="15.75" customHeight="1" x14ac:dyDescent="0.25">
      <c r="A185" s="118">
        <v>397</v>
      </c>
      <c r="B185" s="119" t="s">
        <v>295</v>
      </c>
      <c r="C185" s="191">
        <v>200</v>
      </c>
      <c r="D185" s="194">
        <v>4.07</v>
      </c>
      <c r="E185" s="194">
        <v>3.5</v>
      </c>
      <c r="F185" s="194">
        <v>17.5</v>
      </c>
      <c r="G185" s="86">
        <f t="shared" si="52"/>
        <v>117.78</v>
      </c>
      <c r="H185" s="194">
        <f>0.28*0.18</f>
        <v>5.04E-2</v>
      </c>
      <c r="I185" s="194">
        <v>0.18</v>
      </c>
      <c r="J185" s="194">
        <v>1.57</v>
      </c>
      <c r="K185" s="194">
        <v>0.24</v>
      </c>
      <c r="L185" s="194">
        <v>0</v>
      </c>
      <c r="M185" s="194">
        <v>152.19999999999999</v>
      </c>
      <c r="N185" s="194">
        <v>124.5</v>
      </c>
      <c r="O185" s="194">
        <v>21.34</v>
      </c>
      <c r="P185" s="194">
        <v>0.47</v>
      </c>
      <c r="Q185" s="192">
        <v>0.5</v>
      </c>
      <c r="R185" s="216">
        <v>0</v>
      </c>
      <c r="S185" s="148"/>
      <c r="AL185" s="67"/>
    </row>
    <row r="186" spans="1:38" s="99" customFormat="1" ht="15.75" customHeight="1" x14ac:dyDescent="0.25">
      <c r="A186" s="222" t="s">
        <v>158</v>
      </c>
      <c r="B186" s="119" t="s">
        <v>221</v>
      </c>
      <c r="C186" s="191">
        <v>60</v>
      </c>
      <c r="D186" s="192">
        <f>1.35*2</f>
        <v>2.7</v>
      </c>
      <c r="E186" s="192">
        <f>0.172*2</f>
        <v>0.34399999999999997</v>
      </c>
      <c r="F186" s="192">
        <f>10.03*2</f>
        <v>20.059999999999999</v>
      </c>
      <c r="G186" s="192">
        <f t="shared" si="52"/>
        <v>94.135999999999996</v>
      </c>
      <c r="H186" s="192">
        <v>2.4E-2</v>
      </c>
      <c r="I186" s="192">
        <v>5.0000000000000001E-3</v>
      </c>
      <c r="J186" s="192">
        <v>0</v>
      </c>
      <c r="K186" s="192">
        <v>0</v>
      </c>
      <c r="L186" s="192">
        <v>0.42</v>
      </c>
      <c r="M186" s="192">
        <v>8</v>
      </c>
      <c r="N186" s="192">
        <v>26</v>
      </c>
      <c r="O186" s="192">
        <v>5.6</v>
      </c>
      <c r="P186" s="192">
        <v>0.4</v>
      </c>
      <c r="Q186" s="192">
        <v>0.3</v>
      </c>
      <c r="R186" s="216">
        <v>0</v>
      </c>
      <c r="S186" s="148"/>
      <c r="AL186" s="67"/>
    </row>
    <row r="187" spans="1:38" s="99" customFormat="1" ht="15.75" customHeight="1" x14ac:dyDescent="0.25">
      <c r="A187" s="118" t="str">
        <f t="shared" ref="A187:R187" si="53">A176</f>
        <v>109 пром</v>
      </c>
      <c r="B187" s="126" t="str">
        <f t="shared" si="53"/>
        <v>Хлеб ржаной (норма 30-35%) от сут. норм</v>
      </c>
      <c r="C187" s="195">
        <f t="shared" si="53"/>
        <v>40</v>
      </c>
      <c r="D187" s="196">
        <f t="shared" si="53"/>
        <v>2.66</v>
      </c>
      <c r="E187" s="196">
        <f t="shared" si="53"/>
        <v>0.48</v>
      </c>
      <c r="F187" s="196">
        <f t="shared" si="53"/>
        <v>16.739999999999998</v>
      </c>
      <c r="G187" s="196">
        <f t="shared" si="53"/>
        <v>81.919999999999987</v>
      </c>
      <c r="H187" s="196">
        <f t="shared" si="53"/>
        <v>0.22</v>
      </c>
      <c r="I187" s="196">
        <f t="shared" si="53"/>
        <v>0.14000000000000001</v>
      </c>
      <c r="J187" s="196">
        <f t="shared" si="53"/>
        <v>0.28000000000000003</v>
      </c>
      <c r="K187" s="196">
        <f t="shared" si="53"/>
        <v>0</v>
      </c>
      <c r="L187" s="196">
        <f t="shared" si="53"/>
        <v>0.22</v>
      </c>
      <c r="M187" s="196">
        <f t="shared" si="53"/>
        <v>51.1</v>
      </c>
      <c r="N187" s="196">
        <f t="shared" si="53"/>
        <v>87.5</v>
      </c>
      <c r="O187" s="196">
        <f t="shared" si="53"/>
        <v>28</v>
      </c>
      <c r="P187" s="196">
        <f t="shared" si="53"/>
        <v>1.96</v>
      </c>
      <c r="Q187" s="196">
        <f t="shared" si="53"/>
        <v>0</v>
      </c>
      <c r="R187" s="196">
        <f t="shared" si="53"/>
        <v>0.04</v>
      </c>
      <c r="S187" s="148"/>
      <c r="AL187" s="67"/>
    </row>
    <row r="188" spans="1:38" s="99" customFormat="1" ht="15.75" customHeight="1" x14ac:dyDescent="0.25">
      <c r="B188" s="99" t="s">
        <v>275</v>
      </c>
      <c r="S188" s="148"/>
      <c r="AL188" s="67"/>
    </row>
    <row r="189" spans="1:38" s="99" customFormat="1" ht="15.75" customHeight="1" x14ac:dyDescent="0.25">
      <c r="A189" s="122"/>
      <c r="B189" s="137" t="s">
        <v>21</v>
      </c>
      <c r="C189" s="188">
        <f>SUM(C178:C186)</f>
        <v>2080</v>
      </c>
      <c r="D189" s="124">
        <f>SUM(D178:D186)</f>
        <v>43.667819548872181</v>
      </c>
      <c r="E189" s="124">
        <f>SUM(E178:E186)</f>
        <v>35.034007518796997</v>
      </c>
      <c r="F189" s="124">
        <f>SUM(F178:F186)</f>
        <v>196.46135338345863</v>
      </c>
      <c r="G189" s="178">
        <f>SUM(G178:G185)</f>
        <v>1181.6867593984962</v>
      </c>
      <c r="H189" s="124">
        <f>SUM(H178:H186)</f>
        <v>0.74791879699248121</v>
      </c>
      <c r="I189" s="124">
        <f>SUM(I178:I185)</f>
        <v>0.80655639097744358</v>
      </c>
      <c r="J189" s="124">
        <f>SUM(J178:J186)</f>
        <v>28.370375939849627</v>
      </c>
      <c r="K189" s="124">
        <f>SUM(K178:K185)</f>
        <v>1.3</v>
      </c>
      <c r="L189" s="124">
        <f>SUM(L178:L186)</f>
        <v>1.9000000000000001</v>
      </c>
      <c r="M189" s="124">
        <f>SUM(M178:M186)</f>
        <v>554.40917293233088</v>
      </c>
      <c r="N189" s="124">
        <f>SUM(N178:N186)</f>
        <v>763.69609022556392</v>
      </c>
      <c r="O189" s="124">
        <f>SUM(O178:O185)</f>
        <v>178.28278195488724</v>
      </c>
      <c r="P189" s="124">
        <f>SUM(P178:P185)</f>
        <v>8.0600751879699253</v>
      </c>
      <c r="Q189" s="124">
        <f>SUM(Q178:Q186)</f>
        <v>3.21</v>
      </c>
      <c r="R189" s="124">
        <f>SUM(R178:R186)</f>
        <v>0.9</v>
      </c>
      <c r="S189" s="148"/>
      <c r="AL189" s="67"/>
    </row>
    <row r="190" spans="1:38" s="99" customFormat="1" ht="15.75" customHeight="1" x14ac:dyDescent="0.25">
      <c r="A190" s="138"/>
      <c r="B190" s="126" t="s">
        <v>98</v>
      </c>
      <c r="C190" s="195"/>
      <c r="D190" s="196">
        <v>19.25</v>
      </c>
      <c r="E190" s="196">
        <v>19.75</v>
      </c>
      <c r="F190" s="196">
        <v>83.75</v>
      </c>
      <c r="G190" s="196">
        <v>587.5</v>
      </c>
      <c r="H190" s="196">
        <v>0.3</v>
      </c>
      <c r="I190" s="196">
        <v>0.35</v>
      </c>
      <c r="J190" s="196">
        <v>15</v>
      </c>
      <c r="K190" s="196">
        <f>SUM(J178:J186)</f>
        <v>28.370375939849627</v>
      </c>
      <c r="L190" s="196">
        <v>2.5</v>
      </c>
      <c r="M190" s="196">
        <v>275</v>
      </c>
      <c r="N190" s="196">
        <v>412.5</v>
      </c>
      <c r="O190" s="196">
        <v>62.5</v>
      </c>
      <c r="P190" s="196">
        <v>3</v>
      </c>
      <c r="Q190" s="196">
        <v>2.5</v>
      </c>
      <c r="R190" s="196">
        <v>2.5000000000000001E-2</v>
      </c>
      <c r="S190" s="148"/>
      <c r="AL190" s="67"/>
    </row>
    <row r="191" spans="1:38" s="99" customFormat="1" ht="15.75" customHeight="1" x14ac:dyDescent="0.25">
      <c r="A191" s="142"/>
      <c r="B191" s="127" t="s">
        <v>178</v>
      </c>
      <c r="C191" s="190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8"/>
      <c r="AL191" s="67"/>
    </row>
    <row r="192" spans="1:38" s="99" customFormat="1" ht="15.75" customHeight="1" x14ac:dyDescent="0.25">
      <c r="A192" s="142"/>
      <c r="B192" s="250" t="s">
        <v>261</v>
      </c>
      <c r="C192" s="190">
        <v>100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6"/>
      <c r="Q192" s="144"/>
      <c r="R192" s="144"/>
      <c r="S192" s="148"/>
      <c r="AL192" s="67"/>
    </row>
    <row r="193" spans="1:38" s="99" customFormat="1" ht="15.75" customHeight="1" x14ac:dyDescent="0.25">
      <c r="A193" s="157" t="s">
        <v>201</v>
      </c>
      <c r="B193" s="154" t="s">
        <v>202</v>
      </c>
      <c r="C193" s="189">
        <v>250</v>
      </c>
      <c r="D193" s="198">
        <v>1.59</v>
      </c>
      <c r="E193" s="198">
        <v>4.9000000000000004</v>
      </c>
      <c r="F193" s="198">
        <v>9.15</v>
      </c>
      <c r="G193" s="198">
        <f t="shared" ref="G193:G194" si="54">D193*4+E193*9+F193*4</f>
        <v>87.06</v>
      </c>
      <c r="H193" s="198">
        <v>7.0000000000000007E-2</v>
      </c>
      <c r="I193" s="198">
        <v>0.05</v>
      </c>
      <c r="J193" s="198">
        <v>10.38</v>
      </c>
      <c r="K193" s="198">
        <v>0</v>
      </c>
      <c r="L193" s="198">
        <v>0.3</v>
      </c>
      <c r="M193" s="198">
        <v>34.85</v>
      </c>
      <c r="N193" s="198">
        <v>49.28</v>
      </c>
      <c r="O193" s="198">
        <v>20.75</v>
      </c>
      <c r="P193" s="200">
        <v>0.78</v>
      </c>
      <c r="Q193" s="198">
        <v>0.57999999999999996</v>
      </c>
      <c r="R193" s="201">
        <v>0.01</v>
      </c>
      <c r="S193" s="148"/>
      <c r="AL193" s="67"/>
    </row>
    <row r="194" spans="1:38" s="99" customFormat="1" ht="15.75" customHeight="1" x14ac:dyDescent="0.25">
      <c r="A194" s="157">
        <v>267</v>
      </c>
      <c r="B194" s="154" t="s">
        <v>203</v>
      </c>
      <c r="C194" s="189">
        <v>100</v>
      </c>
      <c r="D194" s="198">
        <v>13.2</v>
      </c>
      <c r="E194" s="198">
        <v>18.8</v>
      </c>
      <c r="F194" s="198">
        <v>9.1</v>
      </c>
      <c r="G194" s="198">
        <f t="shared" si="54"/>
        <v>258.39999999999998</v>
      </c>
      <c r="H194" s="198">
        <v>0.09</v>
      </c>
      <c r="I194" s="198">
        <v>0.18</v>
      </c>
      <c r="J194" s="198">
        <v>0</v>
      </c>
      <c r="K194" s="198">
        <v>0.45</v>
      </c>
      <c r="L194" s="198">
        <v>0.3</v>
      </c>
      <c r="M194" s="198">
        <v>18.329999999999998</v>
      </c>
      <c r="N194" s="198">
        <v>208.98</v>
      </c>
      <c r="O194" s="198">
        <v>32.299999999999997</v>
      </c>
      <c r="P194" s="200">
        <v>3.81</v>
      </c>
      <c r="Q194" s="198">
        <v>1.86</v>
      </c>
      <c r="R194" s="201">
        <v>0.06</v>
      </c>
      <c r="S194" s="148"/>
      <c r="AL194" s="67"/>
    </row>
    <row r="195" spans="1:38" s="99" customFormat="1" ht="15.75" customHeight="1" x14ac:dyDescent="0.25">
      <c r="A195" s="128"/>
      <c r="B195" s="116" t="s">
        <v>225</v>
      </c>
      <c r="C195" s="203">
        <v>180</v>
      </c>
      <c r="D195" s="194">
        <v>3.2</v>
      </c>
      <c r="E195" s="194">
        <v>5.2</v>
      </c>
      <c r="F195" s="194">
        <v>20.8</v>
      </c>
      <c r="G195" s="199">
        <f>D195*4+E195*9+F195*4</f>
        <v>142.80000000000001</v>
      </c>
      <c r="H195" s="194">
        <v>0.06</v>
      </c>
      <c r="I195" s="194">
        <v>0.02</v>
      </c>
      <c r="J195" s="194">
        <v>0</v>
      </c>
      <c r="K195" s="194">
        <v>0</v>
      </c>
      <c r="L195" s="198">
        <v>0.5</v>
      </c>
      <c r="M195" s="194">
        <v>26.82</v>
      </c>
      <c r="N195" s="194">
        <v>111.2</v>
      </c>
      <c r="O195" s="194">
        <v>15.99</v>
      </c>
      <c r="P195" s="194">
        <v>0.57999999999999996</v>
      </c>
      <c r="Q195" s="194">
        <v>0</v>
      </c>
      <c r="R195" s="201">
        <v>0</v>
      </c>
      <c r="S195" s="148"/>
      <c r="AL195" s="67"/>
    </row>
    <row r="196" spans="1:38" s="99" customFormat="1" ht="15.75" customHeight="1" x14ac:dyDescent="0.25">
      <c r="A196" s="154"/>
      <c r="B196" s="154" t="s">
        <v>238</v>
      </c>
      <c r="C196" s="189">
        <v>200</v>
      </c>
      <c r="D196" s="207">
        <v>1</v>
      </c>
      <c r="E196" s="207">
        <v>0</v>
      </c>
      <c r="F196" s="207">
        <v>20.200000000000003</v>
      </c>
      <c r="G196" s="199">
        <f t="shared" ref="G196" si="55">D196*4+E196*9+F196*4</f>
        <v>84.800000000000011</v>
      </c>
      <c r="H196" s="194">
        <v>2.2000000000000002E-2</v>
      </c>
      <c r="I196" s="194">
        <v>2.2000000000000002E-2</v>
      </c>
      <c r="J196" s="194">
        <v>4</v>
      </c>
      <c r="K196" s="194">
        <v>0</v>
      </c>
      <c r="L196" s="194">
        <v>0.2</v>
      </c>
      <c r="M196" s="194">
        <v>14</v>
      </c>
      <c r="N196" s="194">
        <v>14</v>
      </c>
      <c r="O196" s="194">
        <v>8</v>
      </c>
      <c r="P196" s="194">
        <v>2.8000000000000003</v>
      </c>
      <c r="Q196" s="194">
        <v>0</v>
      </c>
      <c r="R196" s="201">
        <v>0</v>
      </c>
      <c r="S196" s="148"/>
      <c r="AL196" s="67"/>
    </row>
    <row r="197" spans="1:38" s="99" customFormat="1" ht="15.75" customHeight="1" x14ac:dyDescent="0.25">
      <c r="A197" s="222" t="s">
        <v>215</v>
      </c>
      <c r="B197" s="119" t="s">
        <v>223</v>
      </c>
      <c r="C197" s="197">
        <v>60</v>
      </c>
      <c r="D197" s="213">
        <v>2.7</v>
      </c>
      <c r="E197" s="213">
        <v>0.34</v>
      </c>
      <c r="F197" s="213">
        <v>20.059999999999999</v>
      </c>
      <c r="G197" s="213">
        <v>94.1</v>
      </c>
      <c r="H197" s="213">
        <v>0.04</v>
      </c>
      <c r="I197" s="213">
        <v>0.01</v>
      </c>
      <c r="J197" s="213">
        <v>0</v>
      </c>
      <c r="K197" s="213">
        <v>0</v>
      </c>
      <c r="L197" s="213">
        <v>0.44</v>
      </c>
      <c r="M197" s="213">
        <v>8</v>
      </c>
      <c r="N197" s="213">
        <v>26</v>
      </c>
      <c r="O197" s="213">
        <v>5.6</v>
      </c>
      <c r="P197" s="213">
        <v>0.44</v>
      </c>
      <c r="Q197" s="213">
        <v>0</v>
      </c>
      <c r="R197" s="201">
        <v>0</v>
      </c>
      <c r="S197" s="148"/>
      <c r="AL197" s="67"/>
    </row>
    <row r="198" spans="1:38" s="99" customFormat="1" ht="15.75" customHeight="1" x14ac:dyDescent="0.25">
      <c r="A198" s="223" t="s">
        <v>159</v>
      </c>
      <c r="B198" s="116" t="s">
        <v>224</v>
      </c>
      <c r="C198" s="197">
        <v>40</v>
      </c>
      <c r="D198" s="199">
        <v>1.33</v>
      </c>
      <c r="E198" s="199">
        <v>0.24</v>
      </c>
      <c r="F198" s="199">
        <v>8.3699999999999992</v>
      </c>
      <c r="G198" s="86">
        <f t="shared" ref="G198" si="56">D198*4+E198*9+F198*4</f>
        <v>40.959999999999994</v>
      </c>
      <c r="H198" s="199">
        <v>0.11</v>
      </c>
      <c r="I198" s="199">
        <v>7.0000000000000007E-2</v>
      </c>
      <c r="J198" s="199">
        <v>0.14000000000000001</v>
      </c>
      <c r="K198" s="199">
        <v>0</v>
      </c>
      <c r="L198" s="199">
        <v>0.11</v>
      </c>
      <c r="M198" s="199">
        <v>25.55</v>
      </c>
      <c r="N198" s="199">
        <v>43.75</v>
      </c>
      <c r="O198" s="199">
        <v>14</v>
      </c>
      <c r="P198" s="202">
        <v>0.98</v>
      </c>
      <c r="Q198" s="199">
        <v>0</v>
      </c>
      <c r="R198" s="201">
        <v>0.02</v>
      </c>
      <c r="S198" s="148"/>
      <c r="AL198" s="67"/>
    </row>
    <row r="199" spans="1:38" s="99" customFormat="1" ht="15.75" customHeight="1" x14ac:dyDescent="0.25">
      <c r="A199" s="139"/>
      <c r="B199" s="133" t="s">
        <v>21</v>
      </c>
      <c r="C199" s="141">
        <f t="shared" ref="C199:R199" si="57">SUM(C193:C198)</f>
        <v>830</v>
      </c>
      <c r="D199" s="141">
        <f t="shared" si="57"/>
        <v>23.019999999999996</v>
      </c>
      <c r="E199" s="141">
        <f t="shared" si="57"/>
        <v>29.48</v>
      </c>
      <c r="F199" s="141">
        <f t="shared" si="57"/>
        <v>87.68</v>
      </c>
      <c r="G199" s="141">
        <f t="shared" si="57"/>
        <v>708.12</v>
      </c>
      <c r="H199" s="141">
        <f t="shared" si="57"/>
        <v>0.39199999999999996</v>
      </c>
      <c r="I199" s="141">
        <f t="shared" si="57"/>
        <v>0.35199999999999998</v>
      </c>
      <c r="J199" s="141">
        <f t="shared" si="57"/>
        <v>14.520000000000001</v>
      </c>
      <c r="K199" s="141">
        <f t="shared" si="57"/>
        <v>0.45</v>
      </c>
      <c r="L199" s="141">
        <f t="shared" si="57"/>
        <v>1.85</v>
      </c>
      <c r="M199" s="141">
        <f t="shared" si="57"/>
        <v>127.55</v>
      </c>
      <c r="N199" s="141">
        <f t="shared" si="57"/>
        <v>453.21</v>
      </c>
      <c r="O199" s="141">
        <f t="shared" si="57"/>
        <v>96.639999999999986</v>
      </c>
      <c r="P199" s="141">
        <f t="shared" si="57"/>
        <v>9.39</v>
      </c>
      <c r="Q199" s="141">
        <f t="shared" si="57"/>
        <v>2.44</v>
      </c>
      <c r="R199" s="141">
        <f t="shared" si="57"/>
        <v>0.09</v>
      </c>
      <c r="S199" s="148"/>
      <c r="AL199" s="67"/>
    </row>
    <row r="200" spans="1:38" s="99" customFormat="1" ht="15.75" customHeight="1" x14ac:dyDescent="0.25">
      <c r="A200" s="155"/>
      <c r="B200" s="131"/>
      <c r="C200" s="141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48"/>
      <c r="AL200" s="67"/>
    </row>
    <row r="201" spans="1:38" s="99" customFormat="1" ht="15.75" customHeight="1" x14ac:dyDescent="0.25">
      <c r="A201" s="138"/>
      <c r="B201" s="131" t="s">
        <v>181</v>
      </c>
      <c r="C201" s="189">
        <f>SUM(C199:R199+C189:R189)</f>
        <v>2910</v>
      </c>
      <c r="D201" s="86">
        <f t="shared" ref="D201:R201" si="58">SUM(D199)</f>
        <v>23.019999999999996</v>
      </c>
      <c r="E201" s="86">
        <f t="shared" si="58"/>
        <v>29.48</v>
      </c>
      <c r="F201" s="86">
        <f t="shared" si="58"/>
        <v>87.68</v>
      </c>
      <c r="G201" s="86">
        <f t="shared" si="58"/>
        <v>708.12</v>
      </c>
      <c r="H201" s="86">
        <f t="shared" si="58"/>
        <v>0.39199999999999996</v>
      </c>
      <c r="I201" s="86">
        <f t="shared" si="58"/>
        <v>0.35199999999999998</v>
      </c>
      <c r="J201" s="86">
        <f t="shared" si="58"/>
        <v>14.520000000000001</v>
      </c>
      <c r="K201" s="86">
        <f t="shared" si="58"/>
        <v>0.45</v>
      </c>
      <c r="L201" s="86">
        <f t="shared" si="58"/>
        <v>1.85</v>
      </c>
      <c r="M201" s="86">
        <f t="shared" si="58"/>
        <v>127.55</v>
      </c>
      <c r="N201" s="86">
        <f t="shared" si="58"/>
        <v>453.21</v>
      </c>
      <c r="O201" s="86">
        <f t="shared" si="58"/>
        <v>96.639999999999986</v>
      </c>
      <c r="P201" s="86">
        <f t="shared" si="58"/>
        <v>9.39</v>
      </c>
      <c r="Q201" s="86">
        <f t="shared" si="58"/>
        <v>2.44</v>
      </c>
      <c r="R201" s="86">
        <f t="shared" si="58"/>
        <v>0.09</v>
      </c>
      <c r="S201" s="148"/>
      <c r="AL201" s="67"/>
    </row>
    <row r="202" spans="1:38" s="99" customFormat="1" ht="15.75" customHeight="1" x14ac:dyDescent="0.25">
      <c r="A202" s="284" t="s">
        <v>259</v>
      </c>
      <c r="B202" s="285"/>
      <c r="C202" s="208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148"/>
      <c r="AL202" s="67"/>
    </row>
    <row r="203" spans="1:38" s="99" customFormat="1" ht="15.75" customHeight="1" x14ac:dyDescent="0.25">
      <c r="A203" s="118">
        <v>246</v>
      </c>
      <c r="B203" s="119" t="s">
        <v>192</v>
      </c>
      <c r="C203" s="191">
        <v>60</v>
      </c>
      <c r="D203" s="192">
        <v>0.48719999999999997</v>
      </c>
      <c r="E203" s="192">
        <v>6.9599999999999995E-2</v>
      </c>
      <c r="F203" s="192">
        <v>1.3223999999999998</v>
      </c>
      <c r="G203" s="192">
        <f>F203*4+E203*9+D203*4</f>
        <v>7.8647999999999989</v>
      </c>
      <c r="H203" s="192">
        <v>2.3199999999999998E-2</v>
      </c>
      <c r="I203" s="192">
        <v>1.1599999999999999E-2</v>
      </c>
      <c r="J203" s="192">
        <v>3.4103999999999997</v>
      </c>
      <c r="K203" s="192">
        <v>0</v>
      </c>
      <c r="L203" s="192">
        <v>6.9599999999999995E-2</v>
      </c>
      <c r="M203" s="192">
        <v>11.831999999999999</v>
      </c>
      <c r="N203" s="192">
        <v>20.88</v>
      </c>
      <c r="O203" s="192">
        <v>9.7439999999999998</v>
      </c>
      <c r="P203" s="192">
        <v>0.34799999999999998</v>
      </c>
      <c r="Q203" s="192">
        <v>0.11899999999999999</v>
      </c>
      <c r="R203" s="192">
        <v>0</v>
      </c>
      <c r="S203" s="148"/>
      <c r="AL203" s="67"/>
    </row>
    <row r="204" spans="1:38" s="99" customFormat="1" ht="15.75" customHeight="1" x14ac:dyDescent="0.25">
      <c r="A204" s="118">
        <v>297</v>
      </c>
      <c r="B204" s="119" t="s">
        <v>296</v>
      </c>
      <c r="C204" s="191">
        <v>90</v>
      </c>
      <c r="D204" s="192">
        <v>6.86</v>
      </c>
      <c r="E204" s="192">
        <v>10.24</v>
      </c>
      <c r="F204" s="192">
        <v>4.05</v>
      </c>
      <c r="G204" s="192">
        <f t="shared" ref="G204:G208" si="59">F204*4+E204*9+D204*4</f>
        <v>135.80000000000001</v>
      </c>
      <c r="H204" s="192">
        <v>0.02</v>
      </c>
      <c r="I204" s="192">
        <v>0.06</v>
      </c>
      <c r="J204" s="192">
        <v>0.51</v>
      </c>
      <c r="K204" s="192">
        <v>0.39</v>
      </c>
      <c r="L204" s="192">
        <v>2.4049999999999998</v>
      </c>
      <c r="M204" s="192">
        <v>24.21</v>
      </c>
      <c r="N204" s="192">
        <v>53.55</v>
      </c>
      <c r="O204" s="192">
        <v>7.21</v>
      </c>
      <c r="P204" s="192">
        <v>0.56999999999999995</v>
      </c>
      <c r="Q204" s="192">
        <v>1.99</v>
      </c>
      <c r="R204" s="192">
        <v>0.02</v>
      </c>
      <c r="S204" s="148"/>
      <c r="AL204" s="67"/>
    </row>
    <row r="205" spans="1:38" s="99" customFormat="1" ht="15.75" customHeight="1" x14ac:dyDescent="0.25">
      <c r="A205" s="172">
        <v>203</v>
      </c>
      <c r="B205" s="135" t="s">
        <v>75</v>
      </c>
      <c r="C205" s="210">
        <v>150</v>
      </c>
      <c r="D205" s="194">
        <v>4.1399999999999997</v>
      </c>
      <c r="E205" s="194">
        <v>5</v>
      </c>
      <c r="F205" s="194">
        <v>23.4</v>
      </c>
      <c r="G205" s="192">
        <f t="shared" si="59"/>
        <v>155.16</v>
      </c>
      <c r="H205" s="194">
        <v>0.04</v>
      </c>
      <c r="I205" s="194">
        <v>8.0000000000000002E-3</v>
      </c>
      <c r="J205" s="194">
        <v>0</v>
      </c>
      <c r="K205" s="194">
        <v>0</v>
      </c>
      <c r="L205" s="194">
        <v>0.56999999999999995</v>
      </c>
      <c r="M205" s="194">
        <v>8.1999999999999993</v>
      </c>
      <c r="N205" s="194">
        <v>27.2</v>
      </c>
      <c r="O205" s="194">
        <v>6.32</v>
      </c>
      <c r="P205" s="194">
        <v>0.62</v>
      </c>
      <c r="Q205" s="192">
        <v>0</v>
      </c>
      <c r="R205" s="192">
        <v>0</v>
      </c>
      <c r="S205" s="148"/>
      <c r="AL205" s="67"/>
    </row>
    <row r="206" spans="1:38" s="99" customFormat="1" ht="15.75" customHeight="1" x14ac:dyDescent="0.25">
      <c r="A206" s="118">
        <v>379</v>
      </c>
      <c r="B206" s="119" t="s">
        <v>92</v>
      </c>
      <c r="C206" s="191">
        <v>200</v>
      </c>
      <c r="D206" s="192">
        <v>2.9</v>
      </c>
      <c r="E206" s="192">
        <v>2.5</v>
      </c>
      <c r="F206" s="192">
        <v>14.7</v>
      </c>
      <c r="G206" s="192">
        <f t="shared" si="59"/>
        <v>92.899999999999991</v>
      </c>
      <c r="H206" s="192">
        <v>0.02</v>
      </c>
      <c r="I206" s="192">
        <v>0.13</v>
      </c>
      <c r="J206" s="192">
        <v>0.6</v>
      </c>
      <c r="K206" s="192">
        <v>0.1</v>
      </c>
      <c r="L206" s="192">
        <v>0.1</v>
      </c>
      <c r="M206" s="192">
        <v>120.3</v>
      </c>
      <c r="N206" s="192">
        <v>90</v>
      </c>
      <c r="O206" s="192">
        <v>14</v>
      </c>
      <c r="P206" s="192">
        <v>0.13</v>
      </c>
      <c r="Q206" s="192">
        <v>0.4</v>
      </c>
      <c r="R206" s="192">
        <v>0</v>
      </c>
      <c r="S206" s="148"/>
      <c r="AL206" s="67"/>
    </row>
    <row r="207" spans="1:38" s="99" customFormat="1" ht="15.75" customHeight="1" x14ac:dyDescent="0.25">
      <c r="A207" s="222" t="s">
        <v>158</v>
      </c>
      <c r="B207" s="119" t="s">
        <v>221</v>
      </c>
      <c r="C207" s="191">
        <v>60</v>
      </c>
      <c r="D207" s="192">
        <v>1.6625000000000001</v>
      </c>
      <c r="E207" s="192">
        <v>0.3</v>
      </c>
      <c r="F207" s="192">
        <v>10.462499999999999</v>
      </c>
      <c r="G207" s="192">
        <f t="shared" si="59"/>
        <v>51.199999999999996</v>
      </c>
      <c r="H207" s="192">
        <v>0.13124999999999998</v>
      </c>
      <c r="I207" s="192">
        <v>8.7499999999999981E-2</v>
      </c>
      <c r="J207" s="192">
        <v>0.17499999999999996</v>
      </c>
      <c r="K207" s="192">
        <v>0</v>
      </c>
      <c r="L207" s="192">
        <v>0.13124999999999998</v>
      </c>
      <c r="M207" s="192">
        <v>31.937499999999996</v>
      </c>
      <c r="N207" s="192">
        <v>54.6875</v>
      </c>
      <c r="O207" s="192">
        <v>17.5</v>
      </c>
      <c r="P207" s="192">
        <v>1.2249999999999999</v>
      </c>
      <c r="Q207" s="192">
        <v>0.3</v>
      </c>
      <c r="R207" s="192">
        <v>0.02</v>
      </c>
      <c r="S207" s="148"/>
      <c r="AL207" s="67"/>
    </row>
    <row r="208" spans="1:38" s="99" customFormat="1" ht="15.75" customHeight="1" x14ac:dyDescent="0.25">
      <c r="A208" s="222" t="s">
        <v>159</v>
      </c>
      <c r="B208" s="116" t="s">
        <v>222</v>
      </c>
      <c r="C208" s="197">
        <v>40</v>
      </c>
      <c r="D208" s="192">
        <f>1.35*2</f>
        <v>2.7</v>
      </c>
      <c r="E208" s="192">
        <f>0.172*2</f>
        <v>0.34399999999999997</v>
      </c>
      <c r="F208" s="192">
        <f>10.03*2</f>
        <v>20.059999999999999</v>
      </c>
      <c r="G208" s="192">
        <f t="shared" si="59"/>
        <v>94.135999999999996</v>
      </c>
      <c r="H208" s="192">
        <v>2.4E-2</v>
      </c>
      <c r="I208" s="192">
        <v>5.0000000000000001E-3</v>
      </c>
      <c r="J208" s="192">
        <v>0</v>
      </c>
      <c r="K208" s="192">
        <v>0</v>
      </c>
      <c r="L208" s="192">
        <v>0.42</v>
      </c>
      <c r="M208" s="192">
        <v>8</v>
      </c>
      <c r="N208" s="192">
        <v>26</v>
      </c>
      <c r="O208" s="192">
        <v>5.6</v>
      </c>
      <c r="P208" s="192">
        <v>0.4</v>
      </c>
      <c r="Q208" s="192">
        <v>0.3</v>
      </c>
      <c r="R208" s="192">
        <v>0</v>
      </c>
      <c r="S208" s="148"/>
      <c r="AL208" s="67"/>
    </row>
    <row r="209" spans="1:38" s="99" customFormat="1" ht="15.75" customHeight="1" x14ac:dyDescent="0.25">
      <c r="A209" s="118"/>
      <c r="B209" s="119" t="s">
        <v>276</v>
      </c>
      <c r="C209" s="197"/>
      <c r="D209" s="194"/>
      <c r="E209" s="194"/>
      <c r="F209" s="194"/>
      <c r="G209" s="199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201"/>
      <c r="S209" s="148"/>
      <c r="AL209" s="67"/>
    </row>
    <row r="210" spans="1:38" s="99" customFormat="1" ht="15.75" customHeight="1" x14ac:dyDescent="0.25">
      <c r="A210" s="118"/>
      <c r="B210" s="119"/>
      <c r="C210" s="191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48"/>
      <c r="AL210" s="67"/>
    </row>
    <row r="211" spans="1:38" s="99" customFormat="1" ht="15.75" customHeight="1" x14ac:dyDescent="0.25">
      <c r="A211" s="122"/>
      <c r="B211" s="123" t="s">
        <v>21</v>
      </c>
      <c r="C211" s="188">
        <f>SUM(C203:C210)</f>
        <v>600</v>
      </c>
      <c r="D211" s="124">
        <f>SUM(D203:D210)</f>
        <v>18.749700000000001</v>
      </c>
      <c r="E211" s="124">
        <f>SUM(E203:E210)</f>
        <v>18.453600000000002</v>
      </c>
      <c r="F211" s="124">
        <f>SUM(F203:F210)</f>
        <v>73.994899999999987</v>
      </c>
      <c r="G211" s="124">
        <f t="shared" ref="G211:R211" si="60">SUM(G203:G209)</f>
        <v>537.06079999999997</v>
      </c>
      <c r="H211" s="124">
        <f t="shared" si="60"/>
        <v>0.25845000000000001</v>
      </c>
      <c r="I211" s="124">
        <f t="shared" si="60"/>
        <v>0.30209999999999998</v>
      </c>
      <c r="J211" s="124">
        <f t="shared" si="60"/>
        <v>4.6953999999999994</v>
      </c>
      <c r="K211" s="124">
        <f t="shared" si="60"/>
        <v>0.49</v>
      </c>
      <c r="L211" s="124">
        <f t="shared" si="60"/>
        <v>3.6958499999999996</v>
      </c>
      <c r="M211" s="124">
        <f t="shared" si="60"/>
        <v>204.4795</v>
      </c>
      <c r="N211" s="124">
        <f t="shared" si="60"/>
        <v>272.3175</v>
      </c>
      <c r="O211" s="124">
        <f t="shared" si="60"/>
        <v>60.374000000000002</v>
      </c>
      <c r="P211" s="124">
        <f t="shared" si="60"/>
        <v>3.2929999999999997</v>
      </c>
      <c r="Q211" s="124">
        <f t="shared" si="60"/>
        <v>3.1089999999999995</v>
      </c>
      <c r="R211" s="124">
        <f t="shared" si="60"/>
        <v>0.04</v>
      </c>
      <c r="S211" s="148"/>
      <c r="AL211" s="67"/>
    </row>
    <row r="212" spans="1:38" s="99" customFormat="1" ht="15.75" customHeight="1" x14ac:dyDescent="0.25">
      <c r="A212" s="156"/>
      <c r="B212" s="126" t="s">
        <v>98</v>
      </c>
      <c r="C212" s="195"/>
      <c r="D212" s="196">
        <v>19.25</v>
      </c>
      <c r="E212" s="196">
        <v>19.75</v>
      </c>
      <c r="F212" s="196">
        <v>83.75</v>
      </c>
      <c r="G212" s="196">
        <v>587.5</v>
      </c>
      <c r="H212" s="196">
        <v>0.3</v>
      </c>
      <c r="I212" s="196">
        <v>0.35</v>
      </c>
      <c r="J212" s="196">
        <v>15</v>
      </c>
      <c r="K212" s="196">
        <v>0.17499999999999999</v>
      </c>
      <c r="L212" s="196">
        <v>2.5</v>
      </c>
      <c r="M212" s="196">
        <v>275</v>
      </c>
      <c r="N212" s="196">
        <v>412.5</v>
      </c>
      <c r="O212" s="196">
        <v>62.5</v>
      </c>
      <c r="P212" s="196">
        <v>3</v>
      </c>
      <c r="Q212" s="196">
        <v>2.5</v>
      </c>
      <c r="R212" s="196">
        <v>2.5000000000000001E-2</v>
      </c>
      <c r="S212" s="148"/>
      <c r="AL212" s="67"/>
    </row>
    <row r="213" spans="1:38" s="99" customFormat="1" ht="15.75" customHeight="1" x14ac:dyDescent="0.25">
      <c r="A213" s="142"/>
      <c r="B213" s="127" t="s">
        <v>178</v>
      </c>
      <c r="C213" s="190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8"/>
      <c r="AL213" s="67"/>
    </row>
    <row r="214" spans="1:38" s="99" customFormat="1" ht="15.75" customHeight="1" x14ac:dyDescent="0.25">
      <c r="A214" s="142">
        <v>246</v>
      </c>
      <c r="B214" s="221" t="s">
        <v>217</v>
      </c>
      <c r="C214" s="193">
        <v>100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6"/>
      <c r="Q214" s="144"/>
      <c r="R214" s="144"/>
      <c r="S214" s="148"/>
      <c r="AL214" s="67"/>
    </row>
    <row r="215" spans="1:38" s="99" customFormat="1" ht="15.75" customHeight="1" x14ac:dyDescent="0.25">
      <c r="A215" s="164">
        <v>128</v>
      </c>
      <c r="B215" s="153" t="s">
        <v>206</v>
      </c>
      <c r="C215" s="203">
        <v>250</v>
      </c>
      <c r="D215" s="86">
        <v>1.8</v>
      </c>
      <c r="E215" s="86">
        <v>4.92</v>
      </c>
      <c r="F215" s="86">
        <v>10.93</v>
      </c>
      <c r="G215" s="86">
        <f t="shared" ref="G215:G221" si="61">D215*4+E215*9+F215*4</f>
        <v>95.2</v>
      </c>
      <c r="H215" s="86">
        <v>0.05</v>
      </c>
      <c r="I215" s="86">
        <v>0.05</v>
      </c>
      <c r="J215" s="86">
        <v>10.68</v>
      </c>
      <c r="K215" s="86">
        <v>0</v>
      </c>
      <c r="L215" s="86">
        <v>0.5</v>
      </c>
      <c r="M215" s="86">
        <v>49.73</v>
      </c>
      <c r="N215" s="86">
        <v>54.6</v>
      </c>
      <c r="O215" s="86">
        <v>26.13</v>
      </c>
      <c r="P215" s="145">
        <v>1.23</v>
      </c>
      <c r="Q215" s="86">
        <v>0.74</v>
      </c>
      <c r="R215" s="201">
        <v>7.0000000000000007E-2</v>
      </c>
      <c r="S215" s="148"/>
      <c r="AL215" s="67"/>
    </row>
    <row r="216" spans="1:38" s="99" customFormat="1" ht="15.75" customHeight="1" x14ac:dyDescent="0.25">
      <c r="A216" s="116">
        <v>250</v>
      </c>
      <c r="B216" s="116" t="s">
        <v>218</v>
      </c>
      <c r="C216" s="197">
        <v>100</v>
      </c>
      <c r="D216" s="86">
        <v>12.5</v>
      </c>
      <c r="E216" s="86">
        <v>6.4</v>
      </c>
      <c r="F216" s="86">
        <v>1.3</v>
      </c>
      <c r="G216" s="86">
        <f t="shared" si="61"/>
        <v>112.8</v>
      </c>
      <c r="H216" s="86">
        <v>2.7E-2</v>
      </c>
      <c r="I216" s="86">
        <v>4.5999999999999999E-2</v>
      </c>
      <c r="J216" s="86">
        <v>1.1299999999999999</v>
      </c>
      <c r="K216" s="86">
        <v>0.3</v>
      </c>
      <c r="L216" s="86">
        <v>0.5</v>
      </c>
      <c r="M216" s="86">
        <v>74.63</v>
      </c>
      <c r="N216" s="86">
        <v>89</v>
      </c>
      <c r="O216" s="86">
        <v>26.85</v>
      </c>
      <c r="P216" s="145">
        <v>0.53</v>
      </c>
      <c r="Q216" s="86">
        <v>0.67</v>
      </c>
      <c r="R216" s="201">
        <v>0</v>
      </c>
      <c r="S216" s="148"/>
      <c r="AL216" s="67"/>
    </row>
    <row r="217" spans="1:38" s="99" customFormat="1" ht="15.75" customHeight="1" x14ac:dyDescent="0.25">
      <c r="A217" s="128">
        <v>205</v>
      </c>
      <c r="B217" s="153" t="s">
        <v>246</v>
      </c>
      <c r="C217" s="203">
        <v>180</v>
      </c>
      <c r="D217" s="194">
        <v>4.3099999999999996</v>
      </c>
      <c r="E217" s="194">
        <v>4.99</v>
      </c>
      <c r="F217" s="194">
        <v>23.77</v>
      </c>
      <c r="G217" s="86">
        <f t="shared" si="61"/>
        <v>157.23000000000002</v>
      </c>
      <c r="H217" s="194">
        <v>0.06</v>
      </c>
      <c r="I217" s="194">
        <v>0.03</v>
      </c>
      <c r="J217" s="194">
        <v>2.2599999999999998</v>
      </c>
      <c r="K217" s="194">
        <v>0</v>
      </c>
      <c r="L217" s="86">
        <v>0.05</v>
      </c>
      <c r="M217" s="194">
        <v>16.18</v>
      </c>
      <c r="N217" s="194">
        <v>42.4</v>
      </c>
      <c r="O217" s="194">
        <v>14.45</v>
      </c>
      <c r="P217" s="194">
        <v>0.86</v>
      </c>
      <c r="Q217" s="194">
        <v>0.95</v>
      </c>
      <c r="R217" s="201">
        <v>0</v>
      </c>
      <c r="S217" s="148"/>
      <c r="AL217" s="67"/>
    </row>
    <row r="218" spans="1:38" s="99" customFormat="1" ht="15.75" customHeight="1" x14ac:dyDescent="0.25">
      <c r="A218" s="129">
        <v>392</v>
      </c>
      <c r="B218" s="116" t="s">
        <v>89</v>
      </c>
      <c r="C218" s="197">
        <v>200</v>
      </c>
      <c r="D218" s="86">
        <v>7.0000000000000007E-2</v>
      </c>
      <c r="E218" s="86">
        <v>0.02</v>
      </c>
      <c r="F218" s="86">
        <v>10.06</v>
      </c>
      <c r="G218" s="86">
        <f t="shared" si="61"/>
        <v>40.700000000000003</v>
      </c>
      <c r="H218" s="86">
        <v>0</v>
      </c>
      <c r="I218" s="86">
        <v>0</v>
      </c>
      <c r="J218" s="86">
        <v>0.03</v>
      </c>
      <c r="K218" s="86">
        <v>0</v>
      </c>
      <c r="L218" s="86">
        <v>0</v>
      </c>
      <c r="M218" s="86">
        <v>11.1</v>
      </c>
      <c r="N218" s="86">
        <v>2.8</v>
      </c>
      <c r="O218" s="86">
        <v>1.4</v>
      </c>
      <c r="P218" s="145">
        <v>0.28000000000000003</v>
      </c>
      <c r="Q218" s="86">
        <v>0</v>
      </c>
      <c r="R218" s="201">
        <v>0</v>
      </c>
      <c r="S218" s="148"/>
      <c r="AL218" s="67"/>
    </row>
    <row r="219" spans="1:38" s="99" customFormat="1" ht="15.75" customHeight="1" x14ac:dyDescent="0.25">
      <c r="A219" s="222" t="s">
        <v>215</v>
      </c>
      <c r="B219" s="119" t="s">
        <v>223</v>
      </c>
      <c r="C219" s="197">
        <v>60</v>
      </c>
      <c r="D219" s="213">
        <v>4.05</v>
      </c>
      <c r="E219" s="213">
        <v>0.51</v>
      </c>
      <c r="F219" s="213">
        <v>30.09</v>
      </c>
      <c r="G219" s="86">
        <f t="shared" si="61"/>
        <v>141.15</v>
      </c>
      <c r="H219" s="213">
        <v>0.06</v>
      </c>
      <c r="I219" s="213">
        <v>1.4999999999999999E-2</v>
      </c>
      <c r="J219" s="213">
        <v>0</v>
      </c>
      <c r="K219" s="213">
        <v>0</v>
      </c>
      <c r="L219" s="213">
        <v>0.66</v>
      </c>
      <c r="M219" s="213">
        <v>12</v>
      </c>
      <c r="N219" s="213">
        <v>39</v>
      </c>
      <c r="O219" s="213">
        <v>8.4</v>
      </c>
      <c r="P219" s="213">
        <v>0.66</v>
      </c>
      <c r="Q219" s="213">
        <v>0</v>
      </c>
      <c r="R219" s="201">
        <v>0</v>
      </c>
      <c r="S219" s="148"/>
      <c r="AL219" s="67"/>
    </row>
    <row r="220" spans="1:38" s="99" customFormat="1" ht="15.75" customHeight="1" x14ac:dyDescent="0.25">
      <c r="A220" s="223" t="s">
        <v>159</v>
      </c>
      <c r="B220" s="116" t="s">
        <v>224</v>
      </c>
      <c r="C220" s="197">
        <v>40</v>
      </c>
      <c r="D220" s="199">
        <v>1.33</v>
      </c>
      <c r="E220" s="199">
        <v>0.24</v>
      </c>
      <c r="F220" s="199">
        <v>8.3699999999999992</v>
      </c>
      <c r="G220" s="86">
        <f t="shared" si="61"/>
        <v>40.959999999999994</v>
      </c>
      <c r="H220" s="199">
        <v>0.11</v>
      </c>
      <c r="I220" s="199">
        <v>7.0000000000000007E-2</v>
      </c>
      <c r="J220" s="199">
        <v>0.14000000000000001</v>
      </c>
      <c r="K220" s="199">
        <v>0</v>
      </c>
      <c r="L220" s="199">
        <v>0.11</v>
      </c>
      <c r="M220" s="199">
        <v>25.55</v>
      </c>
      <c r="N220" s="199">
        <v>43.75</v>
      </c>
      <c r="O220" s="199">
        <v>14</v>
      </c>
      <c r="P220" s="202">
        <v>0.98</v>
      </c>
      <c r="Q220" s="199">
        <v>0</v>
      </c>
      <c r="R220" s="201">
        <v>0.2</v>
      </c>
      <c r="S220" s="148"/>
      <c r="AL220" s="67"/>
    </row>
    <row r="221" spans="1:38" s="99" customFormat="1" ht="15.75" customHeight="1" x14ac:dyDescent="0.25">
      <c r="A221" s="160"/>
      <c r="B221" s="116" t="s">
        <v>216</v>
      </c>
      <c r="C221" s="197">
        <v>40</v>
      </c>
      <c r="D221" s="86">
        <f>6.8*0.32</f>
        <v>2.1760000000000002</v>
      </c>
      <c r="E221" s="86">
        <f>32.4*0.35</f>
        <v>11.339999999999998</v>
      </c>
      <c r="F221" s="86">
        <f>65.6*0.35</f>
        <v>22.959999999999997</v>
      </c>
      <c r="G221" s="86">
        <f t="shared" si="61"/>
        <v>202.60399999999998</v>
      </c>
      <c r="H221" s="86">
        <v>0.04</v>
      </c>
      <c r="I221" s="86">
        <v>0.06</v>
      </c>
      <c r="J221" s="86">
        <v>0</v>
      </c>
      <c r="K221" s="86">
        <v>0.2797</v>
      </c>
      <c r="L221" s="86">
        <f>7.7*0.45</f>
        <v>3.4650000000000003</v>
      </c>
      <c r="M221" s="86">
        <v>10.14</v>
      </c>
      <c r="N221" s="86">
        <v>37.590000000000003</v>
      </c>
      <c r="O221" s="86">
        <v>7.69</v>
      </c>
      <c r="P221" s="145">
        <v>0.64</v>
      </c>
      <c r="Q221" s="86">
        <v>0</v>
      </c>
      <c r="R221" s="201">
        <v>0</v>
      </c>
      <c r="S221" s="148"/>
      <c r="AL221" s="67"/>
    </row>
    <row r="222" spans="1:38" s="99" customFormat="1" ht="15.75" customHeight="1" x14ac:dyDescent="0.25">
      <c r="A222" s="155"/>
      <c r="B222" s="133" t="s">
        <v>21</v>
      </c>
      <c r="C222" s="141">
        <f t="shared" ref="C222:R222" si="62">SUM(C215:C221)</f>
        <v>870</v>
      </c>
      <c r="D222" s="133">
        <f t="shared" si="62"/>
        <v>26.236000000000004</v>
      </c>
      <c r="E222" s="133">
        <f t="shared" si="62"/>
        <v>28.42</v>
      </c>
      <c r="F222" s="133">
        <f t="shared" si="62"/>
        <v>107.48</v>
      </c>
      <c r="G222" s="133">
        <f t="shared" si="62"/>
        <v>790.64400000000001</v>
      </c>
      <c r="H222" s="133">
        <f t="shared" si="62"/>
        <v>0.34699999999999998</v>
      </c>
      <c r="I222" s="133">
        <f t="shared" si="62"/>
        <v>0.27100000000000002</v>
      </c>
      <c r="J222" s="133">
        <f t="shared" si="62"/>
        <v>14.239999999999998</v>
      </c>
      <c r="K222" s="133">
        <f t="shared" si="62"/>
        <v>0.57969999999999999</v>
      </c>
      <c r="L222" s="133">
        <f t="shared" si="62"/>
        <v>5.2850000000000001</v>
      </c>
      <c r="M222" s="133">
        <f t="shared" si="62"/>
        <v>199.32999999999998</v>
      </c>
      <c r="N222" s="133">
        <f t="shared" si="62"/>
        <v>309.14</v>
      </c>
      <c r="O222" s="133">
        <f t="shared" si="62"/>
        <v>98.920000000000016</v>
      </c>
      <c r="P222" s="133">
        <f t="shared" si="62"/>
        <v>5.1800000000000006</v>
      </c>
      <c r="Q222" s="133">
        <f t="shared" si="62"/>
        <v>2.3600000000000003</v>
      </c>
      <c r="R222" s="133">
        <f t="shared" si="62"/>
        <v>0.27</v>
      </c>
      <c r="S222" s="148"/>
      <c r="AL222" s="67"/>
    </row>
    <row r="223" spans="1:38" s="99" customFormat="1" ht="15.75" customHeight="1" x14ac:dyDescent="0.25">
      <c r="A223" s="155"/>
      <c r="B223" s="131" t="s">
        <v>181</v>
      </c>
      <c r="C223" s="141">
        <f>SUM(C211:R211+C222:R222)</f>
        <v>1470</v>
      </c>
      <c r="D223" s="133">
        <f t="shared" ref="D223:R223" si="63">SUM(D222)</f>
        <v>26.236000000000004</v>
      </c>
      <c r="E223" s="133">
        <f t="shared" si="63"/>
        <v>28.42</v>
      </c>
      <c r="F223" s="133">
        <f t="shared" si="63"/>
        <v>107.48</v>
      </c>
      <c r="G223" s="133">
        <f t="shared" si="63"/>
        <v>790.64400000000001</v>
      </c>
      <c r="H223" s="133">
        <f t="shared" si="63"/>
        <v>0.34699999999999998</v>
      </c>
      <c r="I223" s="133">
        <f t="shared" si="63"/>
        <v>0.27100000000000002</v>
      </c>
      <c r="J223" s="133">
        <f t="shared" si="63"/>
        <v>14.239999999999998</v>
      </c>
      <c r="K223" s="133">
        <f t="shared" si="63"/>
        <v>0.57969999999999999</v>
      </c>
      <c r="L223" s="133">
        <f t="shared" si="63"/>
        <v>5.2850000000000001</v>
      </c>
      <c r="M223" s="133">
        <f t="shared" si="63"/>
        <v>199.32999999999998</v>
      </c>
      <c r="N223" s="133">
        <f t="shared" si="63"/>
        <v>309.14</v>
      </c>
      <c r="O223" s="133">
        <f t="shared" si="63"/>
        <v>98.920000000000016</v>
      </c>
      <c r="P223" s="133">
        <f t="shared" si="63"/>
        <v>5.1800000000000006</v>
      </c>
      <c r="Q223" s="133">
        <f t="shared" si="63"/>
        <v>2.3600000000000003</v>
      </c>
      <c r="R223" s="133">
        <f t="shared" si="63"/>
        <v>0.27</v>
      </c>
      <c r="S223" s="148"/>
      <c r="AL223" s="67"/>
    </row>
    <row r="224" spans="1:38" s="99" customFormat="1" ht="15.75" customHeight="1" x14ac:dyDescent="0.25">
      <c r="A224" s="156"/>
      <c r="B224" s="284" t="s">
        <v>260</v>
      </c>
      <c r="C224" s="285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48"/>
      <c r="AL224" s="67"/>
    </row>
    <row r="225" spans="1:38" s="99" customFormat="1" ht="15.75" customHeight="1" x14ac:dyDescent="0.25">
      <c r="A225" s="156"/>
      <c r="B225" s="154" t="s">
        <v>265</v>
      </c>
      <c r="C225" s="275">
        <v>100</v>
      </c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48"/>
      <c r="AL225" s="67"/>
    </row>
    <row r="226" spans="1:38" s="99" customFormat="1" ht="15.75" customHeight="1" x14ac:dyDescent="0.25">
      <c r="A226" s="156"/>
      <c r="B226" s="174" t="s">
        <v>262</v>
      </c>
      <c r="C226" s="275">
        <v>230</v>
      </c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48"/>
      <c r="AL226" s="67"/>
    </row>
    <row r="227" spans="1:38" s="99" customFormat="1" ht="15.75" customHeight="1" x14ac:dyDescent="0.25">
      <c r="A227" s="156"/>
      <c r="B227" s="174" t="s">
        <v>38</v>
      </c>
      <c r="C227" s="275">
        <v>200</v>
      </c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48"/>
      <c r="AL227" s="67"/>
    </row>
    <row r="228" spans="1:38" s="99" customFormat="1" ht="15.75" customHeight="1" x14ac:dyDescent="0.25">
      <c r="A228" s="222" t="s">
        <v>215</v>
      </c>
      <c r="B228" s="119" t="s">
        <v>223</v>
      </c>
      <c r="C228" s="197">
        <v>60</v>
      </c>
      <c r="D228" s="213">
        <v>4.05</v>
      </c>
      <c r="E228" s="213">
        <v>0.51</v>
      </c>
      <c r="F228" s="213">
        <v>30.09</v>
      </c>
      <c r="G228" s="86">
        <f t="shared" ref="G228:G230" si="64">D228*4+E228*9+F228*4</f>
        <v>141.15</v>
      </c>
      <c r="H228" s="213">
        <v>0.06</v>
      </c>
      <c r="I228" s="213">
        <v>1.4999999999999999E-2</v>
      </c>
      <c r="J228" s="213">
        <v>0</v>
      </c>
      <c r="K228" s="213">
        <v>0</v>
      </c>
      <c r="L228" s="213">
        <v>0.66</v>
      </c>
      <c r="M228" s="213">
        <v>12</v>
      </c>
      <c r="N228" s="213">
        <v>39</v>
      </c>
      <c r="O228" s="213">
        <v>8.4</v>
      </c>
      <c r="P228" s="213">
        <v>0.66</v>
      </c>
      <c r="Q228" s="213">
        <v>0</v>
      </c>
      <c r="R228" s="201">
        <v>0</v>
      </c>
      <c r="S228" s="148"/>
      <c r="AL228" s="67"/>
    </row>
    <row r="229" spans="1:38" s="99" customFormat="1" ht="15.75" customHeight="1" x14ac:dyDescent="0.25">
      <c r="A229" s="223" t="s">
        <v>159</v>
      </c>
      <c r="B229" s="116" t="s">
        <v>224</v>
      </c>
      <c r="C229" s="197">
        <v>40</v>
      </c>
      <c r="D229" s="199">
        <v>1.33</v>
      </c>
      <c r="E229" s="199">
        <v>0.24</v>
      </c>
      <c r="F229" s="199">
        <v>8.3699999999999992</v>
      </c>
      <c r="G229" s="86">
        <f t="shared" si="64"/>
        <v>40.959999999999994</v>
      </c>
      <c r="H229" s="199">
        <v>0.11</v>
      </c>
      <c r="I229" s="199">
        <v>7.0000000000000007E-2</v>
      </c>
      <c r="J229" s="199">
        <v>0.14000000000000001</v>
      </c>
      <c r="K229" s="199">
        <v>0</v>
      </c>
      <c r="L229" s="199">
        <v>0.11</v>
      </c>
      <c r="M229" s="199">
        <v>25.55</v>
      </c>
      <c r="N229" s="199">
        <v>43.75</v>
      </c>
      <c r="O229" s="199">
        <v>14</v>
      </c>
      <c r="P229" s="202">
        <v>0.98</v>
      </c>
      <c r="Q229" s="199">
        <v>0</v>
      </c>
      <c r="R229" s="201">
        <v>0.2</v>
      </c>
      <c r="S229" s="148"/>
      <c r="AL229" s="67"/>
    </row>
    <row r="230" spans="1:38" s="99" customFormat="1" ht="15.75" customHeight="1" x14ac:dyDescent="0.25">
      <c r="A230" s="160"/>
      <c r="B230" s="116" t="s">
        <v>216</v>
      </c>
      <c r="C230" s="197">
        <v>40</v>
      </c>
      <c r="D230" s="86">
        <f>6.8*0.32</f>
        <v>2.1760000000000002</v>
      </c>
      <c r="E230" s="86">
        <f>32.4*0.35</f>
        <v>11.339999999999998</v>
      </c>
      <c r="F230" s="86">
        <f>65.6*0.35</f>
        <v>22.959999999999997</v>
      </c>
      <c r="G230" s="86">
        <f t="shared" si="64"/>
        <v>202.60399999999998</v>
      </c>
      <c r="H230" s="86">
        <v>0.04</v>
      </c>
      <c r="I230" s="86">
        <v>0.06</v>
      </c>
      <c r="J230" s="86">
        <v>0</v>
      </c>
      <c r="K230" s="86">
        <v>0.2797</v>
      </c>
      <c r="L230" s="86">
        <f>7.7*0.45</f>
        <v>3.4650000000000003</v>
      </c>
      <c r="M230" s="86">
        <v>10.14</v>
      </c>
      <c r="N230" s="86">
        <v>37.590000000000003</v>
      </c>
      <c r="O230" s="86">
        <v>7.69</v>
      </c>
      <c r="P230" s="145">
        <v>0.64</v>
      </c>
      <c r="Q230" s="86">
        <v>0</v>
      </c>
      <c r="R230" s="201">
        <v>0</v>
      </c>
      <c r="S230" s="148"/>
      <c r="AL230" s="67"/>
    </row>
    <row r="231" spans="1:38" s="99" customFormat="1" ht="15.75" customHeight="1" x14ac:dyDescent="0.25">
      <c r="A231" s="155"/>
      <c r="B231" s="133" t="s">
        <v>21</v>
      </c>
      <c r="C231" s="141">
        <f t="shared" ref="C231:R231" si="65">SUM(C223:C230)</f>
        <v>2140</v>
      </c>
      <c r="D231" s="133">
        <f t="shared" si="65"/>
        <v>33.792000000000009</v>
      </c>
      <c r="E231" s="133">
        <f t="shared" si="65"/>
        <v>40.51</v>
      </c>
      <c r="F231" s="133">
        <f t="shared" si="65"/>
        <v>168.9</v>
      </c>
      <c r="G231" s="133">
        <f t="shared" si="65"/>
        <v>1175.3579999999999</v>
      </c>
      <c r="H231" s="133">
        <f t="shared" si="65"/>
        <v>0.55700000000000005</v>
      </c>
      <c r="I231" s="133">
        <f t="shared" si="65"/>
        <v>0.41600000000000004</v>
      </c>
      <c r="J231" s="133">
        <f t="shared" si="65"/>
        <v>14.379999999999999</v>
      </c>
      <c r="K231" s="133">
        <f t="shared" si="65"/>
        <v>0.85939999999999994</v>
      </c>
      <c r="L231" s="133">
        <f t="shared" si="65"/>
        <v>9.5200000000000014</v>
      </c>
      <c r="M231" s="133">
        <f t="shared" si="65"/>
        <v>247.01999999999998</v>
      </c>
      <c r="N231" s="133">
        <f t="shared" si="65"/>
        <v>429.48</v>
      </c>
      <c r="O231" s="133">
        <f t="shared" si="65"/>
        <v>129.01000000000002</v>
      </c>
      <c r="P231" s="133">
        <f t="shared" si="65"/>
        <v>7.46</v>
      </c>
      <c r="Q231" s="133">
        <f t="shared" si="65"/>
        <v>2.3600000000000003</v>
      </c>
      <c r="R231" s="133">
        <f t="shared" si="65"/>
        <v>0.47000000000000003</v>
      </c>
      <c r="S231" s="148"/>
      <c r="AL231" s="67"/>
    </row>
    <row r="232" spans="1:38" s="99" customFormat="1" ht="15.75" customHeight="1" x14ac:dyDescent="0.25">
      <c r="A232" s="179"/>
      <c r="B232" s="180"/>
      <c r="C232" s="86"/>
      <c r="D232" s="291" t="s">
        <v>148</v>
      </c>
      <c r="E232" s="291"/>
      <c r="F232" s="291"/>
      <c r="G232" s="300" t="s">
        <v>149</v>
      </c>
      <c r="H232" s="302" t="s">
        <v>150</v>
      </c>
      <c r="I232" s="302"/>
      <c r="J232" s="302"/>
      <c r="K232" s="302"/>
      <c r="L232" s="302"/>
      <c r="M232" s="302" t="s">
        <v>147</v>
      </c>
      <c r="N232" s="302"/>
      <c r="O232" s="302"/>
      <c r="P232" s="302"/>
      <c r="Q232" s="258"/>
      <c r="R232" s="165"/>
      <c r="S232" s="148"/>
      <c r="AL232" s="67"/>
    </row>
    <row r="233" spans="1:38" s="99" customFormat="1" ht="15.75" customHeight="1" x14ac:dyDescent="0.25">
      <c r="A233" s="179"/>
      <c r="B233" s="117"/>
      <c r="C233" s="86"/>
      <c r="D233" s="257" t="s">
        <v>0</v>
      </c>
      <c r="E233" s="257" t="s">
        <v>1</v>
      </c>
      <c r="F233" s="257" t="s">
        <v>2</v>
      </c>
      <c r="G233" s="301"/>
      <c r="H233" s="258" t="s">
        <v>41</v>
      </c>
      <c r="I233" s="258" t="s">
        <v>45</v>
      </c>
      <c r="J233" s="258" t="s">
        <v>42</v>
      </c>
      <c r="K233" s="258" t="s">
        <v>43</v>
      </c>
      <c r="L233" s="258" t="s">
        <v>44</v>
      </c>
      <c r="M233" s="257" t="s">
        <v>46</v>
      </c>
      <c r="N233" s="257" t="s">
        <v>47</v>
      </c>
      <c r="O233" s="257" t="s">
        <v>48</v>
      </c>
      <c r="P233" s="257" t="s">
        <v>49</v>
      </c>
      <c r="Q233" s="257" t="s">
        <v>100</v>
      </c>
      <c r="R233" s="257" t="s">
        <v>99</v>
      </c>
      <c r="S233" s="148"/>
      <c r="AL233" s="67"/>
    </row>
    <row r="234" spans="1:38" s="99" customFormat="1" ht="15.75" customHeight="1" x14ac:dyDescent="0.25">
      <c r="A234" s="179"/>
      <c r="B234" s="117" t="s">
        <v>104</v>
      </c>
      <c r="C234" s="192"/>
      <c r="D234" s="86">
        <v>77</v>
      </c>
      <c r="E234" s="86">
        <v>79</v>
      </c>
      <c r="F234" s="86">
        <v>335</v>
      </c>
      <c r="G234" s="171">
        <v>2350</v>
      </c>
      <c r="H234" s="86">
        <v>1.2</v>
      </c>
      <c r="I234" s="86">
        <v>1.4</v>
      </c>
      <c r="J234" s="86">
        <v>60</v>
      </c>
      <c r="K234" s="86">
        <v>0.7</v>
      </c>
      <c r="L234" s="86">
        <v>10</v>
      </c>
      <c r="M234" s="86">
        <v>1100</v>
      </c>
      <c r="N234" s="86">
        <v>1650</v>
      </c>
      <c r="O234" s="86">
        <v>250</v>
      </c>
      <c r="P234" s="86">
        <v>12</v>
      </c>
      <c r="Q234" s="86">
        <v>10</v>
      </c>
      <c r="R234" s="86">
        <v>0.1</v>
      </c>
      <c r="S234" s="148"/>
      <c r="AL234" s="67"/>
    </row>
    <row r="235" spans="1:38" s="99" customFormat="1" ht="15.75" customHeight="1" x14ac:dyDescent="0.25">
      <c r="A235" s="179"/>
      <c r="B235" s="182" t="s">
        <v>97</v>
      </c>
      <c r="C235" s="182"/>
      <c r="D235" s="182">
        <f>D234*0.25</f>
        <v>19.25</v>
      </c>
      <c r="E235" s="182">
        <f t="shared" ref="E235:R235" si="66">E234*0.25</f>
        <v>19.75</v>
      </c>
      <c r="F235" s="182">
        <f t="shared" si="66"/>
        <v>83.75</v>
      </c>
      <c r="G235" s="182">
        <f t="shared" si="66"/>
        <v>587.5</v>
      </c>
      <c r="H235" s="182">
        <f t="shared" si="66"/>
        <v>0.3</v>
      </c>
      <c r="I235" s="182">
        <f t="shared" si="66"/>
        <v>0.35</v>
      </c>
      <c r="J235" s="182">
        <f t="shared" si="66"/>
        <v>15</v>
      </c>
      <c r="K235" s="182">
        <f t="shared" si="66"/>
        <v>0.17499999999999999</v>
      </c>
      <c r="L235" s="182">
        <f t="shared" si="66"/>
        <v>2.5</v>
      </c>
      <c r="M235" s="182">
        <f t="shared" si="66"/>
        <v>275</v>
      </c>
      <c r="N235" s="182">
        <f t="shared" si="66"/>
        <v>412.5</v>
      </c>
      <c r="O235" s="182">
        <f t="shared" si="66"/>
        <v>62.5</v>
      </c>
      <c r="P235" s="182">
        <f t="shared" si="66"/>
        <v>3</v>
      </c>
      <c r="Q235" s="182">
        <f t="shared" si="66"/>
        <v>2.5</v>
      </c>
      <c r="R235" s="182">
        <f t="shared" si="66"/>
        <v>2.5000000000000001E-2</v>
      </c>
      <c r="S235" s="148"/>
      <c r="AL235" s="67"/>
    </row>
    <row r="236" spans="1:38" s="99" customFormat="1" ht="15.75" customHeight="1" x14ac:dyDescent="0.25">
      <c r="A236" s="179"/>
      <c r="B236" s="117"/>
      <c r="C236" s="192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148"/>
      <c r="AL236" s="67"/>
    </row>
    <row r="237" spans="1:38" s="99" customFormat="1" ht="15.75" customHeight="1" x14ac:dyDescent="0.25">
      <c r="A237" s="183"/>
      <c r="B237" s="184" t="s">
        <v>101</v>
      </c>
      <c r="C237" s="185"/>
      <c r="D237" s="185">
        <f t="shared" ref="D237:R237" si="67">(D213+D191+D167+D146+D124+D95+D73+D53+D32+D23)/10</f>
        <v>14.790641204819277</v>
      </c>
      <c r="E237" s="185">
        <f t="shared" si="67"/>
        <v>15.327790000000002</v>
      </c>
      <c r="F237" s="185">
        <f t="shared" si="67"/>
        <v>50.526304337349394</v>
      </c>
      <c r="G237" s="185">
        <f t="shared" si="67"/>
        <v>407.81589216867468</v>
      </c>
      <c r="H237" s="185">
        <f t="shared" si="67"/>
        <v>0.30239502409638552</v>
      </c>
      <c r="I237" s="185">
        <f t="shared" si="67"/>
        <v>0.34739302409638551</v>
      </c>
      <c r="J237" s="185">
        <f t="shared" si="67"/>
        <v>16.020164819277106</v>
      </c>
      <c r="K237" s="185">
        <f t="shared" si="67"/>
        <v>0.94589999999999996</v>
      </c>
      <c r="L237" s="185">
        <f t="shared" si="67"/>
        <v>4.0689452409638553</v>
      </c>
      <c r="M237" s="185">
        <f t="shared" si="67"/>
        <v>146.57145686746986</v>
      </c>
      <c r="N237" s="185">
        <f t="shared" si="67"/>
        <v>272.66572686746986</v>
      </c>
      <c r="O237" s="185">
        <f t="shared" si="67"/>
        <v>80.296539638554208</v>
      </c>
      <c r="P237" s="185">
        <f t="shared" si="67"/>
        <v>8.2877073734939763</v>
      </c>
      <c r="Q237" s="185">
        <f t="shared" si="67"/>
        <v>2.0981999999999998</v>
      </c>
      <c r="R237" s="185">
        <f t="shared" si="67"/>
        <v>7.6099999999999987E-2</v>
      </c>
      <c r="S237" s="148"/>
      <c r="AL237" s="67"/>
    </row>
    <row r="238" spans="1:38" s="99" customFormat="1" ht="15.75" customHeight="1" x14ac:dyDescent="0.25">
      <c r="A238" s="156"/>
      <c r="B238" s="186"/>
      <c r="C238" s="18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48"/>
      <c r="AL238" s="67"/>
    </row>
    <row r="239" spans="1:38" s="99" customFormat="1" ht="15.75" customHeight="1" x14ac:dyDescent="0.25">
      <c r="A239" s="102"/>
      <c r="B239" s="103"/>
      <c r="C239" s="66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5"/>
      <c r="S239" s="148"/>
      <c r="AL239" s="67"/>
    </row>
    <row r="240" spans="1:38" s="99" customFormat="1" ht="15.75" customHeight="1" x14ac:dyDescent="0.25">
      <c r="A240" s="110"/>
      <c r="B240" s="111"/>
      <c r="S240" s="148"/>
      <c r="AL240" s="67"/>
    </row>
    <row r="241" spans="1:38" s="99" customFormat="1" ht="15.75" customHeight="1" x14ac:dyDescent="0.25">
      <c r="A241" s="110"/>
      <c r="B241" s="111"/>
      <c r="S241" s="148"/>
      <c r="AL241" s="67"/>
    </row>
    <row r="242" spans="1:38" s="99" customFormat="1" ht="15.75" customHeight="1" x14ac:dyDescent="0.25">
      <c r="A242" s="110"/>
      <c r="B242" s="111"/>
      <c r="S242" s="148"/>
      <c r="AL242" s="67"/>
    </row>
    <row r="243" spans="1:38" s="99" customFormat="1" ht="15.75" customHeight="1" x14ac:dyDescent="0.25">
      <c r="A243" s="110"/>
      <c r="B243" s="111"/>
      <c r="S243" s="148"/>
      <c r="AL243" s="67"/>
    </row>
    <row r="244" spans="1:38" s="99" customFormat="1" ht="15.75" customHeight="1" x14ac:dyDescent="0.25">
      <c r="A244" s="110"/>
      <c r="B244" s="111"/>
      <c r="S244" s="148"/>
      <c r="AL244" s="67"/>
    </row>
    <row r="245" spans="1:38" s="99" customFormat="1" ht="15.75" customHeight="1" x14ac:dyDescent="0.25">
      <c r="A245" s="110"/>
      <c r="B245" s="111"/>
      <c r="S245" s="148"/>
      <c r="AL245" s="67"/>
    </row>
    <row r="246" spans="1:38" s="99" customFormat="1" ht="15.75" customHeight="1" x14ac:dyDescent="0.25">
      <c r="A246" s="110"/>
      <c r="B246" s="111"/>
      <c r="S246" s="148"/>
      <c r="AL246" s="67"/>
    </row>
    <row r="247" spans="1:38" s="99" customFormat="1" ht="15.75" customHeight="1" x14ac:dyDescent="0.25">
      <c r="A247" s="110"/>
      <c r="B247" s="111"/>
      <c r="S247" s="148"/>
      <c r="AL247" s="67"/>
    </row>
    <row r="248" spans="1:38" s="99" customFormat="1" ht="15.75" customHeight="1" x14ac:dyDescent="0.25">
      <c r="A248" s="110"/>
      <c r="B248" s="111"/>
      <c r="S248" s="148"/>
      <c r="AL248" s="67"/>
    </row>
    <row r="249" spans="1:38" s="99" customFormat="1" ht="15.75" customHeight="1" x14ac:dyDescent="0.25">
      <c r="A249" s="110"/>
      <c r="B249" s="111"/>
      <c r="S249" s="148"/>
      <c r="AL249" s="67"/>
    </row>
    <row r="250" spans="1:38" s="99" customFormat="1" ht="15.75" customHeight="1" x14ac:dyDescent="0.25">
      <c r="A250" s="110"/>
      <c r="B250" s="111"/>
      <c r="S250" s="148"/>
      <c r="AL250" s="67"/>
    </row>
    <row r="251" spans="1:38" s="99" customFormat="1" ht="15.75" customHeight="1" x14ac:dyDescent="0.25">
      <c r="A251" s="110"/>
      <c r="B251" s="111"/>
      <c r="S251" s="148"/>
      <c r="AL251" s="67"/>
    </row>
    <row r="252" spans="1:38" s="99" customFormat="1" ht="15.75" customHeight="1" x14ac:dyDescent="0.25">
      <c r="A252" s="110"/>
      <c r="B252" s="111"/>
      <c r="S252" s="148"/>
      <c r="AL252" s="67"/>
    </row>
    <row r="253" spans="1:38" s="99" customFormat="1" ht="15.75" customHeight="1" x14ac:dyDescent="0.25">
      <c r="A253" s="110"/>
      <c r="B253" s="111"/>
      <c r="S253" s="148"/>
      <c r="AL253" s="67"/>
    </row>
    <row r="254" spans="1:38" s="99" customFormat="1" ht="15.75" customHeight="1" x14ac:dyDescent="0.25">
      <c r="A254" s="110"/>
      <c r="B254" s="111"/>
      <c r="S254" s="148"/>
      <c r="AL254" s="67"/>
    </row>
    <row r="255" spans="1:38" s="99" customFormat="1" ht="15.75" customHeight="1" x14ac:dyDescent="0.25">
      <c r="A255" s="110"/>
      <c r="B255" s="111"/>
      <c r="S255" s="148"/>
      <c r="AL255" s="67"/>
    </row>
    <row r="256" spans="1:38" s="99" customFormat="1" ht="15.75" customHeight="1" x14ac:dyDescent="0.25">
      <c r="A256" s="110"/>
      <c r="B256" s="111"/>
      <c r="S256" s="148"/>
      <c r="AL256" s="67"/>
    </row>
    <row r="257" spans="1:38" s="99" customFormat="1" ht="15.75" customHeight="1" x14ac:dyDescent="0.25">
      <c r="A257" s="110"/>
      <c r="B257" s="111"/>
      <c r="S257" s="148"/>
      <c r="AL257" s="67"/>
    </row>
    <row r="258" spans="1:38" s="99" customFormat="1" ht="15.75" customHeight="1" x14ac:dyDescent="0.25">
      <c r="A258" s="110"/>
      <c r="B258" s="111"/>
      <c r="S258" s="148"/>
      <c r="AL258" s="67"/>
    </row>
    <row r="259" spans="1:38" s="99" customFormat="1" ht="15.75" customHeight="1" x14ac:dyDescent="0.25">
      <c r="A259" s="110"/>
      <c r="B259" s="111"/>
      <c r="S259" s="148"/>
      <c r="AL259" s="67"/>
    </row>
    <row r="260" spans="1:38" s="99" customFormat="1" ht="15.75" customHeight="1" x14ac:dyDescent="0.25">
      <c r="A260" s="110"/>
      <c r="B260" s="111"/>
      <c r="S260" s="148"/>
      <c r="AL260" s="67"/>
    </row>
    <row r="261" spans="1:38" s="99" customFormat="1" ht="15.75" customHeight="1" x14ac:dyDescent="0.25">
      <c r="A261" s="110"/>
      <c r="B261" s="111"/>
      <c r="S261" s="148"/>
      <c r="AL261" s="67"/>
    </row>
    <row r="262" spans="1:38" s="99" customFormat="1" ht="15.75" customHeight="1" x14ac:dyDescent="0.25">
      <c r="A262" s="110"/>
      <c r="B262" s="111"/>
      <c r="S262" s="148"/>
      <c r="AL262" s="67"/>
    </row>
    <row r="263" spans="1:38" s="99" customFormat="1" ht="15.75" customHeight="1" x14ac:dyDescent="0.25">
      <c r="A263" s="110"/>
      <c r="B263" s="111"/>
      <c r="S263" s="148"/>
      <c r="AL263" s="67"/>
    </row>
    <row r="264" spans="1:38" s="99" customFormat="1" ht="15.75" customHeight="1" x14ac:dyDescent="0.25">
      <c r="A264" s="110"/>
      <c r="B264" s="111"/>
      <c r="S264" s="148"/>
      <c r="AL264" s="67"/>
    </row>
    <row r="265" spans="1:38" s="99" customFormat="1" ht="15.75" customHeight="1" x14ac:dyDescent="0.25">
      <c r="A265" s="110"/>
      <c r="B265" s="111"/>
      <c r="S265" s="148"/>
      <c r="AL265" s="67"/>
    </row>
    <row r="266" spans="1:38" s="99" customFormat="1" ht="15.75" customHeight="1" x14ac:dyDescent="0.25">
      <c r="A266" s="110"/>
      <c r="B266" s="111"/>
      <c r="S266" s="148"/>
      <c r="AL266" s="67"/>
    </row>
    <row r="267" spans="1:38" s="99" customFormat="1" ht="15.75" customHeight="1" x14ac:dyDescent="0.25">
      <c r="A267" s="110"/>
      <c r="B267" s="111"/>
      <c r="S267" s="148"/>
      <c r="AL267" s="67"/>
    </row>
    <row r="268" spans="1:38" s="99" customFormat="1" ht="15.75" customHeight="1" x14ac:dyDescent="0.25">
      <c r="A268" s="110"/>
      <c r="B268" s="111"/>
      <c r="S268" s="148"/>
      <c r="AL268" s="67"/>
    </row>
    <row r="269" spans="1:38" s="99" customFormat="1" ht="15.75" customHeight="1" x14ac:dyDescent="0.25">
      <c r="A269" s="110"/>
      <c r="B269" s="111"/>
      <c r="S269" s="148"/>
      <c r="AL269" s="67"/>
    </row>
    <row r="270" spans="1:38" s="99" customFormat="1" ht="15.75" customHeight="1" x14ac:dyDescent="0.25">
      <c r="A270" s="110"/>
      <c r="B270" s="111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8"/>
      <c r="AL270" s="67"/>
    </row>
    <row r="271" spans="1:38" s="99" customFormat="1" ht="15.75" customHeight="1" x14ac:dyDescent="0.25">
      <c r="A271" s="110"/>
      <c r="B271" s="111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8"/>
      <c r="AL271" s="67"/>
    </row>
    <row r="272" spans="1:38" s="99" customFormat="1" ht="15.75" customHeight="1" x14ac:dyDescent="0.25">
      <c r="A272" s="110"/>
      <c r="B272" s="111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8"/>
      <c r="AL272" s="67"/>
    </row>
    <row r="273" spans="1:38" s="99" customFormat="1" ht="15.75" customHeight="1" x14ac:dyDescent="0.25">
      <c r="A273" s="110"/>
      <c r="B273" s="111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8"/>
      <c r="AL273" s="67"/>
    </row>
    <row r="274" spans="1:38" s="99" customFormat="1" ht="15.75" customHeight="1" x14ac:dyDescent="0.25">
      <c r="A274" s="110"/>
      <c r="B274" s="111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8"/>
      <c r="AL274" s="67"/>
    </row>
    <row r="275" spans="1:38" s="99" customFormat="1" ht="15.75" customHeight="1" x14ac:dyDescent="0.25">
      <c r="A275" s="110"/>
      <c r="B275" s="111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8"/>
      <c r="AL275" s="67"/>
    </row>
    <row r="276" spans="1:38" s="99" customFormat="1" ht="15.75" customHeight="1" x14ac:dyDescent="0.25">
      <c r="A276" s="110"/>
      <c r="B276" s="111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8"/>
      <c r="AL276" s="67"/>
    </row>
    <row r="277" spans="1:38" s="99" customFormat="1" ht="15.75" customHeight="1" x14ac:dyDescent="0.25">
      <c r="A277" s="110"/>
      <c r="B277" s="111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8"/>
      <c r="AL277" s="67"/>
    </row>
    <row r="278" spans="1:38" s="99" customFormat="1" ht="15.75" customHeight="1" x14ac:dyDescent="0.25">
      <c r="A278" s="110"/>
      <c r="B278" s="111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8"/>
      <c r="AL278" s="67"/>
    </row>
    <row r="279" spans="1:38" s="99" customFormat="1" ht="15.75" customHeight="1" x14ac:dyDescent="0.25">
      <c r="A279" s="110"/>
      <c r="B279" s="111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8"/>
      <c r="AL279" s="67"/>
    </row>
    <row r="280" spans="1:38" s="99" customFormat="1" ht="15.75" customHeight="1" x14ac:dyDescent="0.25">
      <c r="A280" s="110"/>
      <c r="B280" s="111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8"/>
      <c r="AL280" s="67"/>
    </row>
    <row r="281" spans="1:38" s="99" customFormat="1" ht="15.75" customHeight="1" x14ac:dyDescent="0.25">
      <c r="A281" s="110"/>
      <c r="B281" s="111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8"/>
      <c r="AL281" s="67"/>
    </row>
    <row r="282" spans="1:38" s="99" customFormat="1" ht="15.75" customHeight="1" x14ac:dyDescent="0.25">
      <c r="A282" s="110"/>
      <c r="B282" s="111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8"/>
      <c r="AL282" s="67"/>
    </row>
    <row r="283" spans="1:38" s="99" customFormat="1" ht="15.75" customHeight="1" x14ac:dyDescent="0.25">
      <c r="A283" s="110"/>
      <c r="B283" s="111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8"/>
      <c r="AL283" s="67"/>
    </row>
    <row r="284" spans="1:38" s="99" customFormat="1" ht="15.75" customHeight="1" x14ac:dyDescent="0.25">
      <c r="A284" s="110"/>
      <c r="B284" s="111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8"/>
      <c r="AL284" s="67"/>
    </row>
    <row r="285" spans="1:38" s="99" customFormat="1" ht="15.75" customHeight="1" x14ac:dyDescent="0.25">
      <c r="A285" s="110"/>
      <c r="B285" s="111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8"/>
      <c r="AL285" s="67"/>
    </row>
    <row r="286" spans="1:38" s="99" customFormat="1" ht="15.75" customHeight="1" x14ac:dyDescent="0.25">
      <c r="A286" s="110"/>
      <c r="B286" s="111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8"/>
      <c r="AL286" s="67"/>
    </row>
    <row r="287" spans="1:38" s="99" customFormat="1" ht="15.75" customHeight="1" x14ac:dyDescent="0.25">
      <c r="A287" s="110"/>
      <c r="B287" s="111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8"/>
      <c r="AL287" s="67"/>
    </row>
    <row r="288" spans="1:38" s="99" customFormat="1" ht="15.75" customHeight="1" x14ac:dyDescent="0.25">
      <c r="A288" s="110"/>
      <c r="B288" s="111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8"/>
      <c r="AL288" s="67"/>
    </row>
    <row r="289" spans="1:38" s="99" customFormat="1" ht="15.75" customHeight="1" x14ac:dyDescent="0.25">
      <c r="A289" s="110"/>
      <c r="B289" s="111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8"/>
      <c r="AL289" s="67"/>
    </row>
    <row r="290" spans="1:38" s="99" customFormat="1" ht="15.75" customHeight="1" x14ac:dyDescent="0.25">
      <c r="A290" s="110"/>
      <c r="B290" s="111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8"/>
      <c r="AL290" s="67"/>
    </row>
    <row r="291" spans="1:38" s="99" customFormat="1" ht="15.75" customHeight="1" x14ac:dyDescent="0.25">
      <c r="A291" s="110"/>
      <c r="B291" s="111"/>
      <c r="R291" s="148"/>
      <c r="S291" s="148"/>
      <c r="AL291" s="67"/>
    </row>
    <row r="292" spans="1:38" s="99" customFormat="1" ht="15.75" customHeight="1" x14ac:dyDescent="0.25">
      <c r="A292" s="110"/>
      <c r="B292" s="111"/>
      <c r="R292" s="148"/>
      <c r="S292" s="148"/>
      <c r="AL292" s="67"/>
    </row>
    <row r="293" spans="1:38" s="99" customFormat="1" ht="15.75" customHeight="1" x14ac:dyDescent="0.25">
      <c r="A293" s="110"/>
      <c r="B293" s="111"/>
      <c r="R293" s="148"/>
      <c r="S293" s="148"/>
      <c r="AL293" s="67"/>
    </row>
    <row r="294" spans="1:38" s="99" customFormat="1" ht="15.75" customHeight="1" x14ac:dyDescent="0.25">
      <c r="A294" s="110"/>
      <c r="B294" s="111"/>
      <c r="R294" s="148"/>
      <c r="S294" s="148"/>
      <c r="AL294" s="67"/>
    </row>
    <row r="295" spans="1:38" s="99" customFormat="1" ht="15.75" customHeight="1" x14ac:dyDescent="0.25">
      <c r="A295" s="110"/>
      <c r="B295" s="111"/>
      <c r="R295" s="148"/>
      <c r="S295" s="148"/>
      <c r="AL295" s="67"/>
    </row>
    <row r="296" spans="1:38" s="99" customFormat="1" ht="15.75" customHeight="1" x14ac:dyDescent="0.25">
      <c r="A296" s="110"/>
      <c r="B296" s="111"/>
      <c r="R296" s="148"/>
      <c r="S296" s="148"/>
      <c r="AL296" s="67"/>
    </row>
    <row r="297" spans="1:38" s="99" customFormat="1" ht="15.75" customHeight="1" x14ac:dyDescent="0.25">
      <c r="A297" s="110"/>
      <c r="B297" s="111"/>
      <c r="R297" s="148"/>
      <c r="S297" s="148"/>
      <c r="AL297" s="67"/>
    </row>
    <row r="298" spans="1:38" s="99" customFormat="1" ht="15.75" customHeight="1" x14ac:dyDescent="0.25">
      <c r="A298" s="110"/>
      <c r="B298" s="111"/>
      <c r="R298" s="148"/>
      <c r="S298" s="148"/>
      <c r="AL298" s="67"/>
    </row>
    <row r="299" spans="1:38" s="99" customFormat="1" ht="15.75" customHeight="1" x14ac:dyDescent="0.25">
      <c r="A299" s="110"/>
      <c r="B299" s="111"/>
      <c r="R299" s="148"/>
      <c r="S299" s="148"/>
      <c r="AL299" s="67"/>
    </row>
    <row r="300" spans="1:38" s="99" customFormat="1" ht="15.75" customHeight="1" x14ac:dyDescent="0.25">
      <c r="A300" s="110"/>
      <c r="B300" s="111"/>
      <c r="R300" s="148"/>
      <c r="S300" s="148"/>
      <c r="AL300" s="67"/>
    </row>
    <row r="301" spans="1:38" s="99" customFormat="1" ht="15.75" customHeight="1" x14ac:dyDescent="0.25">
      <c r="A301" s="110"/>
      <c r="B301" s="111"/>
      <c r="R301" s="148"/>
      <c r="S301" s="148"/>
      <c r="AL301" s="67"/>
    </row>
    <row r="302" spans="1:38" s="99" customFormat="1" ht="15.75" customHeight="1" x14ac:dyDescent="0.25">
      <c r="A302" s="110"/>
      <c r="B302" s="111"/>
      <c r="R302" s="148"/>
      <c r="S302" s="148"/>
      <c r="AL302" s="67"/>
    </row>
    <row r="303" spans="1:38" s="99" customFormat="1" ht="15.75" customHeight="1" x14ac:dyDescent="0.25">
      <c r="A303" s="110"/>
      <c r="B303" s="111"/>
      <c r="R303" s="148"/>
      <c r="S303" s="148"/>
      <c r="AL303" s="67"/>
    </row>
    <row r="304" spans="1:38" s="99" customFormat="1" ht="15.75" customHeight="1" x14ac:dyDescent="0.25">
      <c r="A304" s="110"/>
      <c r="B304" s="111"/>
      <c r="R304" s="148"/>
      <c r="S304" s="148"/>
      <c r="AL304" s="67"/>
    </row>
    <row r="305" spans="1:38" s="99" customFormat="1" ht="15.75" customHeight="1" x14ac:dyDescent="0.25">
      <c r="A305" s="110"/>
      <c r="B305" s="111"/>
      <c r="R305" s="148"/>
      <c r="S305" s="148"/>
      <c r="AL305" s="67"/>
    </row>
    <row r="306" spans="1:38" s="99" customFormat="1" ht="15.75" customHeight="1" x14ac:dyDescent="0.25">
      <c r="A306" s="110"/>
      <c r="B306" s="111"/>
      <c r="R306" s="148"/>
      <c r="S306" s="148"/>
      <c r="AL306" s="67"/>
    </row>
    <row r="307" spans="1:38" s="99" customFormat="1" ht="15.75" customHeight="1" x14ac:dyDescent="0.25">
      <c r="A307" s="110"/>
      <c r="B307" s="111"/>
      <c r="R307" s="148"/>
      <c r="S307" s="148"/>
      <c r="AL307" s="67"/>
    </row>
    <row r="308" spans="1:38" s="99" customFormat="1" ht="15.75" customHeight="1" x14ac:dyDescent="0.25">
      <c r="A308" s="110"/>
      <c r="B308" s="111"/>
      <c r="R308" s="148"/>
      <c r="S308" s="148"/>
      <c r="AL308" s="67"/>
    </row>
    <row r="309" spans="1:38" s="99" customFormat="1" ht="15.75" customHeight="1" x14ac:dyDescent="0.25">
      <c r="A309" s="110"/>
      <c r="B309" s="111"/>
      <c r="R309" s="148"/>
      <c r="S309" s="148"/>
      <c r="AL309" s="67"/>
    </row>
    <row r="310" spans="1:38" s="99" customFormat="1" ht="15.75" customHeight="1" x14ac:dyDescent="0.25">
      <c r="A310" s="110"/>
      <c r="B310" s="111"/>
      <c r="R310" s="148"/>
      <c r="S310" s="148"/>
      <c r="AL310" s="67"/>
    </row>
    <row r="311" spans="1:38" s="99" customFormat="1" ht="15.75" customHeight="1" x14ac:dyDescent="0.25">
      <c r="A311" s="110"/>
      <c r="B311" s="111"/>
      <c r="R311" s="148"/>
      <c r="S311" s="148"/>
      <c r="AL311" s="67"/>
    </row>
    <row r="312" spans="1:38" s="99" customFormat="1" ht="15.75" customHeight="1" x14ac:dyDescent="0.25">
      <c r="A312" s="110"/>
      <c r="B312" s="111"/>
      <c r="R312" s="148"/>
      <c r="S312" s="148"/>
      <c r="AL312" s="67"/>
    </row>
    <row r="313" spans="1:38" s="99" customFormat="1" ht="15.75" customHeight="1" x14ac:dyDescent="0.25">
      <c r="A313" s="110"/>
      <c r="B313" s="111"/>
      <c r="R313" s="148"/>
      <c r="S313" s="148"/>
      <c r="AL313" s="67"/>
    </row>
    <row r="314" spans="1:38" s="99" customFormat="1" ht="15.75" customHeight="1" x14ac:dyDescent="0.25">
      <c r="A314" s="110"/>
      <c r="B314" s="111"/>
      <c r="R314" s="148"/>
      <c r="S314" s="148"/>
      <c r="AL314" s="67"/>
    </row>
    <row r="315" spans="1:38" s="99" customFormat="1" ht="15.75" customHeight="1" x14ac:dyDescent="0.25">
      <c r="A315" s="110"/>
      <c r="B315" s="111"/>
      <c r="R315" s="148"/>
      <c r="S315" s="148"/>
      <c r="AL315" s="67"/>
    </row>
    <row r="316" spans="1:38" s="99" customFormat="1" ht="15.75" customHeight="1" x14ac:dyDescent="0.25">
      <c r="A316" s="110"/>
      <c r="B316" s="111"/>
      <c r="R316" s="148"/>
      <c r="S316" s="148"/>
      <c r="AL316" s="67"/>
    </row>
    <row r="317" spans="1:38" s="99" customFormat="1" ht="15.75" customHeight="1" x14ac:dyDescent="0.25">
      <c r="A317" s="110"/>
      <c r="B317" s="111"/>
      <c r="R317" s="148"/>
      <c r="S317" s="148"/>
      <c r="AL317" s="67"/>
    </row>
    <row r="318" spans="1:38" s="99" customFormat="1" ht="15.75" customHeight="1" x14ac:dyDescent="0.25">
      <c r="A318" s="110"/>
      <c r="B318" s="111"/>
      <c r="R318" s="148"/>
      <c r="S318" s="148"/>
      <c r="AL318" s="67"/>
    </row>
    <row r="319" spans="1:38" s="99" customFormat="1" ht="15.75" customHeight="1" x14ac:dyDescent="0.25">
      <c r="A319" s="110"/>
      <c r="B319" s="111"/>
      <c r="R319" s="148"/>
      <c r="S319" s="148"/>
      <c r="AL319" s="67"/>
    </row>
    <row r="320" spans="1:38" s="99" customFormat="1" ht="15.75" customHeight="1" x14ac:dyDescent="0.25">
      <c r="A320" s="110"/>
      <c r="B320" s="111"/>
      <c r="R320" s="148"/>
      <c r="S320" s="148"/>
      <c r="AL320" s="67"/>
    </row>
    <row r="321" spans="1:38" s="99" customFormat="1" ht="15.75" customHeight="1" x14ac:dyDescent="0.25">
      <c r="A321" s="110"/>
      <c r="B321" s="111"/>
      <c r="R321" s="148"/>
      <c r="S321" s="148"/>
      <c r="AL321" s="67"/>
    </row>
    <row r="322" spans="1:38" s="99" customFormat="1" ht="15.75" customHeight="1" x14ac:dyDescent="0.25">
      <c r="A322" s="110"/>
      <c r="B322" s="111"/>
      <c r="R322" s="148"/>
      <c r="S322" s="148"/>
      <c r="AL322" s="67"/>
    </row>
    <row r="323" spans="1:38" s="99" customFormat="1" ht="15.75" customHeight="1" x14ac:dyDescent="0.25">
      <c r="A323" s="110"/>
      <c r="B323" s="111"/>
      <c r="R323" s="148"/>
      <c r="S323" s="148"/>
      <c r="AL323" s="67"/>
    </row>
    <row r="324" spans="1:38" s="99" customFormat="1" ht="15.75" customHeight="1" x14ac:dyDescent="0.25">
      <c r="A324" s="110"/>
      <c r="B324" s="111"/>
      <c r="R324" s="148"/>
      <c r="S324" s="148"/>
      <c r="AL324" s="67"/>
    </row>
    <row r="325" spans="1:38" s="99" customFormat="1" ht="15.75" customHeight="1" x14ac:dyDescent="0.25">
      <c r="A325" s="110"/>
      <c r="B325" s="111"/>
      <c r="R325" s="148"/>
      <c r="S325" s="148"/>
      <c r="AL325" s="67"/>
    </row>
    <row r="326" spans="1:38" s="99" customFormat="1" ht="15.75" customHeight="1" x14ac:dyDescent="0.25">
      <c r="A326" s="110"/>
      <c r="B326" s="111"/>
      <c r="R326" s="148"/>
      <c r="S326" s="148"/>
      <c r="AL326" s="67"/>
    </row>
    <row r="327" spans="1:38" s="99" customFormat="1" ht="15.75" customHeight="1" x14ac:dyDescent="0.25">
      <c r="A327" s="110"/>
      <c r="B327" s="111"/>
      <c r="R327" s="148"/>
      <c r="S327" s="148"/>
      <c r="AL327" s="67"/>
    </row>
    <row r="328" spans="1:38" s="99" customFormat="1" ht="15.75" customHeight="1" x14ac:dyDescent="0.25">
      <c r="A328" s="110"/>
      <c r="B328" s="111"/>
      <c r="R328" s="148"/>
      <c r="S328" s="148"/>
      <c r="AL328" s="67"/>
    </row>
    <row r="329" spans="1:38" s="99" customFormat="1" ht="15.75" customHeight="1" x14ac:dyDescent="0.25">
      <c r="A329" s="110"/>
      <c r="B329" s="111"/>
      <c r="R329" s="148"/>
      <c r="S329" s="148"/>
      <c r="AL329" s="67"/>
    </row>
    <row r="330" spans="1:38" s="99" customFormat="1" ht="15.75" customHeight="1" x14ac:dyDescent="0.25">
      <c r="A330" s="110"/>
      <c r="B330" s="111"/>
      <c r="R330" s="148"/>
      <c r="S330" s="148"/>
      <c r="AL330" s="67"/>
    </row>
    <row r="331" spans="1:38" s="99" customFormat="1" ht="15.75" customHeight="1" x14ac:dyDescent="0.25">
      <c r="A331" s="110"/>
      <c r="B331" s="111"/>
      <c r="R331" s="148"/>
      <c r="S331" s="148"/>
      <c r="AL331" s="67"/>
    </row>
    <row r="332" spans="1:38" s="99" customFormat="1" ht="15.75" customHeight="1" x14ac:dyDescent="0.25">
      <c r="A332" s="110"/>
      <c r="B332" s="111"/>
      <c r="R332" s="148"/>
      <c r="S332" s="148"/>
      <c r="AL332" s="67"/>
    </row>
    <row r="333" spans="1:38" s="99" customFormat="1" ht="15.75" customHeight="1" x14ac:dyDescent="0.25">
      <c r="A333" s="110"/>
      <c r="B333" s="111"/>
      <c r="R333" s="148"/>
      <c r="S333" s="148"/>
      <c r="AL333" s="67"/>
    </row>
    <row r="334" spans="1:38" s="99" customFormat="1" ht="15.75" customHeight="1" x14ac:dyDescent="0.25">
      <c r="A334" s="110"/>
      <c r="B334" s="111"/>
      <c r="R334" s="148"/>
      <c r="S334" s="148"/>
      <c r="AL334" s="67"/>
    </row>
    <row r="335" spans="1:38" s="99" customFormat="1" ht="15.75" customHeight="1" x14ac:dyDescent="0.25">
      <c r="A335" s="110"/>
      <c r="B335" s="111"/>
      <c r="R335" s="148"/>
      <c r="S335" s="148"/>
      <c r="AL335" s="67"/>
    </row>
    <row r="336" spans="1:38" s="99" customFormat="1" ht="15.75" customHeight="1" x14ac:dyDescent="0.25">
      <c r="A336" s="110"/>
      <c r="B336" s="111"/>
      <c r="R336" s="148"/>
      <c r="S336" s="148"/>
      <c r="AL336" s="67"/>
    </row>
    <row r="337" spans="1:38" s="99" customFormat="1" ht="15.75" customHeight="1" x14ac:dyDescent="0.25">
      <c r="A337" s="110"/>
      <c r="B337" s="111"/>
      <c r="R337" s="148"/>
      <c r="S337" s="148"/>
      <c r="AL337" s="67"/>
    </row>
    <row r="338" spans="1:38" s="99" customFormat="1" ht="15.75" customHeight="1" x14ac:dyDescent="0.25">
      <c r="A338" s="110"/>
      <c r="B338" s="111"/>
      <c r="R338" s="148"/>
      <c r="S338" s="148"/>
      <c r="AL338" s="67"/>
    </row>
    <row r="339" spans="1:38" s="99" customFormat="1" ht="15.75" customHeight="1" x14ac:dyDescent="0.25">
      <c r="A339" s="110"/>
      <c r="B339" s="111"/>
      <c r="R339" s="148"/>
      <c r="S339" s="148"/>
      <c r="AL339" s="67"/>
    </row>
    <row r="340" spans="1:38" s="99" customFormat="1" ht="15.75" customHeight="1" x14ac:dyDescent="0.25">
      <c r="A340" s="110"/>
      <c r="B340" s="111"/>
      <c r="R340" s="148"/>
      <c r="S340" s="148"/>
      <c r="AL340" s="67"/>
    </row>
    <row r="341" spans="1:38" s="99" customFormat="1" ht="15.75" customHeight="1" x14ac:dyDescent="0.25">
      <c r="A341" s="110"/>
      <c r="B341" s="111"/>
      <c r="R341" s="148"/>
      <c r="S341" s="148"/>
      <c r="AL341" s="67"/>
    </row>
    <row r="342" spans="1:38" s="99" customFormat="1" ht="15.75" customHeight="1" x14ac:dyDescent="0.25">
      <c r="A342" s="110"/>
      <c r="B342" s="111"/>
      <c r="R342" s="148"/>
      <c r="S342" s="148"/>
      <c r="AL342" s="67"/>
    </row>
    <row r="343" spans="1:38" s="99" customFormat="1" ht="15.75" customHeight="1" x14ac:dyDescent="0.25">
      <c r="A343" s="110"/>
      <c r="B343" s="111"/>
      <c r="R343" s="148"/>
      <c r="S343" s="148"/>
      <c r="AL343" s="67"/>
    </row>
    <row r="344" spans="1:38" s="99" customFormat="1" ht="15.75" customHeight="1" x14ac:dyDescent="0.25">
      <c r="A344" s="110"/>
      <c r="B344" s="111"/>
      <c r="R344" s="148"/>
      <c r="S344" s="148"/>
      <c r="AL344" s="67"/>
    </row>
    <row r="345" spans="1:38" s="99" customFormat="1" ht="15.75" customHeight="1" x14ac:dyDescent="0.25">
      <c r="A345" s="110"/>
      <c r="B345" s="111"/>
      <c r="R345" s="148"/>
      <c r="S345" s="148"/>
      <c r="AL345" s="67"/>
    </row>
    <row r="346" spans="1:38" s="99" customFormat="1" ht="15.75" customHeight="1" x14ac:dyDescent="0.25">
      <c r="A346" s="110"/>
      <c r="B346" s="111"/>
      <c r="R346" s="148"/>
      <c r="S346" s="148"/>
      <c r="AL346" s="67"/>
    </row>
    <row r="347" spans="1:38" s="99" customFormat="1" ht="15.75" customHeight="1" x14ac:dyDescent="0.25">
      <c r="A347" s="110"/>
      <c r="B347" s="111"/>
      <c r="R347" s="148"/>
      <c r="S347" s="148"/>
      <c r="AL347" s="67"/>
    </row>
    <row r="348" spans="1:38" s="99" customFormat="1" ht="15.75" customHeight="1" x14ac:dyDescent="0.25">
      <c r="A348" s="110"/>
      <c r="B348" s="111"/>
      <c r="R348" s="148"/>
      <c r="S348" s="148"/>
      <c r="AL348" s="67"/>
    </row>
    <row r="349" spans="1:38" s="99" customFormat="1" ht="15.75" customHeight="1" x14ac:dyDescent="0.25">
      <c r="A349" s="110"/>
      <c r="B349" s="111"/>
      <c r="R349" s="148"/>
      <c r="S349" s="148"/>
      <c r="AL349" s="67"/>
    </row>
    <row r="350" spans="1:38" s="99" customFormat="1" ht="15.75" customHeight="1" x14ac:dyDescent="0.25">
      <c r="A350" s="110"/>
      <c r="B350" s="111"/>
      <c r="R350" s="148"/>
      <c r="S350" s="148"/>
      <c r="AL350" s="67"/>
    </row>
    <row r="351" spans="1:38" s="99" customFormat="1" ht="15.75" customHeight="1" x14ac:dyDescent="0.25">
      <c r="A351" s="110"/>
      <c r="B351" s="111"/>
      <c r="R351" s="148"/>
      <c r="S351" s="148"/>
      <c r="AL351" s="67"/>
    </row>
    <row r="352" spans="1:38" s="99" customFormat="1" ht="15.75" customHeight="1" x14ac:dyDescent="0.25">
      <c r="A352" s="110"/>
      <c r="B352" s="111"/>
      <c r="R352" s="148"/>
      <c r="S352" s="148"/>
      <c r="AL352" s="67"/>
    </row>
    <row r="353" spans="1:38" s="99" customFormat="1" ht="15.75" customHeight="1" x14ac:dyDescent="0.25">
      <c r="A353" s="110"/>
      <c r="B353" s="111"/>
      <c r="R353" s="148"/>
      <c r="S353" s="148"/>
      <c r="AL353" s="67"/>
    </row>
    <row r="354" spans="1:38" s="99" customFormat="1" ht="15.75" customHeight="1" x14ac:dyDescent="0.25">
      <c r="A354" s="110"/>
      <c r="B354" s="111"/>
      <c r="R354" s="148"/>
      <c r="S354" s="148"/>
      <c r="AL354" s="67"/>
    </row>
    <row r="355" spans="1:38" s="99" customFormat="1" ht="15.75" customHeight="1" x14ac:dyDescent="0.25">
      <c r="A355" s="110"/>
      <c r="B355" s="111"/>
      <c r="R355" s="148"/>
      <c r="S355" s="148"/>
      <c r="AL355" s="67"/>
    </row>
    <row r="356" spans="1:38" s="99" customFormat="1" ht="15.75" customHeight="1" x14ac:dyDescent="0.25">
      <c r="A356" s="110"/>
      <c r="B356" s="111"/>
      <c r="R356" s="148"/>
      <c r="S356" s="148"/>
      <c r="AL356" s="67"/>
    </row>
    <row r="357" spans="1:38" s="99" customFormat="1" ht="15.75" customHeight="1" x14ac:dyDescent="0.25">
      <c r="A357" s="110"/>
      <c r="B357" s="111"/>
      <c r="R357" s="148"/>
      <c r="S357" s="148"/>
      <c r="AL357" s="67"/>
    </row>
    <row r="358" spans="1:38" s="99" customFormat="1" ht="15.75" customHeight="1" x14ac:dyDescent="0.25">
      <c r="A358" s="110"/>
      <c r="B358" s="111"/>
      <c r="R358" s="148"/>
      <c r="S358" s="148"/>
      <c r="AL358" s="67"/>
    </row>
    <row r="359" spans="1:38" s="99" customFormat="1" ht="15.75" customHeight="1" x14ac:dyDescent="0.25">
      <c r="A359" s="110"/>
      <c r="B359" s="111"/>
      <c r="R359" s="148"/>
      <c r="S359" s="148"/>
      <c r="AL359" s="67"/>
    </row>
    <row r="360" spans="1:38" s="99" customFormat="1" ht="15.75" customHeight="1" x14ac:dyDescent="0.25">
      <c r="A360" s="110"/>
      <c r="B360" s="111"/>
      <c r="R360" s="148"/>
      <c r="S360" s="148"/>
      <c r="AL360" s="67"/>
    </row>
    <row r="361" spans="1:38" s="99" customFormat="1" ht="15.75" customHeight="1" x14ac:dyDescent="0.25">
      <c r="A361" s="110"/>
      <c r="B361" s="111"/>
      <c r="R361" s="148"/>
      <c r="S361" s="148"/>
      <c r="AL361" s="67"/>
    </row>
    <row r="362" spans="1:38" s="99" customFormat="1" ht="15.75" customHeight="1" x14ac:dyDescent="0.25">
      <c r="A362" s="110"/>
      <c r="B362" s="111"/>
      <c r="R362" s="148"/>
      <c r="S362" s="148"/>
      <c r="AL362" s="67"/>
    </row>
    <row r="363" spans="1:38" s="99" customFormat="1" ht="15.75" customHeight="1" x14ac:dyDescent="0.25">
      <c r="A363" s="110"/>
      <c r="B363" s="111"/>
      <c r="R363" s="148"/>
      <c r="S363" s="148"/>
      <c r="AL363" s="67"/>
    </row>
    <row r="364" spans="1:38" s="99" customFormat="1" ht="15.75" customHeight="1" x14ac:dyDescent="0.25">
      <c r="A364" s="110"/>
      <c r="B364" s="111"/>
      <c r="R364" s="148"/>
      <c r="S364" s="148"/>
      <c r="AL364" s="67"/>
    </row>
    <row r="365" spans="1:38" s="99" customFormat="1" ht="15.75" customHeight="1" x14ac:dyDescent="0.25">
      <c r="A365" s="110"/>
      <c r="B365" s="111"/>
      <c r="R365" s="148"/>
      <c r="S365" s="148"/>
      <c r="AL365" s="67"/>
    </row>
    <row r="366" spans="1:38" s="99" customFormat="1" ht="15.75" customHeight="1" x14ac:dyDescent="0.25">
      <c r="A366" s="110"/>
      <c r="B366" s="111"/>
      <c r="R366" s="148"/>
      <c r="S366" s="148"/>
      <c r="AL366" s="67"/>
    </row>
    <row r="367" spans="1:38" s="99" customFormat="1" ht="15.75" customHeight="1" x14ac:dyDescent="0.25">
      <c r="A367" s="110"/>
      <c r="B367" s="111"/>
      <c r="R367" s="148"/>
      <c r="S367" s="148"/>
      <c r="AL367" s="67"/>
    </row>
    <row r="368" spans="1:38" s="99" customFormat="1" ht="15.75" customHeight="1" x14ac:dyDescent="0.25">
      <c r="A368" s="110"/>
      <c r="B368" s="111"/>
      <c r="R368" s="148"/>
      <c r="S368" s="148"/>
      <c r="AL368" s="67"/>
    </row>
    <row r="369" spans="1:38" s="99" customFormat="1" ht="15.75" customHeight="1" x14ac:dyDescent="0.25">
      <c r="A369" s="110"/>
      <c r="B369" s="111"/>
      <c r="R369" s="148"/>
      <c r="S369" s="148"/>
      <c r="AL369" s="67"/>
    </row>
    <row r="370" spans="1:38" s="99" customFormat="1" ht="15.75" customHeight="1" x14ac:dyDescent="0.25">
      <c r="A370" s="110"/>
      <c r="B370" s="111"/>
      <c r="R370" s="148"/>
      <c r="S370" s="148"/>
      <c r="AL370" s="67"/>
    </row>
    <row r="371" spans="1:38" s="99" customFormat="1" ht="15.75" customHeight="1" x14ac:dyDescent="0.25">
      <c r="A371" s="110"/>
      <c r="B371" s="111"/>
      <c r="R371" s="148"/>
      <c r="S371" s="148"/>
      <c r="AL371" s="67"/>
    </row>
    <row r="372" spans="1:38" s="99" customFormat="1" ht="15.75" customHeight="1" x14ac:dyDescent="0.25">
      <c r="A372" s="110"/>
      <c r="B372" s="111"/>
      <c r="R372" s="148"/>
      <c r="S372" s="148"/>
      <c r="AL372" s="67"/>
    </row>
    <row r="373" spans="1:38" s="99" customFormat="1" ht="15.75" customHeight="1" x14ac:dyDescent="0.25">
      <c r="A373" s="110"/>
      <c r="B373" s="111"/>
      <c r="R373" s="148"/>
      <c r="S373" s="148"/>
      <c r="AL373" s="67"/>
    </row>
    <row r="374" spans="1:38" s="99" customFormat="1" ht="15.75" customHeight="1" x14ac:dyDescent="0.25">
      <c r="A374" s="110"/>
      <c r="B374" s="111"/>
      <c r="R374" s="148"/>
      <c r="S374" s="148"/>
      <c r="AL374" s="67"/>
    </row>
    <row r="375" spans="1:38" s="99" customFormat="1" ht="15.75" customHeight="1" x14ac:dyDescent="0.25">
      <c r="A375" s="110"/>
      <c r="B375" s="111"/>
      <c r="R375" s="148"/>
      <c r="S375" s="148"/>
      <c r="AL375" s="67"/>
    </row>
    <row r="376" spans="1:38" s="99" customFormat="1" ht="15.75" customHeight="1" x14ac:dyDescent="0.25">
      <c r="A376" s="110"/>
      <c r="B376" s="111"/>
      <c r="R376" s="148"/>
      <c r="S376" s="148"/>
      <c r="AL376" s="67"/>
    </row>
    <row r="377" spans="1:38" s="99" customFormat="1" ht="15.75" customHeight="1" x14ac:dyDescent="0.25">
      <c r="A377" s="110"/>
      <c r="B377" s="111"/>
      <c r="R377" s="148"/>
      <c r="S377" s="148"/>
      <c r="AL377" s="67"/>
    </row>
    <row r="378" spans="1:38" s="99" customFormat="1" ht="15.75" customHeight="1" x14ac:dyDescent="0.25">
      <c r="A378" s="110"/>
      <c r="B378" s="111"/>
      <c r="R378" s="148"/>
      <c r="S378" s="148"/>
      <c r="AL378" s="67"/>
    </row>
    <row r="379" spans="1:38" s="99" customFormat="1" ht="15.75" customHeight="1" x14ac:dyDescent="0.25">
      <c r="A379" s="110"/>
      <c r="B379" s="111"/>
      <c r="R379" s="148"/>
      <c r="S379" s="148"/>
      <c r="AL379" s="67"/>
    </row>
    <row r="380" spans="1:38" s="99" customFormat="1" ht="15.75" customHeight="1" x14ac:dyDescent="0.25">
      <c r="A380" s="110"/>
      <c r="B380" s="111"/>
      <c r="R380" s="148"/>
      <c r="S380" s="148"/>
      <c r="AL380" s="67"/>
    </row>
    <row r="381" spans="1:38" s="99" customFormat="1" ht="15.75" customHeight="1" x14ac:dyDescent="0.25">
      <c r="A381" s="110"/>
      <c r="B381" s="111"/>
      <c r="R381" s="148"/>
      <c r="S381" s="148"/>
      <c r="AL381" s="67"/>
    </row>
    <row r="382" spans="1:38" s="99" customFormat="1" ht="15.75" customHeight="1" x14ac:dyDescent="0.25">
      <c r="A382" s="110"/>
      <c r="B382" s="111"/>
      <c r="R382" s="148"/>
      <c r="S382" s="148"/>
      <c r="AL382" s="67"/>
    </row>
    <row r="383" spans="1:38" s="99" customFormat="1" ht="15.75" customHeight="1" x14ac:dyDescent="0.25">
      <c r="A383" s="110"/>
      <c r="B383" s="111"/>
      <c r="R383" s="148"/>
      <c r="S383" s="148"/>
      <c r="AL383" s="67"/>
    </row>
    <row r="384" spans="1:38" s="99" customFormat="1" ht="15.75" customHeight="1" x14ac:dyDescent="0.25">
      <c r="A384" s="110"/>
      <c r="B384" s="111"/>
      <c r="R384" s="148"/>
      <c r="S384" s="148"/>
      <c r="AL384" s="67"/>
    </row>
    <row r="385" spans="1:38" s="99" customFormat="1" ht="15.75" customHeight="1" x14ac:dyDescent="0.25">
      <c r="A385" s="110"/>
      <c r="B385" s="111"/>
      <c r="R385" s="148"/>
      <c r="S385" s="148"/>
      <c r="AL385" s="67"/>
    </row>
    <row r="386" spans="1:38" s="99" customFormat="1" ht="15.75" customHeight="1" x14ac:dyDescent="0.25">
      <c r="A386" s="110"/>
      <c r="B386" s="111"/>
      <c r="R386" s="148"/>
      <c r="S386" s="148"/>
      <c r="AL386" s="67"/>
    </row>
    <row r="387" spans="1:38" s="99" customFormat="1" ht="15.75" customHeight="1" x14ac:dyDescent="0.25">
      <c r="A387" s="110"/>
      <c r="B387" s="111"/>
      <c r="R387" s="148"/>
      <c r="S387" s="148"/>
      <c r="AL387" s="67"/>
    </row>
    <row r="388" spans="1:38" s="99" customFormat="1" ht="15.75" customHeight="1" x14ac:dyDescent="0.25">
      <c r="A388" s="110"/>
      <c r="B388" s="111"/>
      <c r="R388" s="148"/>
      <c r="S388" s="148"/>
      <c r="AL388" s="67"/>
    </row>
    <row r="389" spans="1:38" s="99" customFormat="1" ht="15.75" customHeight="1" x14ac:dyDescent="0.25">
      <c r="A389" s="110"/>
      <c r="B389" s="111"/>
      <c r="R389" s="148"/>
      <c r="S389" s="148"/>
      <c r="AL389" s="67"/>
    </row>
    <row r="390" spans="1:38" s="99" customFormat="1" ht="15.75" customHeight="1" x14ac:dyDescent="0.25">
      <c r="A390" s="110"/>
      <c r="B390" s="111"/>
      <c r="R390" s="148"/>
      <c r="S390" s="148"/>
      <c r="AL390" s="67"/>
    </row>
    <row r="391" spans="1:38" s="99" customFormat="1" ht="15.75" customHeight="1" x14ac:dyDescent="0.25">
      <c r="A391" s="110"/>
      <c r="B391" s="111"/>
      <c r="R391" s="148"/>
      <c r="S391" s="148"/>
      <c r="AL391" s="67"/>
    </row>
    <row r="392" spans="1:38" s="99" customFormat="1" ht="15.75" customHeight="1" x14ac:dyDescent="0.25">
      <c r="A392" s="110"/>
      <c r="B392" s="111"/>
      <c r="R392" s="148"/>
      <c r="S392" s="148"/>
      <c r="AL392" s="67"/>
    </row>
    <row r="393" spans="1:38" s="99" customFormat="1" ht="15.75" customHeight="1" x14ac:dyDescent="0.25">
      <c r="A393" s="110"/>
      <c r="B393" s="111"/>
      <c r="R393" s="148"/>
      <c r="S393" s="148"/>
      <c r="AL393" s="67"/>
    </row>
    <row r="394" spans="1:38" s="99" customFormat="1" ht="15.75" customHeight="1" x14ac:dyDescent="0.25">
      <c r="A394" s="110"/>
      <c r="B394" s="111"/>
      <c r="R394" s="148"/>
      <c r="S394" s="148"/>
      <c r="AL394" s="67"/>
    </row>
    <row r="395" spans="1:38" s="99" customFormat="1" ht="15.75" customHeight="1" x14ac:dyDescent="0.25">
      <c r="A395" s="110"/>
      <c r="B395" s="111"/>
      <c r="R395" s="148"/>
      <c r="S395" s="148"/>
      <c r="AL395" s="67"/>
    </row>
    <row r="396" spans="1:38" s="99" customFormat="1" ht="15.75" customHeight="1" x14ac:dyDescent="0.25">
      <c r="A396" s="110"/>
      <c r="B396" s="111"/>
      <c r="R396" s="148"/>
      <c r="S396" s="148"/>
      <c r="AL396" s="67"/>
    </row>
    <row r="397" spans="1:38" s="99" customFormat="1" ht="15.75" customHeight="1" x14ac:dyDescent="0.25">
      <c r="A397" s="110"/>
      <c r="B397" s="111"/>
      <c r="R397" s="148"/>
      <c r="S397" s="148"/>
      <c r="AL397" s="67"/>
    </row>
    <row r="398" spans="1:38" s="99" customFormat="1" ht="15.75" customHeight="1" x14ac:dyDescent="0.25">
      <c r="A398" s="110"/>
      <c r="B398" s="111"/>
      <c r="R398" s="148"/>
      <c r="S398" s="148"/>
      <c r="AL398" s="67"/>
    </row>
    <row r="399" spans="1:38" s="99" customFormat="1" ht="15.75" customHeight="1" x14ac:dyDescent="0.25">
      <c r="A399" s="110"/>
      <c r="B399" s="111"/>
      <c r="R399" s="148"/>
      <c r="S399" s="148"/>
      <c r="AL399" s="67"/>
    </row>
    <row r="400" spans="1:38" s="99" customFormat="1" ht="15.75" customHeight="1" x14ac:dyDescent="0.25">
      <c r="A400" s="110"/>
      <c r="B400" s="111"/>
      <c r="R400" s="148"/>
      <c r="S400" s="148"/>
      <c r="AL400" s="67"/>
    </row>
    <row r="401" spans="1:38" s="99" customFormat="1" ht="15.75" customHeight="1" x14ac:dyDescent="0.25">
      <c r="A401" s="110"/>
      <c r="B401" s="111"/>
      <c r="R401" s="148"/>
      <c r="S401" s="148"/>
      <c r="AL401" s="67"/>
    </row>
    <row r="402" spans="1:38" s="99" customFormat="1" ht="15.75" customHeight="1" x14ac:dyDescent="0.25">
      <c r="A402" s="110"/>
      <c r="B402" s="111"/>
      <c r="R402" s="148"/>
      <c r="S402" s="148"/>
      <c r="AL402" s="67"/>
    </row>
    <row r="403" spans="1:38" s="99" customFormat="1" ht="15.75" customHeight="1" x14ac:dyDescent="0.25">
      <c r="A403" s="110"/>
      <c r="B403" s="111"/>
      <c r="R403" s="148"/>
      <c r="S403" s="148"/>
      <c r="AL403" s="67"/>
    </row>
    <row r="404" spans="1:38" s="99" customFormat="1" ht="15.75" customHeight="1" x14ac:dyDescent="0.25">
      <c r="A404" s="110"/>
      <c r="B404" s="111"/>
      <c r="R404" s="148"/>
      <c r="S404" s="148"/>
      <c r="AL404" s="67"/>
    </row>
    <row r="405" spans="1:38" s="99" customFormat="1" ht="15.75" customHeight="1" x14ac:dyDescent="0.25">
      <c r="A405" s="110"/>
      <c r="B405" s="111"/>
      <c r="R405" s="148"/>
      <c r="S405" s="148"/>
      <c r="AL405" s="67"/>
    </row>
    <row r="406" spans="1:38" s="99" customFormat="1" ht="15.75" customHeight="1" x14ac:dyDescent="0.25">
      <c r="A406" s="110"/>
      <c r="B406" s="111"/>
      <c r="R406" s="148"/>
      <c r="S406" s="148"/>
      <c r="AL406" s="67"/>
    </row>
    <row r="407" spans="1:38" s="99" customFormat="1" ht="15.75" customHeight="1" x14ac:dyDescent="0.25">
      <c r="A407" s="110"/>
      <c r="B407" s="111"/>
      <c r="R407" s="148"/>
      <c r="S407" s="148"/>
      <c r="AL407" s="67"/>
    </row>
    <row r="408" spans="1:38" s="99" customFormat="1" ht="15.75" customHeight="1" x14ac:dyDescent="0.25">
      <c r="A408" s="110"/>
      <c r="B408" s="111"/>
      <c r="R408" s="148"/>
      <c r="S408" s="148"/>
      <c r="AL408" s="67"/>
    </row>
    <row r="409" spans="1:38" s="99" customFormat="1" ht="15.75" customHeight="1" x14ac:dyDescent="0.25">
      <c r="A409" s="110"/>
      <c r="B409" s="111"/>
      <c r="R409" s="148"/>
      <c r="S409" s="148"/>
      <c r="AL409" s="67"/>
    </row>
    <row r="410" spans="1:38" s="99" customFormat="1" ht="15.75" customHeight="1" x14ac:dyDescent="0.25">
      <c r="A410" s="110"/>
      <c r="B410" s="111"/>
      <c r="R410" s="148"/>
      <c r="S410" s="148"/>
      <c r="AL410" s="67"/>
    </row>
    <row r="411" spans="1:38" s="99" customFormat="1" ht="15.75" customHeight="1" x14ac:dyDescent="0.25">
      <c r="A411" s="110"/>
      <c r="B411" s="111"/>
      <c r="R411" s="148"/>
      <c r="S411" s="148"/>
      <c r="AL411" s="67"/>
    </row>
    <row r="412" spans="1:38" s="99" customFormat="1" ht="15.75" customHeight="1" x14ac:dyDescent="0.25">
      <c r="A412" s="110"/>
      <c r="B412" s="111"/>
      <c r="R412" s="148"/>
      <c r="S412" s="148"/>
      <c r="AL412" s="67"/>
    </row>
    <row r="413" spans="1:38" s="99" customFormat="1" ht="15.75" customHeight="1" x14ac:dyDescent="0.25">
      <c r="A413" s="110"/>
      <c r="B413" s="111"/>
      <c r="R413" s="148"/>
      <c r="S413" s="148"/>
      <c r="AL413" s="67"/>
    </row>
    <row r="414" spans="1:38" s="99" customFormat="1" ht="15.75" customHeight="1" x14ac:dyDescent="0.25">
      <c r="A414" s="110"/>
      <c r="B414" s="111"/>
      <c r="R414" s="148"/>
      <c r="S414" s="148"/>
      <c r="AL414" s="67"/>
    </row>
    <row r="415" spans="1:38" s="99" customFormat="1" ht="15.75" customHeight="1" x14ac:dyDescent="0.25">
      <c r="A415" s="110"/>
      <c r="B415" s="111"/>
      <c r="R415" s="148"/>
      <c r="S415" s="148"/>
      <c r="AL415" s="67"/>
    </row>
    <row r="416" spans="1:38" s="99" customFormat="1" ht="15.75" customHeight="1" x14ac:dyDescent="0.25">
      <c r="A416" s="110"/>
      <c r="B416" s="111"/>
      <c r="R416" s="148"/>
      <c r="S416" s="148"/>
      <c r="AL416" s="67"/>
    </row>
    <row r="417" spans="1:38" s="99" customFormat="1" ht="15.75" customHeight="1" x14ac:dyDescent="0.25">
      <c r="A417" s="110"/>
      <c r="B417" s="111"/>
      <c r="R417" s="148"/>
      <c r="S417" s="148"/>
      <c r="AL417" s="67"/>
    </row>
    <row r="418" spans="1:38" s="99" customFormat="1" ht="15.75" customHeight="1" x14ac:dyDescent="0.25">
      <c r="A418" s="110"/>
      <c r="B418" s="111"/>
      <c r="R418" s="148"/>
      <c r="S418" s="148"/>
      <c r="AL418" s="67"/>
    </row>
    <row r="419" spans="1:38" s="99" customFormat="1" ht="15.75" customHeight="1" x14ac:dyDescent="0.25">
      <c r="A419" s="110"/>
      <c r="B419" s="111"/>
      <c r="R419" s="148"/>
      <c r="S419" s="148"/>
      <c r="AL419" s="67"/>
    </row>
    <row r="420" spans="1:38" s="99" customFormat="1" ht="15.75" customHeight="1" x14ac:dyDescent="0.25">
      <c r="A420" s="110"/>
      <c r="B420" s="111"/>
      <c r="R420" s="148"/>
      <c r="S420" s="148"/>
      <c r="AL420" s="67"/>
    </row>
    <row r="421" spans="1:38" s="99" customFormat="1" ht="15.75" customHeight="1" x14ac:dyDescent="0.25">
      <c r="A421" s="110"/>
      <c r="B421" s="111"/>
      <c r="R421" s="148"/>
      <c r="S421" s="148"/>
      <c r="AL421" s="67"/>
    </row>
    <row r="422" spans="1:38" s="99" customFormat="1" ht="15.75" customHeight="1" x14ac:dyDescent="0.25">
      <c r="A422" s="110"/>
      <c r="B422" s="111"/>
      <c r="R422" s="148"/>
      <c r="S422" s="148"/>
      <c r="AL422" s="67"/>
    </row>
    <row r="423" spans="1:38" s="99" customFormat="1" ht="15.75" customHeight="1" x14ac:dyDescent="0.25">
      <c r="A423" s="110"/>
      <c r="B423" s="111"/>
      <c r="R423" s="148"/>
      <c r="S423" s="148"/>
      <c r="AL423" s="67"/>
    </row>
    <row r="424" spans="1:38" s="99" customFormat="1" ht="15.75" customHeight="1" x14ac:dyDescent="0.25">
      <c r="A424" s="110"/>
      <c r="B424" s="111"/>
      <c r="R424" s="148"/>
      <c r="S424" s="148"/>
      <c r="AL424" s="67"/>
    </row>
    <row r="425" spans="1:38" s="99" customFormat="1" ht="15.75" customHeight="1" x14ac:dyDescent="0.25">
      <c r="A425" s="110"/>
      <c r="B425" s="111"/>
      <c r="R425" s="148"/>
      <c r="S425" s="148"/>
      <c r="AL425" s="67"/>
    </row>
    <row r="426" spans="1:38" s="99" customFormat="1" ht="15.75" customHeight="1" x14ac:dyDescent="0.25">
      <c r="A426" s="110"/>
      <c r="B426" s="111"/>
      <c r="R426" s="148"/>
      <c r="S426" s="148"/>
      <c r="AL426" s="67"/>
    </row>
    <row r="427" spans="1:38" s="99" customFormat="1" ht="15.75" customHeight="1" x14ac:dyDescent="0.25">
      <c r="A427" s="110"/>
      <c r="B427" s="111"/>
      <c r="R427" s="148"/>
      <c r="S427" s="148"/>
      <c r="AL427" s="67"/>
    </row>
    <row r="428" spans="1:38" s="99" customFormat="1" ht="15.75" customHeight="1" x14ac:dyDescent="0.25">
      <c r="A428" s="110"/>
      <c r="B428" s="111"/>
      <c r="R428" s="148"/>
      <c r="S428" s="148"/>
      <c r="AL428" s="67"/>
    </row>
    <row r="429" spans="1:38" s="99" customFormat="1" ht="15.75" customHeight="1" x14ac:dyDescent="0.25">
      <c r="A429" s="110"/>
      <c r="B429" s="111"/>
      <c r="R429" s="148"/>
      <c r="S429" s="148"/>
      <c r="AL429" s="67"/>
    </row>
    <row r="430" spans="1:38" s="99" customFormat="1" ht="15.75" customHeight="1" x14ac:dyDescent="0.25">
      <c r="A430" s="110"/>
      <c r="B430" s="111"/>
      <c r="R430" s="148"/>
      <c r="S430" s="148"/>
      <c r="AL430" s="67"/>
    </row>
    <row r="431" spans="1:38" s="99" customFormat="1" ht="15.75" customHeight="1" x14ac:dyDescent="0.25">
      <c r="A431" s="110"/>
      <c r="B431" s="111"/>
      <c r="R431" s="148"/>
      <c r="S431" s="148"/>
      <c r="AL431" s="67"/>
    </row>
    <row r="432" spans="1:38" s="99" customFormat="1" ht="15.75" customHeight="1" x14ac:dyDescent="0.25">
      <c r="A432" s="110"/>
      <c r="B432" s="111"/>
      <c r="R432" s="148"/>
      <c r="S432" s="148"/>
      <c r="AL432" s="67"/>
    </row>
    <row r="433" spans="1:38" s="99" customFormat="1" ht="15.75" customHeight="1" x14ac:dyDescent="0.25">
      <c r="A433" s="110"/>
      <c r="B433" s="111"/>
      <c r="R433" s="148"/>
      <c r="S433" s="148"/>
      <c r="AL433" s="67"/>
    </row>
    <row r="434" spans="1:38" s="99" customFormat="1" ht="15.75" customHeight="1" x14ac:dyDescent="0.25">
      <c r="A434" s="110"/>
      <c r="B434" s="111"/>
      <c r="R434" s="148"/>
      <c r="S434" s="148"/>
      <c r="AL434" s="67"/>
    </row>
    <row r="435" spans="1:38" s="99" customFormat="1" ht="15.75" customHeight="1" x14ac:dyDescent="0.25">
      <c r="A435" s="110"/>
      <c r="B435" s="111"/>
      <c r="R435" s="148"/>
      <c r="S435" s="148"/>
      <c r="AL435" s="67"/>
    </row>
    <row r="436" spans="1:38" s="99" customFormat="1" ht="15.75" customHeight="1" x14ac:dyDescent="0.25">
      <c r="A436" s="110"/>
      <c r="B436" s="111"/>
      <c r="R436" s="148"/>
      <c r="S436" s="148"/>
      <c r="AL436" s="67"/>
    </row>
    <row r="437" spans="1:38" s="99" customFormat="1" ht="15.75" customHeight="1" x14ac:dyDescent="0.25">
      <c r="A437" s="110"/>
      <c r="B437" s="111"/>
      <c r="R437" s="148"/>
      <c r="S437" s="148"/>
      <c r="AL437" s="67"/>
    </row>
    <row r="438" spans="1:38" s="99" customFormat="1" ht="15.75" customHeight="1" x14ac:dyDescent="0.25">
      <c r="A438" s="110"/>
      <c r="B438" s="111"/>
      <c r="R438" s="148"/>
      <c r="S438" s="148"/>
      <c r="AL438" s="67"/>
    </row>
    <row r="439" spans="1:38" s="99" customFormat="1" ht="15.75" customHeight="1" x14ac:dyDescent="0.25">
      <c r="A439" s="110"/>
      <c r="B439" s="111"/>
      <c r="R439" s="148"/>
      <c r="S439" s="148"/>
      <c r="AL439" s="67"/>
    </row>
    <row r="440" spans="1:38" s="99" customFormat="1" ht="15.75" customHeight="1" x14ac:dyDescent="0.25">
      <c r="A440" s="110"/>
      <c r="B440" s="111"/>
      <c r="R440" s="148"/>
      <c r="S440" s="148"/>
      <c r="AL440" s="67"/>
    </row>
    <row r="441" spans="1:38" s="99" customFormat="1" ht="15.75" customHeight="1" x14ac:dyDescent="0.25">
      <c r="A441" s="110"/>
      <c r="B441" s="111"/>
      <c r="R441" s="148"/>
      <c r="S441" s="148"/>
      <c r="AL441" s="67"/>
    </row>
    <row r="442" spans="1:38" s="99" customFormat="1" ht="15.75" customHeight="1" x14ac:dyDescent="0.25">
      <c r="A442" s="110"/>
      <c r="B442" s="111"/>
      <c r="R442" s="148"/>
      <c r="S442" s="148"/>
      <c r="AL442" s="67"/>
    </row>
    <row r="443" spans="1:38" s="99" customFormat="1" ht="15.75" customHeight="1" x14ac:dyDescent="0.25">
      <c r="A443" s="110"/>
      <c r="B443" s="111"/>
      <c r="R443" s="148"/>
      <c r="S443" s="148"/>
      <c r="AL443" s="67"/>
    </row>
    <row r="444" spans="1:38" s="99" customFormat="1" ht="15.75" customHeight="1" x14ac:dyDescent="0.25">
      <c r="A444" s="110"/>
      <c r="B444" s="111"/>
      <c r="R444" s="148"/>
      <c r="S444" s="148"/>
      <c r="AL444" s="67"/>
    </row>
    <row r="445" spans="1:38" s="99" customFormat="1" ht="15.75" customHeight="1" x14ac:dyDescent="0.25">
      <c r="A445" s="110"/>
      <c r="B445" s="111"/>
      <c r="R445" s="148"/>
      <c r="S445" s="148"/>
      <c r="AL445" s="67"/>
    </row>
    <row r="446" spans="1:38" s="99" customFormat="1" ht="15.75" customHeight="1" x14ac:dyDescent="0.25">
      <c r="A446" s="110"/>
      <c r="B446" s="111"/>
      <c r="R446" s="148"/>
      <c r="S446" s="148"/>
      <c r="AL446" s="67"/>
    </row>
    <row r="447" spans="1:38" s="99" customFormat="1" ht="15.75" customHeight="1" x14ac:dyDescent="0.25">
      <c r="A447" s="110"/>
      <c r="B447" s="111"/>
      <c r="R447" s="148"/>
      <c r="S447" s="148"/>
      <c r="AL447" s="67"/>
    </row>
    <row r="448" spans="1:38" s="99" customFormat="1" ht="15.75" customHeight="1" x14ac:dyDescent="0.25">
      <c r="A448" s="110"/>
      <c r="B448" s="111"/>
      <c r="R448" s="148"/>
      <c r="S448" s="148"/>
      <c r="AL448" s="67"/>
    </row>
    <row r="449" spans="1:38" s="99" customFormat="1" ht="15.75" customHeight="1" x14ac:dyDescent="0.25">
      <c r="A449" s="110"/>
      <c r="B449" s="111"/>
      <c r="R449" s="148"/>
      <c r="S449" s="148"/>
      <c r="AL449" s="67"/>
    </row>
    <row r="450" spans="1:38" s="99" customFormat="1" ht="15.75" customHeight="1" x14ac:dyDescent="0.25">
      <c r="A450" s="110"/>
      <c r="B450" s="111"/>
      <c r="R450" s="148"/>
      <c r="S450" s="148"/>
      <c r="AL450" s="67"/>
    </row>
    <row r="451" spans="1:38" s="99" customFormat="1" ht="15.75" customHeight="1" x14ac:dyDescent="0.25">
      <c r="A451" s="110"/>
      <c r="B451" s="111"/>
      <c r="R451" s="148"/>
      <c r="S451" s="148"/>
      <c r="AL451" s="67"/>
    </row>
    <row r="452" spans="1:38" s="99" customFormat="1" ht="15.75" customHeight="1" x14ac:dyDescent="0.25">
      <c r="A452" s="110"/>
      <c r="B452" s="111"/>
      <c r="R452" s="148"/>
      <c r="S452" s="148"/>
      <c r="AL452" s="67"/>
    </row>
    <row r="453" spans="1:38" s="99" customFormat="1" ht="15.75" customHeight="1" x14ac:dyDescent="0.25">
      <c r="A453" s="110"/>
      <c r="B453" s="111"/>
      <c r="R453" s="148"/>
      <c r="S453" s="148"/>
      <c r="AL453" s="67"/>
    </row>
    <row r="454" spans="1:38" s="99" customFormat="1" ht="15.75" customHeight="1" x14ac:dyDescent="0.25">
      <c r="A454" s="110"/>
      <c r="B454" s="111"/>
      <c r="R454" s="148"/>
      <c r="S454" s="148"/>
      <c r="AL454" s="67"/>
    </row>
    <row r="455" spans="1:38" s="99" customFormat="1" ht="15.75" customHeight="1" x14ac:dyDescent="0.25">
      <c r="A455" s="110"/>
      <c r="B455" s="111"/>
      <c r="R455" s="148"/>
      <c r="S455" s="148"/>
      <c r="AL455" s="67"/>
    </row>
    <row r="456" spans="1:38" s="99" customFormat="1" ht="15.75" customHeight="1" x14ac:dyDescent="0.25">
      <c r="A456" s="110"/>
      <c r="B456" s="111"/>
      <c r="R456" s="148"/>
      <c r="S456" s="148"/>
      <c r="AL456" s="67"/>
    </row>
    <row r="457" spans="1:38" s="99" customFormat="1" ht="15.75" customHeight="1" x14ac:dyDescent="0.25">
      <c r="A457" s="110"/>
      <c r="B457" s="111"/>
      <c r="R457" s="148"/>
      <c r="S457" s="148"/>
      <c r="AL457" s="67"/>
    </row>
    <row r="458" spans="1:38" s="99" customFormat="1" ht="15.75" customHeight="1" x14ac:dyDescent="0.25">
      <c r="A458" s="110"/>
      <c r="B458" s="111"/>
      <c r="R458" s="148"/>
      <c r="S458" s="148"/>
      <c r="AL458" s="67"/>
    </row>
    <row r="459" spans="1:38" s="99" customFormat="1" ht="15.75" customHeight="1" x14ac:dyDescent="0.25">
      <c r="A459" s="110"/>
      <c r="B459" s="111"/>
      <c r="R459" s="148"/>
      <c r="S459" s="148"/>
      <c r="AL459" s="67"/>
    </row>
    <row r="460" spans="1:38" s="99" customFormat="1" ht="15.75" customHeight="1" x14ac:dyDescent="0.25">
      <c r="A460" s="110"/>
      <c r="B460" s="111"/>
      <c r="R460" s="148"/>
      <c r="S460" s="148"/>
      <c r="AL460" s="67"/>
    </row>
    <row r="461" spans="1:38" s="99" customFormat="1" ht="15.75" customHeight="1" x14ac:dyDescent="0.25">
      <c r="A461" s="110"/>
      <c r="B461" s="111"/>
      <c r="R461" s="148"/>
      <c r="S461" s="148"/>
      <c r="AL461" s="67"/>
    </row>
    <row r="462" spans="1:38" s="99" customFormat="1" ht="15.75" customHeight="1" x14ac:dyDescent="0.25">
      <c r="A462" s="110"/>
      <c r="B462" s="111"/>
      <c r="R462" s="148"/>
      <c r="S462" s="148"/>
      <c r="AL462" s="67"/>
    </row>
    <row r="463" spans="1:38" s="99" customFormat="1" ht="15.75" customHeight="1" x14ac:dyDescent="0.25">
      <c r="A463" s="110"/>
      <c r="B463" s="111"/>
      <c r="R463" s="148"/>
      <c r="S463" s="148"/>
      <c r="AL463" s="67"/>
    </row>
    <row r="464" spans="1:38" s="99" customFormat="1" ht="15.75" customHeight="1" x14ac:dyDescent="0.25">
      <c r="A464" s="110"/>
      <c r="B464" s="111"/>
      <c r="R464" s="148"/>
      <c r="S464" s="148"/>
      <c r="AL464" s="67"/>
    </row>
    <row r="465" spans="1:38" s="99" customFormat="1" ht="15.75" customHeight="1" x14ac:dyDescent="0.25">
      <c r="A465" s="110"/>
      <c r="B465" s="111"/>
      <c r="R465" s="148"/>
      <c r="S465" s="148"/>
      <c r="AL465" s="67"/>
    </row>
    <row r="466" spans="1:38" s="99" customFormat="1" ht="15.75" customHeight="1" x14ac:dyDescent="0.25">
      <c r="A466" s="110"/>
      <c r="B466" s="111"/>
      <c r="R466" s="148"/>
      <c r="S466" s="148"/>
      <c r="AL466" s="67"/>
    </row>
    <row r="467" spans="1:38" s="99" customFormat="1" ht="15.75" customHeight="1" x14ac:dyDescent="0.25">
      <c r="A467" s="110"/>
      <c r="B467" s="111"/>
      <c r="R467" s="148"/>
      <c r="S467" s="148"/>
      <c r="AL467" s="67"/>
    </row>
    <row r="468" spans="1:38" s="99" customFormat="1" ht="15.75" customHeight="1" x14ac:dyDescent="0.25">
      <c r="A468" s="110"/>
      <c r="B468" s="111"/>
      <c r="R468" s="148"/>
      <c r="S468" s="148"/>
      <c r="AL468" s="67"/>
    </row>
    <row r="469" spans="1:38" s="99" customFormat="1" ht="15.75" customHeight="1" x14ac:dyDescent="0.25">
      <c r="A469" s="110"/>
      <c r="B469" s="111"/>
      <c r="R469" s="148"/>
      <c r="S469" s="148"/>
      <c r="AL469" s="67"/>
    </row>
    <row r="470" spans="1:38" s="99" customFormat="1" ht="15.75" customHeight="1" x14ac:dyDescent="0.25">
      <c r="A470" s="110"/>
      <c r="B470" s="111"/>
      <c r="R470" s="148"/>
      <c r="S470" s="148"/>
      <c r="AL470" s="67"/>
    </row>
    <row r="471" spans="1:38" s="99" customFormat="1" ht="15.75" customHeight="1" x14ac:dyDescent="0.25">
      <c r="A471" s="110"/>
      <c r="B471" s="111"/>
      <c r="R471" s="148"/>
      <c r="S471" s="148"/>
      <c r="AL471" s="67"/>
    </row>
    <row r="472" spans="1:38" s="99" customFormat="1" ht="15.75" customHeight="1" x14ac:dyDescent="0.25">
      <c r="A472" s="110"/>
      <c r="B472" s="111"/>
      <c r="R472" s="148"/>
      <c r="S472" s="148"/>
      <c r="AL472" s="67"/>
    </row>
    <row r="473" spans="1:38" s="99" customFormat="1" ht="15.75" customHeight="1" x14ac:dyDescent="0.25">
      <c r="A473" s="110"/>
      <c r="B473" s="111"/>
      <c r="R473" s="148"/>
      <c r="S473" s="148"/>
      <c r="AL473" s="67"/>
    </row>
    <row r="474" spans="1:38" s="99" customFormat="1" ht="15.75" customHeight="1" x14ac:dyDescent="0.25">
      <c r="A474" s="110"/>
      <c r="B474" s="111"/>
      <c r="R474" s="148"/>
      <c r="S474" s="148"/>
      <c r="AL474" s="67"/>
    </row>
    <row r="475" spans="1:38" s="99" customFormat="1" ht="15.75" customHeight="1" x14ac:dyDescent="0.25">
      <c r="A475" s="110"/>
      <c r="B475" s="111"/>
      <c r="R475" s="148"/>
      <c r="S475" s="148"/>
      <c r="AL475" s="67"/>
    </row>
    <row r="476" spans="1:38" s="99" customFormat="1" ht="15.75" customHeight="1" x14ac:dyDescent="0.25">
      <c r="A476" s="110"/>
      <c r="B476" s="111"/>
      <c r="R476" s="148"/>
      <c r="S476" s="148"/>
      <c r="AL476" s="67"/>
    </row>
    <row r="477" spans="1:38" s="99" customFormat="1" ht="15.75" customHeight="1" x14ac:dyDescent="0.25">
      <c r="A477" s="110"/>
      <c r="B477" s="111"/>
      <c r="R477" s="148"/>
      <c r="S477" s="148"/>
      <c r="AL477" s="67"/>
    </row>
    <row r="478" spans="1:38" s="99" customFormat="1" ht="15.75" customHeight="1" x14ac:dyDescent="0.25">
      <c r="A478" s="110"/>
      <c r="B478" s="111"/>
      <c r="R478" s="148"/>
      <c r="S478" s="148"/>
      <c r="AL478" s="67"/>
    </row>
    <row r="479" spans="1:38" s="99" customFormat="1" ht="15.75" customHeight="1" x14ac:dyDescent="0.25">
      <c r="A479" s="110"/>
      <c r="B479" s="111"/>
      <c r="R479" s="148"/>
      <c r="S479" s="148"/>
      <c r="AL479" s="67"/>
    </row>
    <row r="480" spans="1:38" s="99" customFormat="1" ht="15.75" customHeight="1" x14ac:dyDescent="0.25">
      <c r="A480" s="110"/>
      <c r="B480" s="111"/>
      <c r="R480" s="148"/>
      <c r="S480" s="148"/>
      <c r="AL480" s="67"/>
    </row>
    <row r="481" spans="1:38" s="99" customFormat="1" ht="15.75" customHeight="1" x14ac:dyDescent="0.25">
      <c r="A481" s="110"/>
      <c r="B481" s="111"/>
      <c r="R481" s="148"/>
      <c r="S481" s="148"/>
      <c r="AL481" s="67"/>
    </row>
    <row r="482" spans="1:38" s="99" customFormat="1" ht="15.75" customHeight="1" x14ac:dyDescent="0.25">
      <c r="A482" s="110"/>
      <c r="B482" s="111"/>
      <c r="R482" s="148"/>
      <c r="S482" s="148"/>
      <c r="AL482" s="67"/>
    </row>
    <row r="483" spans="1:38" s="99" customFormat="1" ht="15.75" customHeight="1" x14ac:dyDescent="0.25">
      <c r="A483" s="110"/>
      <c r="B483" s="111"/>
      <c r="R483" s="148"/>
      <c r="S483" s="148"/>
      <c r="AL483" s="67"/>
    </row>
    <row r="484" spans="1:38" s="99" customFormat="1" ht="15.75" customHeight="1" x14ac:dyDescent="0.25">
      <c r="A484" s="110"/>
      <c r="B484" s="111"/>
      <c r="R484" s="148"/>
      <c r="S484" s="148"/>
      <c r="AL484" s="67"/>
    </row>
    <row r="485" spans="1:38" s="99" customFormat="1" ht="15.75" customHeight="1" x14ac:dyDescent="0.25">
      <c r="A485" s="110"/>
      <c r="B485" s="111"/>
      <c r="R485" s="148"/>
      <c r="S485" s="148"/>
      <c r="AL485" s="67"/>
    </row>
    <row r="486" spans="1:38" s="99" customFormat="1" ht="15.75" customHeight="1" x14ac:dyDescent="0.25">
      <c r="A486" s="110"/>
      <c r="B486" s="111"/>
      <c r="R486" s="148"/>
      <c r="S486" s="148"/>
      <c r="AL486" s="67"/>
    </row>
    <row r="487" spans="1:38" s="99" customFormat="1" ht="15.75" customHeight="1" x14ac:dyDescent="0.25">
      <c r="A487" s="110"/>
      <c r="B487" s="111"/>
      <c r="R487" s="148"/>
      <c r="S487" s="148"/>
      <c r="AL487" s="67"/>
    </row>
    <row r="488" spans="1:38" s="99" customFormat="1" ht="15.75" customHeight="1" x14ac:dyDescent="0.25">
      <c r="A488" s="110"/>
      <c r="B488" s="111"/>
      <c r="R488" s="148"/>
      <c r="S488" s="148"/>
      <c r="AL488" s="67"/>
    </row>
    <row r="489" spans="1:38" s="99" customFormat="1" ht="15.75" customHeight="1" x14ac:dyDescent="0.25">
      <c r="A489" s="110"/>
      <c r="B489" s="111"/>
      <c r="R489" s="148"/>
      <c r="S489" s="148"/>
      <c r="AL489" s="67"/>
    </row>
    <row r="490" spans="1:38" s="99" customFormat="1" ht="15.75" customHeight="1" x14ac:dyDescent="0.25">
      <c r="A490" s="110"/>
      <c r="B490" s="111"/>
      <c r="R490" s="148"/>
      <c r="S490" s="148"/>
      <c r="AL490" s="67"/>
    </row>
    <row r="491" spans="1:38" s="99" customFormat="1" ht="15.75" customHeight="1" x14ac:dyDescent="0.25">
      <c r="A491" s="110"/>
      <c r="B491" s="111"/>
      <c r="R491" s="148"/>
      <c r="S491" s="148"/>
      <c r="AL491" s="67"/>
    </row>
    <row r="492" spans="1:38" s="99" customFormat="1" ht="15.75" customHeight="1" x14ac:dyDescent="0.25">
      <c r="A492" s="110"/>
      <c r="B492" s="111"/>
      <c r="R492" s="148"/>
      <c r="S492" s="148"/>
      <c r="AL492" s="67"/>
    </row>
    <row r="493" spans="1:38" s="99" customFormat="1" ht="15.75" customHeight="1" x14ac:dyDescent="0.25">
      <c r="A493" s="110"/>
      <c r="B493" s="111"/>
      <c r="R493" s="148"/>
      <c r="S493" s="148"/>
      <c r="AL493" s="67"/>
    </row>
    <row r="494" spans="1:38" s="99" customFormat="1" ht="15.75" customHeight="1" x14ac:dyDescent="0.25">
      <c r="A494" s="110"/>
      <c r="B494" s="111"/>
      <c r="R494" s="148"/>
      <c r="S494" s="148"/>
      <c r="AL494" s="67"/>
    </row>
    <row r="495" spans="1:38" s="99" customFormat="1" ht="15.75" customHeight="1" x14ac:dyDescent="0.25">
      <c r="A495" s="110"/>
      <c r="B495" s="111"/>
      <c r="R495" s="148"/>
      <c r="S495" s="148"/>
      <c r="AL495" s="67"/>
    </row>
    <row r="496" spans="1:38" s="99" customFormat="1" ht="15.75" customHeight="1" x14ac:dyDescent="0.25">
      <c r="A496" s="110"/>
      <c r="B496" s="111"/>
      <c r="R496" s="148"/>
      <c r="S496" s="148"/>
      <c r="AL496" s="67"/>
    </row>
    <row r="497" spans="1:38" s="99" customFormat="1" ht="15.75" customHeight="1" x14ac:dyDescent="0.25">
      <c r="A497" s="110"/>
      <c r="B497" s="111"/>
      <c r="R497" s="148"/>
      <c r="S497" s="148"/>
      <c r="AL497" s="67"/>
    </row>
    <row r="498" spans="1:38" s="99" customFormat="1" ht="15.75" customHeight="1" x14ac:dyDescent="0.25">
      <c r="A498" s="110"/>
      <c r="B498" s="111"/>
      <c r="R498" s="148"/>
      <c r="S498" s="148"/>
      <c r="AL498" s="67"/>
    </row>
    <row r="499" spans="1:38" s="99" customFormat="1" ht="15.75" customHeight="1" x14ac:dyDescent="0.25">
      <c r="A499" s="110"/>
      <c r="B499" s="111"/>
      <c r="R499" s="148"/>
      <c r="S499" s="148"/>
      <c r="AL499" s="67"/>
    </row>
    <row r="500" spans="1:38" s="99" customFormat="1" ht="15.75" customHeight="1" x14ac:dyDescent="0.25">
      <c r="A500" s="110"/>
      <c r="B500" s="111"/>
      <c r="R500" s="148"/>
      <c r="S500" s="148"/>
      <c r="AL500" s="67"/>
    </row>
    <row r="501" spans="1:38" s="99" customFormat="1" ht="15.75" customHeight="1" x14ac:dyDescent="0.25">
      <c r="A501" s="110"/>
      <c r="B501" s="111"/>
      <c r="R501" s="148"/>
      <c r="S501" s="148"/>
      <c r="AL501" s="67"/>
    </row>
    <row r="502" spans="1:38" s="99" customFormat="1" ht="15.75" customHeight="1" x14ac:dyDescent="0.25">
      <c r="A502" s="110"/>
      <c r="B502" s="111"/>
      <c r="R502" s="148"/>
      <c r="S502" s="148"/>
      <c r="AL502" s="67"/>
    </row>
    <row r="503" spans="1:38" s="99" customFormat="1" ht="15.75" customHeight="1" x14ac:dyDescent="0.25">
      <c r="A503" s="110"/>
      <c r="B503" s="111"/>
      <c r="R503" s="148"/>
      <c r="S503" s="148"/>
      <c r="AL503" s="67"/>
    </row>
    <row r="504" spans="1:38" s="99" customFormat="1" ht="15.75" customHeight="1" x14ac:dyDescent="0.25">
      <c r="A504" s="110"/>
      <c r="B504" s="111"/>
      <c r="R504" s="148"/>
      <c r="S504" s="148"/>
      <c r="AL504" s="67"/>
    </row>
    <row r="505" spans="1:38" s="99" customFormat="1" ht="15.75" customHeight="1" x14ac:dyDescent="0.25">
      <c r="A505" s="110"/>
      <c r="B505" s="111"/>
      <c r="R505" s="148"/>
      <c r="S505" s="148"/>
      <c r="AL505" s="67"/>
    </row>
    <row r="506" spans="1:38" s="99" customFormat="1" ht="15.75" customHeight="1" x14ac:dyDescent="0.25">
      <c r="A506" s="110"/>
      <c r="B506" s="111"/>
      <c r="R506" s="148"/>
      <c r="S506" s="148"/>
      <c r="AL506" s="67"/>
    </row>
    <row r="507" spans="1:38" s="99" customFormat="1" ht="15.75" customHeight="1" x14ac:dyDescent="0.25">
      <c r="A507" s="110"/>
      <c r="B507" s="111"/>
      <c r="R507" s="148"/>
      <c r="S507" s="148"/>
      <c r="AL507" s="67"/>
    </row>
    <row r="508" spans="1:38" s="99" customFormat="1" ht="15.75" customHeight="1" x14ac:dyDescent="0.25">
      <c r="A508" s="110"/>
      <c r="B508" s="111"/>
      <c r="R508" s="148"/>
      <c r="S508" s="148"/>
      <c r="AL508" s="67"/>
    </row>
    <row r="509" spans="1:38" s="99" customFormat="1" ht="15.75" customHeight="1" x14ac:dyDescent="0.25">
      <c r="A509" s="110"/>
      <c r="B509" s="111"/>
      <c r="R509" s="148"/>
      <c r="S509" s="148"/>
      <c r="AL509" s="67"/>
    </row>
    <row r="510" spans="1:38" s="99" customFormat="1" ht="15.75" customHeight="1" x14ac:dyDescent="0.25">
      <c r="A510" s="110"/>
      <c r="B510" s="111"/>
      <c r="R510" s="148"/>
      <c r="S510" s="148"/>
      <c r="AL510" s="67"/>
    </row>
    <row r="511" spans="1:38" s="99" customFormat="1" ht="15.75" customHeight="1" x14ac:dyDescent="0.25">
      <c r="A511" s="110"/>
      <c r="B511" s="111"/>
      <c r="R511" s="148"/>
      <c r="S511" s="148"/>
      <c r="AL511" s="67"/>
    </row>
    <row r="512" spans="1:38" s="99" customFormat="1" ht="15.75" customHeight="1" x14ac:dyDescent="0.25">
      <c r="A512" s="110"/>
      <c r="B512" s="111"/>
      <c r="R512" s="148"/>
      <c r="S512" s="148"/>
      <c r="AL512" s="67"/>
    </row>
    <row r="513" spans="1:38" s="99" customFormat="1" ht="15.75" customHeight="1" x14ac:dyDescent="0.25">
      <c r="A513" s="110"/>
      <c r="B513" s="111"/>
      <c r="R513" s="148"/>
      <c r="S513" s="148"/>
      <c r="AL513" s="67"/>
    </row>
    <row r="514" spans="1:38" s="99" customFormat="1" ht="15.75" customHeight="1" x14ac:dyDescent="0.25">
      <c r="A514" s="110"/>
      <c r="B514" s="111"/>
      <c r="R514" s="148"/>
      <c r="S514" s="148"/>
      <c r="AL514" s="67"/>
    </row>
    <row r="515" spans="1:38" s="99" customFormat="1" ht="15.75" customHeight="1" x14ac:dyDescent="0.25">
      <c r="A515" s="110"/>
      <c r="B515" s="111"/>
      <c r="R515" s="148"/>
      <c r="S515" s="148"/>
      <c r="AL515" s="67"/>
    </row>
    <row r="516" spans="1:38" s="99" customFormat="1" ht="15.75" customHeight="1" x14ac:dyDescent="0.25">
      <c r="A516" s="110"/>
      <c r="B516" s="111"/>
      <c r="R516" s="148"/>
      <c r="S516" s="148"/>
      <c r="AL516" s="67"/>
    </row>
    <row r="517" spans="1:38" s="99" customFormat="1" ht="15.75" customHeight="1" x14ac:dyDescent="0.25">
      <c r="A517" s="110"/>
      <c r="B517" s="111"/>
      <c r="R517" s="148"/>
      <c r="S517" s="148"/>
      <c r="AL517" s="67"/>
    </row>
    <row r="518" spans="1:38" s="99" customFormat="1" ht="15.75" customHeight="1" x14ac:dyDescent="0.25">
      <c r="A518" s="110"/>
      <c r="B518" s="111"/>
      <c r="R518" s="148"/>
      <c r="S518" s="148"/>
      <c r="AL518" s="67"/>
    </row>
    <row r="519" spans="1:38" s="99" customFormat="1" ht="15.75" customHeight="1" x14ac:dyDescent="0.25">
      <c r="A519" s="110"/>
      <c r="B519" s="111"/>
      <c r="R519" s="148"/>
      <c r="S519" s="148"/>
      <c r="AL519" s="67"/>
    </row>
    <row r="520" spans="1:38" s="99" customFormat="1" ht="15.75" customHeight="1" x14ac:dyDescent="0.25">
      <c r="A520" s="110"/>
      <c r="B520" s="111"/>
      <c r="R520" s="148"/>
      <c r="S520" s="148"/>
      <c r="AL520" s="67"/>
    </row>
    <row r="521" spans="1:38" s="99" customFormat="1" ht="15.75" customHeight="1" x14ac:dyDescent="0.25">
      <c r="A521" s="110"/>
      <c r="B521" s="111"/>
      <c r="R521" s="148"/>
      <c r="S521" s="148"/>
      <c r="AL521" s="67"/>
    </row>
    <row r="522" spans="1:38" s="99" customFormat="1" ht="15.75" customHeight="1" x14ac:dyDescent="0.25">
      <c r="A522" s="110"/>
      <c r="B522" s="111"/>
      <c r="R522" s="148"/>
      <c r="S522" s="148"/>
      <c r="AL522" s="67"/>
    </row>
    <row r="523" spans="1:38" s="99" customFormat="1" ht="15.75" customHeight="1" x14ac:dyDescent="0.25">
      <c r="A523" s="110"/>
      <c r="B523" s="111"/>
      <c r="R523" s="148"/>
      <c r="S523" s="148"/>
      <c r="AL523" s="67"/>
    </row>
    <row r="524" spans="1:38" s="99" customFormat="1" ht="15.75" customHeight="1" x14ac:dyDescent="0.25">
      <c r="A524" s="110"/>
      <c r="B524" s="111"/>
      <c r="R524" s="148"/>
      <c r="S524" s="148"/>
      <c r="AL524" s="67"/>
    </row>
    <row r="525" spans="1:38" s="99" customFormat="1" ht="15.75" customHeight="1" x14ac:dyDescent="0.25">
      <c r="A525" s="110"/>
      <c r="B525" s="111"/>
      <c r="R525" s="148"/>
      <c r="S525" s="148"/>
      <c r="AL525" s="67"/>
    </row>
    <row r="526" spans="1:38" s="99" customFormat="1" ht="15.75" customHeight="1" x14ac:dyDescent="0.25">
      <c r="A526" s="110"/>
      <c r="B526" s="111"/>
      <c r="R526" s="148"/>
      <c r="S526" s="148"/>
      <c r="AL526" s="67"/>
    </row>
    <row r="527" spans="1:38" s="99" customFormat="1" ht="15.75" customHeight="1" x14ac:dyDescent="0.25">
      <c r="A527" s="110"/>
      <c r="B527" s="111"/>
      <c r="R527" s="148"/>
      <c r="S527" s="148"/>
      <c r="AL527" s="67"/>
    </row>
    <row r="528" spans="1:38" s="99" customFormat="1" ht="15.75" customHeight="1" x14ac:dyDescent="0.25">
      <c r="A528" s="110"/>
      <c r="B528" s="111"/>
      <c r="R528" s="148"/>
      <c r="S528" s="148"/>
      <c r="AL528" s="67"/>
    </row>
    <row r="529" spans="1:38" s="99" customFormat="1" ht="15.75" customHeight="1" x14ac:dyDescent="0.25">
      <c r="A529" s="110"/>
      <c r="B529" s="111"/>
      <c r="R529" s="148"/>
      <c r="S529" s="148"/>
      <c r="AL529" s="67"/>
    </row>
    <row r="530" spans="1:38" s="99" customFormat="1" ht="15.75" customHeight="1" x14ac:dyDescent="0.25">
      <c r="A530" s="110"/>
      <c r="B530" s="111"/>
      <c r="R530" s="148"/>
      <c r="S530" s="148"/>
      <c r="AL530" s="67"/>
    </row>
    <row r="531" spans="1:38" s="99" customFormat="1" ht="15.75" customHeight="1" x14ac:dyDescent="0.25">
      <c r="A531" s="110"/>
      <c r="B531" s="111"/>
      <c r="R531" s="148"/>
      <c r="S531" s="148"/>
      <c r="AL531" s="67"/>
    </row>
    <row r="532" spans="1:38" s="99" customFormat="1" ht="15.75" customHeight="1" x14ac:dyDescent="0.25">
      <c r="A532" s="110"/>
      <c r="B532" s="111"/>
      <c r="R532" s="148"/>
      <c r="S532" s="148"/>
      <c r="AL532" s="67"/>
    </row>
    <row r="533" spans="1:38" s="99" customFormat="1" ht="15.75" customHeight="1" x14ac:dyDescent="0.25">
      <c r="A533" s="110"/>
      <c r="B533" s="111"/>
      <c r="R533" s="148"/>
      <c r="S533" s="148"/>
      <c r="AL533" s="67"/>
    </row>
    <row r="534" spans="1:38" s="99" customFormat="1" ht="15.75" customHeight="1" x14ac:dyDescent="0.25">
      <c r="A534" s="110"/>
      <c r="B534" s="111"/>
      <c r="R534" s="148"/>
      <c r="S534" s="148"/>
      <c r="AL534" s="67"/>
    </row>
    <row r="535" spans="1:38" s="99" customFormat="1" ht="15.75" customHeight="1" x14ac:dyDescent="0.25">
      <c r="A535" s="110"/>
      <c r="B535" s="111"/>
      <c r="R535" s="148"/>
      <c r="S535" s="148"/>
      <c r="AL535" s="67"/>
    </row>
    <row r="536" spans="1:38" s="99" customFormat="1" ht="15.75" customHeight="1" x14ac:dyDescent="0.25">
      <c r="A536" s="110"/>
      <c r="B536" s="111"/>
      <c r="R536" s="148"/>
      <c r="S536" s="148"/>
      <c r="AL536" s="67"/>
    </row>
    <row r="537" spans="1:38" s="99" customFormat="1" ht="15.75" customHeight="1" x14ac:dyDescent="0.25">
      <c r="A537" s="110"/>
      <c r="B537" s="111"/>
      <c r="R537" s="148"/>
      <c r="S537" s="148"/>
      <c r="AL537" s="67"/>
    </row>
    <row r="538" spans="1:38" s="99" customFormat="1" ht="15.75" customHeight="1" x14ac:dyDescent="0.25">
      <c r="A538" s="110"/>
      <c r="B538" s="111"/>
      <c r="R538" s="148"/>
      <c r="S538" s="148"/>
      <c r="AL538" s="67"/>
    </row>
    <row r="539" spans="1:38" s="99" customFormat="1" ht="15.75" customHeight="1" x14ac:dyDescent="0.25">
      <c r="A539" s="110"/>
      <c r="B539" s="111"/>
      <c r="R539" s="148"/>
      <c r="S539" s="148"/>
      <c r="AL539" s="67"/>
    </row>
    <row r="540" spans="1:38" s="99" customFormat="1" ht="15.75" customHeight="1" x14ac:dyDescent="0.25">
      <c r="A540" s="110"/>
      <c r="B540" s="111"/>
      <c r="R540" s="148"/>
      <c r="S540" s="148"/>
      <c r="AL540" s="67"/>
    </row>
    <row r="541" spans="1:38" s="99" customFormat="1" ht="15.75" customHeight="1" x14ac:dyDescent="0.25">
      <c r="A541" s="110"/>
      <c r="B541" s="111"/>
      <c r="R541" s="148"/>
      <c r="S541" s="148"/>
      <c r="AL541" s="67"/>
    </row>
    <row r="542" spans="1:38" s="99" customFormat="1" ht="15.75" customHeight="1" x14ac:dyDescent="0.25">
      <c r="A542" s="110"/>
      <c r="B542" s="111"/>
      <c r="R542" s="148"/>
      <c r="S542" s="148"/>
      <c r="AL542" s="67"/>
    </row>
    <row r="543" spans="1:38" s="99" customFormat="1" ht="15.75" customHeight="1" x14ac:dyDescent="0.25">
      <c r="A543" s="110"/>
      <c r="B543" s="111"/>
      <c r="R543" s="148"/>
      <c r="S543" s="148"/>
      <c r="AL543" s="67"/>
    </row>
    <row r="544" spans="1:38" s="99" customFormat="1" ht="15.75" customHeight="1" x14ac:dyDescent="0.25">
      <c r="A544" s="110"/>
      <c r="B544" s="111"/>
      <c r="R544" s="148"/>
      <c r="S544" s="148"/>
      <c r="AL544" s="67"/>
    </row>
    <row r="545" spans="1:38" s="99" customFormat="1" ht="15.75" customHeight="1" x14ac:dyDescent="0.25">
      <c r="A545" s="110"/>
      <c r="B545" s="111"/>
      <c r="R545" s="148"/>
      <c r="S545" s="148"/>
      <c r="AL545" s="67"/>
    </row>
    <row r="546" spans="1:38" s="99" customFormat="1" ht="15.75" customHeight="1" x14ac:dyDescent="0.25">
      <c r="A546" s="110"/>
      <c r="B546" s="111"/>
      <c r="R546" s="148"/>
      <c r="S546" s="148"/>
      <c r="AL546" s="67"/>
    </row>
    <row r="547" spans="1:38" s="99" customFormat="1" ht="15.75" customHeight="1" x14ac:dyDescent="0.25">
      <c r="A547" s="110"/>
      <c r="B547" s="111"/>
      <c r="R547" s="148"/>
      <c r="S547" s="148"/>
      <c r="AL547" s="67"/>
    </row>
    <row r="548" spans="1:38" s="99" customFormat="1" ht="15.75" customHeight="1" x14ac:dyDescent="0.25">
      <c r="A548" s="110"/>
      <c r="B548" s="111"/>
      <c r="R548" s="148"/>
      <c r="S548" s="148"/>
      <c r="AL548" s="67"/>
    </row>
    <row r="549" spans="1:38" s="99" customFormat="1" ht="15.75" customHeight="1" x14ac:dyDescent="0.25">
      <c r="A549" s="110"/>
      <c r="B549" s="111"/>
      <c r="R549" s="148"/>
      <c r="S549" s="148"/>
      <c r="AL549" s="67"/>
    </row>
    <row r="550" spans="1:38" s="99" customFormat="1" ht="15.75" customHeight="1" x14ac:dyDescent="0.25">
      <c r="A550" s="110"/>
      <c r="B550" s="111"/>
      <c r="R550" s="148"/>
      <c r="S550" s="148"/>
      <c r="AL550" s="67"/>
    </row>
    <row r="551" spans="1:38" s="99" customFormat="1" ht="15.75" customHeight="1" x14ac:dyDescent="0.25">
      <c r="A551" s="110"/>
      <c r="B551" s="111"/>
      <c r="R551" s="148"/>
      <c r="S551" s="148"/>
      <c r="AL551" s="67"/>
    </row>
    <row r="552" spans="1:38" s="99" customFormat="1" ht="15.75" customHeight="1" x14ac:dyDescent="0.25">
      <c r="A552" s="110"/>
      <c r="B552" s="111"/>
      <c r="R552" s="148"/>
      <c r="S552" s="148"/>
      <c r="AL552" s="67"/>
    </row>
    <row r="553" spans="1:38" s="99" customFormat="1" ht="15.75" customHeight="1" x14ac:dyDescent="0.25">
      <c r="A553" s="110"/>
      <c r="B553" s="111"/>
      <c r="R553" s="148"/>
      <c r="S553" s="148"/>
      <c r="AL553" s="67"/>
    </row>
    <row r="554" spans="1:38" s="99" customFormat="1" ht="15.75" customHeight="1" x14ac:dyDescent="0.25">
      <c r="A554" s="110"/>
      <c r="B554" s="111"/>
      <c r="R554" s="148"/>
      <c r="S554" s="148"/>
      <c r="AL554" s="67"/>
    </row>
    <row r="555" spans="1:38" s="99" customFormat="1" ht="15.75" customHeight="1" x14ac:dyDescent="0.25">
      <c r="A555" s="110"/>
      <c r="B555" s="111"/>
      <c r="R555" s="148"/>
      <c r="S555" s="148"/>
      <c r="AL555" s="67"/>
    </row>
    <row r="556" spans="1:38" s="99" customFormat="1" ht="15.75" customHeight="1" x14ac:dyDescent="0.25">
      <c r="A556" s="110"/>
      <c r="B556" s="111"/>
      <c r="R556" s="148"/>
      <c r="S556" s="148"/>
      <c r="AL556" s="67"/>
    </row>
    <row r="557" spans="1:38" s="99" customFormat="1" ht="15.75" customHeight="1" x14ac:dyDescent="0.25">
      <c r="A557" s="110"/>
      <c r="B557" s="111"/>
      <c r="R557" s="148"/>
      <c r="S557" s="148"/>
      <c r="AL557" s="67"/>
    </row>
    <row r="558" spans="1:38" s="99" customFormat="1" ht="15.75" customHeight="1" x14ac:dyDescent="0.25">
      <c r="A558" s="110"/>
      <c r="B558" s="111"/>
      <c r="R558" s="148"/>
      <c r="S558" s="148"/>
      <c r="AL558" s="67"/>
    </row>
    <row r="559" spans="1:38" s="99" customFormat="1" ht="15.75" customHeight="1" x14ac:dyDescent="0.25">
      <c r="A559" s="110"/>
      <c r="B559" s="111"/>
      <c r="R559" s="148"/>
      <c r="S559" s="148"/>
      <c r="AL559" s="67"/>
    </row>
    <row r="560" spans="1:38" s="99" customFormat="1" ht="15.75" customHeight="1" x14ac:dyDescent="0.25">
      <c r="A560" s="110"/>
      <c r="B560" s="111"/>
      <c r="R560" s="148"/>
      <c r="S560" s="148"/>
      <c r="AL560" s="67"/>
    </row>
    <row r="561" spans="1:38" s="99" customFormat="1" ht="15.75" customHeight="1" x14ac:dyDescent="0.25">
      <c r="A561" s="110"/>
      <c r="B561" s="111"/>
      <c r="R561" s="148"/>
      <c r="S561" s="148"/>
      <c r="AL561" s="67"/>
    </row>
    <row r="562" spans="1:38" s="99" customFormat="1" ht="15.75" customHeight="1" x14ac:dyDescent="0.25">
      <c r="A562" s="110"/>
      <c r="B562" s="111"/>
      <c r="R562" s="148"/>
      <c r="S562" s="148"/>
      <c r="AL562" s="67"/>
    </row>
    <row r="563" spans="1:38" s="99" customFormat="1" ht="15.75" customHeight="1" x14ac:dyDescent="0.25">
      <c r="A563" s="110"/>
      <c r="B563" s="111"/>
      <c r="R563" s="148"/>
      <c r="S563" s="148"/>
      <c r="AL563" s="67"/>
    </row>
    <row r="564" spans="1:38" s="99" customFormat="1" ht="15.75" customHeight="1" x14ac:dyDescent="0.25">
      <c r="A564" s="110"/>
      <c r="B564" s="111"/>
      <c r="R564" s="148"/>
      <c r="S564" s="148"/>
      <c r="AL564" s="67"/>
    </row>
    <row r="565" spans="1:38" s="99" customFormat="1" ht="15.75" customHeight="1" x14ac:dyDescent="0.25">
      <c r="A565" s="110"/>
      <c r="B565" s="111"/>
      <c r="R565" s="148"/>
      <c r="S565" s="148"/>
      <c r="AL565" s="67"/>
    </row>
    <row r="566" spans="1:38" s="99" customFormat="1" ht="15.75" customHeight="1" x14ac:dyDescent="0.25">
      <c r="A566" s="110"/>
      <c r="B566" s="111"/>
      <c r="R566" s="148"/>
      <c r="S566" s="148"/>
      <c r="AL566" s="67"/>
    </row>
    <row r="567" spans="1:38" s="99" customFormat="1" ht="15.75" customHeight="1" x14ac:dyDescent="0.25">
      <c r="A567" s="110"/>
      <c r="B567" s="111"/>
      <c r="R567" s="148"/>
      <c r="S567" s="148"/>
      <c r="AL567" s="67"/>
    </row>
    <row r="568" spans="1:38" s="99" customFormat="1" ht="15.75" customHeight="1" x14ac:dyDescent="0.25">
      <c r="A568" s="110"/>
      <c r="B568" s="111"/>
      <c r="R568" s="148"/>
      <c r="S568" s="148"/>
      <c r="AL568" s="67"/>
    </row>
    <row r="569" spans="1:38" s="99" customFormat="1" ht="15.75" customHeight="1" x14ac:dyDescent="0.25">
      <c r="A569" s="110"/>
      <c r="B569" s="111"/>
      <c r="R569" s="148"/>
      <c r="S569" s="148"/>
      <c r="AL569" s="67"/>
    </row>
    <row r="570" spans="1:38" s="99" customFormat="1" ht="15.75" customHeight="1" x14ac:dyDescent="0.25">
      <c r="A570" s="110"/>
      <c r="B570" s="111"/>
      <c r="R570" s="148"/>
      <c r="S570" s="148"/>
      <c r="AL570" s="67"/>
    </row>
    <row r="571" spans="1:38" s="99" customFormat="1" ht="15.75" customHeight="1" x14ac:dyDescent="0.25">
      <c r="A571" s="110"/>
      <c r="B571" s="111"/>
      <c r="R571" s="148"/>
      <c r="S571" s="148"/>
      <c r="AL571" s="67"/>
    </row>
    <row r="572" spans="1:38" s="99" customFormat="1" ht="15.75" customHeight="1" x14ac:dyDescent="0.25">
      <c r="A572" s="110"/>
      <c r="B572" s="111"/>
      <c r="R572" s="148"/>
      <c r="S572" s="148"/>
      <c r="AL572" s="67"/>
    </row>
    <row r="573" spans="1:38" s="99" customFormat="1" ht="15.75" customHeight="1" x14ac:dyDescent="0.25">
      <c r="A573" s="110"/>
      <c r="B573" s="111"/>
      <c r="R573" s="148"/>
      <c r="S573" s="148"/>
      <c r="AL573" s="67"/>
    </row>
    <row r="574" spans="1:38" s="99" customFormat="1" ht="15.75" customHeight="1" x14ac:dyDescent="0.25">
      <c r="A574" s="110"/>
      <c r="B574" s="111"/>
      <c r="R574" s="148"/>
      <c r="S574" s="148"/>
      <c r="AL574" s="67"/>
    </row>
    <row r="575" spans="1:38" s="99" customFormat="1" ht="15.75" customHeight="1" x14ac:dyDescent="0.25">
      <c r="A575" s="110"/>
      <c r="B575" s="111"/>
      <c r="R575" s="148"/>
      <c r="S575" s="148"/>
      <c r="AL575" s="67"/>
    </row>
    <row r="576" spans="1:38" s="99" customFormat="1" ht="15.75" customHeight="1" x14ac:dyDescent="0.25">
      <c r="A576" s="110"/>
      <c r="B576" s="111"/>
      <c r="R576" s="148"/>
      <c r="S576" s="148"/>
      <c r="AL576" s="67"/>
    </row>
    <row r="577" spans="1:38" s="99" customFormat="1" ht="15.75" customHeight="1" x14ac:dyDescent="0.25">
      <c r="A577" s="110"/>
      <c r="B577" s="111"/>
      <c r="R577" s="148"/>
      <c r="S577" s="148"/>
      <c r="AL577" s="67"/>
    </row>
    <row r="578" spans="1:38" s="99" customFormat="1" ht="15.75" customHeight="1" x14ac:dyDescent="0.25">
      <c r="A578" s="110"/>
      <c r="B578" s="111"/>
      <c r="R578" s="148"/>
      <c r="S578" s="148"/>
      <c r="AL578" s="67"/>
    </row>
    <row r="579" spans="1:38" s="99" customFormat="1" ht="15.75" customHeight="1" x14ac:dyDescent="0.25">
      <c r="A579" s="110"/>
      <c r="B579" s="111"/>
      <c r="R579" s="148"/>
      <c r="S579" s="148"/>
      <c r="AL579" s="67"/>
    </row>
    <row r="580" spans="1:38" s="99" customFormat="1" ht="15.75" customHeight="1" x14ac:dyDescent="0.25">
      <c r="A580" s="110"/>
      <c r="B580" s="111"/>
      <c r="R580" s="148"/>
      <c r="S580" s="148"/>
      <c r="AL580" s="67"/>
    </row>
    <row r="581" spans="1:38" s="99" customFormat="1" ht="15.75" customHeight="1" x14ac:dyDescent="0.25">
      <c r="A581" s="110"/>
      <c r="B581" s="111"/>
      <c r="R581" s="148"/>
      <c r="S581" s="148"/>
      <c r="AL581" s="67"/>
    </row>
    <row r="582" spans="1:38" s="99" customFormat="1" ht="15.75" customHeight="1" x14ac:dyDescent="0.25">
      <c r="A582" s="110"/>
      <c r="B582" s="111"/>
      <c r="R582" s="148"/>
      <c r="S582" s="148"/>
      <c r="AL582" s="67"/>
    </row>
    <row r="583" spans="1:38" s="99" customFormat="1" ht="15.75" customHeight="1" x14ac:dyDescent="0.25">
      <c r="A583" s="110"/>
      <c r="B583" s="111"/>
      <c r="R583" s="148"/>
      <c r="S583" s="148"/>
      <c r="AL583" s="67"/>
    </row>
    <row r="584" spans="1:38" s="99" customFormat="1" ht="15.75" customHeight="1" x14ac:dyDescent="0.25">
      <c r="A584" s="110"/>
      <c r="B584" s="111"/>
      <c r="R584" s="148"/>
      <c r="S584" s="148"/>
      <c r="AL584" s="67"/>
    </row>
    <row r="585" spans="1:38" s="99" customFormat="1" ht="15.75" customHeight="1" x14ac:dyDescent="0.25">
      <c r="A585" s="110"/>
      <c r="B585" s="111"/>
      <c r="R585" s="148"/>
      <c r="S585" s="148"/>
      <c r="AL585" s="67"/>
    </row>
    <row r="586" spans="1:38" s="99" customFormat="1" ht="15.75" customHeight="1" x14ac:dyDescent="0.25">
      <c r="A586" s="110"/>
      <c r="B586" s="111"/>
      <c r="R586" s="148"/>
      <c r="S586" s="148"/>
      <c r="AL586" s="67"/>
    </row>
    <row r="587" spans="1:38" s="99" customFormat="1" ht="15.75" customHeight="1" x14ac:dyDescent="0.25">
      <c r="A587" s="110"/>
      <c r="B587" s="111"/>
      <c r="R587" s="148"/>
      <c r="S587" s="148"/>
      <c r="AL587" s="67"/>
    </row>
    <row r="588" spans="1:38" s="99" customFormat="1" ht="15.75" customHeight="1" x14ac:dyDescent="0.25">
      <c r="A588" s="110"/>
      <c r="B588" s="111"/>
      <c r="R588" s="148"/>
      <c r="S588" s="148"/>
      <c r="AL588" s="67"/>
    </row>
    <row r="589" spans="1:38" s="99" customFormat="1" ht="15.75" customHeight="1" x14ac:dyDescent="0.25">
      <c r="A589" s="110"/>
      <c r="B589" s="111"/>
      <c r="R589" s="148"/>
      <c r="S589" s="148"/>
      <c r="AL589" s="67"/>
    </row>
    <row r="590" spans="1:38" s="99" customFormat="1" ht="15.75" customHeight="1" x14ac:dyDescent="0.25">
      <c r="A590" s="110"/>
      <c r="B590" s="111"/>
      <c r="R590" s="148"/>
      <c r="S590" s="148"/>
      <c r="AL590" s="67"/>
    </row>
    <row r="591" spans="1:38" s="99" customFormat="1" ht="15.75" customHeight="1" x14ac:dyDescent="0.25">
      <c r="A591" s="110"/>
      <c r="B591" s="111"/>
      <c r="R591" s="148"/>
      <c r="S591" s="148"/>
      <c r="AL591" s="67"/>
    </row>
    <row r="592" spans="1:38" s="99" customFormat="1" ht="15.75" customHeight="1" x14ac:dyDescent="0.25">
      <c r="A592" s="110"/>
      <c r="B592" s="111"/>
      <c r="R592" s="148"/>
      <c r="S592" s="148"/>
      <c r="AL592" s="67"/>
    </row>
    <row r="593" spans="1:38" s="99" customFormat="1" ht="15.75" customHeight="1" x14ac:dyDescent="0.25">
      <c r="A593" s="110"/>
      <c r="B593" s="111"/>
      <c r="R593" s="148"/>
      <c r="S593" s="148"/>
      <c r="AL593" s="67"/>
    </row>
    <row r="594" spans="1:38" s="99" customFormat="1" ht="15.75" customHeight="1" x14ac:dyDescent="0.25">
      <c r="A594" s="110"/>
      <c r="B594" s="111"/>
      <c r="R594" s="148"/>
      <c r="S594" s="148"/>
      <c r="AL594" s="67"/>
    </row>
    <row r="595" spans="1:38" s="99" customFormat="1" ht="15.75" customHeight="1" x14ac:dyDescent="0.25">
      <c r="A595" s="110"/>
      <c r="B595" s="111"/>
      <c r="R595" s="148"/>
      <c r="S595" s="148"/>
      <c r="AL595" s="67"/>
    </row>
    <row r="596" spans="1:38" s="99" customFormat="1" ht="15.75" customHeight="1" x14ac:dyDescent="0.25">
      <c r="A596" s="110"/>
      <c r="B596" s="111"/>
      <c r="R596" s="148"/>
      <c r="S596" s="148"/>
      <c r="AL596" s="67"/>
    </row>
    <row r="597" spans="1:38" s="99" customFormat="1" ht="15.75" customHeight="1" x14ac:dyDescent="0.25">
      <c r="A597" s="110"/>
      <c r="B597" s="111"/>
      <c r="R597" s="148"/>
      <c r="S597" s="148"/>
      <c r="AL597" s="67"/>
    </row>
    <row r="598" spans="1:38" s="99" customFormat="1" ht="15.75" customHeight="1" x14ac:dyDescent="0.25">
      <c r="A598" s="110"/>
      <c r="B598" s="111"/>
      <c r="R598" s="148"/>
      <c r="S598" s="148"/>
      <c r="AL598" s="67"/>
    </row>
    <row r="599" spans="1:38" s="99" customFormat="1" ht="15.75" customHeight="1" x14ac:dyDescent="0.25">
      <c r="A599" s="110"/>
      <c r="B599" s="111"/>
      <c r="R599" s="148"/>
      <c r="S599" s="148"/>
      <c r="AL599" s="67"/>
    </row>
    <row r="600" spans="1:38" s="99" customFormat="1" ht="15.75" customHeight="1" x14ac:dyDescent="0.25">
      <c r="A600" s="110"/>
      <c r="B600" s="111"/>
      <c r="R600" s="148"/>
      <c r="S600" s="148"/>
      <c r="AL600" s="67"/>
    </row>
    <row r="601" spans="1:38" s="99" customFormat="1" ht="15.75" customHeight="1" x14ac:dyDescent="0.25">
      <c r="A601" s="110"/>
      <c r="B601" s="111"/>
      <c r="R601" s="148"/>
      <c r="S601" s="148"/>
      <c r="AL601" s="67"/>
    </row>
    <row r="602" spans="1:38" s="99" customFormat="1" ht="15.75" customHeight="1" x14ac:dyDescent="0.25">
      <c r="A602" s="110"/>
      <c r="B602" s="111"/>
      <c r="R602" s="148"/>
      <c r="S602" s="148"/>
      <c r="AL602" s="67"/>
    </row>
    <row r="603" spans="1:38" s="99" customFormat="1" ht="15.75" customHeight="1" x14ac:dyDescent="0.25">
      <c r="A603" s="110"/>
      <c r="B603" s="111"/>
      <c r="R603" s="148"/>
      <c r="S603" s="148"/>
      <c r="AL603" s="67"/>
    </row>
    <row r="604" spans="1:38" s="99" customFormat="1" ht="15.75" customHeight="1" x14ac:dyDescent="0.25">
      <c r="A604" s="110"/>
      <c r="B604" s="111"/>
      <c r="R604" s="148"/>
      <c r="S604" s="148"/>
      <c r="AL604" s="67"/>
    </row>
    <row r="605" spans="1:38" s="99" customFormat="1" ht="15.75" customHeight="1" x14ac:dyDescent="0.25">
      <c r="A605" s="110"/>
      <c r="B605" s="111"/>
      <c r="R605" s="148"/>
      <c r="S605" s="148"/>
      <c r="AL605" s="67"/>
    </row>
    <row r="606" spans="1:38" s="99" customFormat="1" ht="15.75" customHeight="1" x14ac:dyDescent="0.25">
      <c r="A606" s="110"/>
      <c r="B606" s="111"/>
      <c r="R606" s="148"/>
      <c r="S606" s="148"/>
      <c r="AL606" s="67"/>
    </row>
    <row r="607" spans="1:38" s="99" customFormat="1" ht="15.75" customHeight="1" x14ac:dyDescent="0.25">
      <c r="A607" s="110"/>
      <c r="B607" s="111"/>
      <c r="R607" s="148"/>
      <c r="S607" s="148"/>
      <c r="AL607" s="67"/>
    </row>
    <row r="608" spans="1:38" s="99" customFormat="1" ht="15.75" customHeight="1" x14ac:dyDescent="0.25">
      <c r="A608" s="110"/>
      <c r="B608" s="111"/>
      <c r="R608" s="148"/>
      <c r="S608" s="148"/>
      <c r="AL608" s="67"/>
    </row>
    <row r="609" spans="1:38" s="99" customFormat="1" ht="15.75" customHeight="1" x14ac:dyDescent="0.25">
      <c r="A609" s="110"/>
      <c r="B609" s="111"/>
      <c r="R609" s="148"/>
      <c r="S609" s="148"/>
      <c r="AL609" s="67"/>
    </row>
    <row r="610" spans="1:38" s="99" customFormat="1" ht="15.75" customHeight="1" x14ac:dyDescent="0.25">
      <c r="A610" s="110"/>
      <c r="B610" s="111"/>
      <c r="R610" s="148"/>
      <c r="S610" s="148"/>
      <c r="AL610" s="67"/>
    </row>
    <row r="611" spans="1:38" s="99" customFormat="1" ht="15.75" customHeight="1" x14ac:dyDescent="0.25">
      <c r="A611" s="110"/>
      <c r="B611" s="111"/>
      <c r="R611" s="148"/>
      <c r="S611" s="148"/>
      <c r="AL611" s="67"/>
    </row>
    <row r="612" spans="1:38" s="99" customFormat="1" ht="15.75" customHeight="1" x14ac:dyDescent="0.25">
      <c r="A612" s="110"/>
      <c r="B612" s="111"/>
      <c r="R612" s="148"/>
      <c r="S612" s="148"/>
      <c r="AL612" s="67"/>
    </row>
    <row r="613" spans="1:38" s="99" customFormat="1" ht="15.75" customHeight="1" x14ac:dyDescent="0.25">
      <c r="A613" s="110"/>
      <c r="B613" s="111"/>
      <c r="R613" s="148"/>
      <c r="S613" s="148"/>
      <c r="AL613" s="67"/>
    </row>
    <row r="614" spans="1:38" s="99" customFormat="1" ht="15.75" customHeight="1" x14ac:dyDescent="0.25">
      <c r="A614" s="110"/>
      <c r="B614" s="111"/>
      <c r="R614" s="148"/>
      <c r="S614" s="148"/>
      <c r="AL614" s="67"/>
    </row>
    <row r="615" spans="1:38" s="99" customFormat="1" ht="15.75" customHeight="1" x14ac:dyDescent="0.25">
      <c r="A615" s="110"/>
      <c r="B615" s="111"/>
      <c r="R615" s="148"/>
      <c r="S615" s="148"/>
      <c r="AL615" s="67"/>
    </row>
    <row r="616" spans="1:38" s="99" customFormat="1" ht="15.75" customHeight="1" x14ac:dyDescent="0.25">
      <c r="A616" s="110"/>
      <c r="B616" s="111"/>
      <c r="R616" s="148"/>
      <c r="S616" s="148"/>
      <c r="AL616" s="67"/>
    </row>
    <row r="617" spans="1:38" s="99" customFormat="1" ht="15.75" customHeight="1" x14ac:dyDescent="0.25">
      <c r="A617" s="110"/>
      <c r="B617" s="111"/>
      <c r="R617" s="148"/>
      <c r="S617" s="148"/>
      <c r="AL617" s="67"/>
    </row>
    <row r="618" spans="1:38" s="99" customFormat="1" ht="15.75" customHeight="1" x14ac:dyDescent="0.25">
      <c r="A618" s="110"/>
      <c r="B618" s="111"/>
      <c r="R618" s="148"/>
      <c r="S618" s="148"/>
      <c r="AL618" s="67"/>
    </row>
    <row r="619" spans="1:38" s="99" customFormat="1" ht="15.75" customHeight="1" x14ac:dyDescent="0.25">
      <c r="A619" s="110"/>
      <c r="B619" s="111"/>
      <c r="R619" s="148"/>
      <c r="S619" s="148"/>
      <c r="AL619" s="67"/>
    </row>
    <row r="620" spans="1:38" s="99" customFormat="1" ht="15.75" customHeight="1" x14ac:dyDescent="0.25">
      <c r="A620" s="110"/>
      <c r="B620" s="111"/>
      <c r="R620" s="148"/>
      <c r="S620" s="148"/>
      <c r="AL620" s="67"/>
    </row>
    <row r="621" spans="1:38" s="99" customFormat="1" ht="15.75" customHeight="1" x14ac:dyDescent="0.25">
      <c r="A621" s="110"/>
      <c r="B621" s="111"/>
      <c r="R621" s="148"/>
      <c r="S621" s="148"/>
      <c r="AL621" s="67"/>
    </row>
    <row r="622" spans="1:38" s="99" customFormat="1" ht="15.75" customHeight="1" x14ac:dyDescent="0.25">
      <c r="A622" s="110"/>
      <c r="B622" s="111"/>
      <c r="R622" s="148"/>
      <c r="S622" s="148"/>
      <c r="AL622" s="67"/>
    </row>
    <row r="623" spans="1:38" s="99" customFormat="1" ht="15.75" customHeight="1" x14ac:dyDescent="0.25">
      <c r="A623" s="110"/>
      <c r="B623" s="111"/>
      <c r="R623" s="148"/>
      <c r="S623" s="148"/>
      <c r="AL623" s="67"/>
    </row>
    <row r="624" spans="1:38" s="99" customFormat="1" ht="15.75" customHeight="1" x14ac:dyDescent="0.25">
      <c r="A624" s="110"/>
      <c r="B624" s="111"/>
      <c r="R624" s="148"/>
      <c r="S624" s="148"/>
      <c r="AL624" s="67"/>
    </row>
    <row r="625" spans="1:38" s="99" customFormat="1" ht="15.75" customHeight="1" x14ac:dyDescent="0.25">
      <c r="A625" s="110"/>
      <c r="B625" s="111"/>
      <c r="R625" s="148"/>
      <c r="S625" s="148"/>
      <c r="AL625" s="67"/>
    </row>
    <row r="626" spans="1:38" s="99" customFormat="1" ht="15.75" customHeight="1" x14ac:dyDescent="0.25">
      <c r="A626" s="110"/>
      <c r="B626" s="111"/>
      <c r="R626" s="148"/>
      <c r="S626" s="148"/>
      <c r="AL626" s="67"/>
    </row>
    <row r="627" spans="1:38" s="99" customFormat="1" ht="15.75" customHeight="1" x14ac:dyDescent="0.25">
      <c r="A627" s="110"/>
      <c r="B627" s="111"/>
      <c r="R627" s="148"/>
      <c r="S627" s="148"/>
      <c r="AL627" s="67"/>
    </row>
    <row r="628" spans="1:38" s="99" customFormat="1" ht="15.75" customHeight="1" x14ac:dyDescent="0.25">
      <c r="A628" s="110"/>
      <c r="B628" s="111"/>
      <c r="R628" s="148"/>
      <c r="S628" s="148"/>
      <c r="AL628" s="67"/>
    </row>
    <row r="629" spans="1:38" s="99" customFormat="1" ht="15.75" customHeight="1" x14ac:dyDescent="0.25">
      <c r="A629" s="110"/>
      <c r="B629" s="111"/>
      <c r="R629" s="148"/>
      <c r="S629" s="148"/>
      <c r="AL629" s="67"/>
    </row>
    <row r="630" spans="1:38" s="99" customFormat="1" ht="15.75" customHeight="1" x14ac:dyDescent="0.25">
      <c r="A630" s="110"/>
      <c r="B630" s="111"/>
      <c r="R630" s="148"/>
      <c r="S630" s="148"/>
      <c r="AL630" s="67"/>
    </row>
    <row r="631" spans="1:38" s="99" customFormat="1" ht="15.75" customHeight="1" x14ac:dyDescent="0.25">
      <c r="A631" s="110"/>
      <c r="B631" s="111"/>
      <c r="R631" s="148"/>
      <c r="S631" s="148"/>
      <c r="AL631" s="67"/>
    </row>
    <row r="632" spans="1:38" s="99" customFormat="1" ht="15.75" customHeight="1" x14ac:dyDescent="0.25">
      <c r="A632" s="110"/>
      <c r="B632" s="111"/>
      <c r="R632" s="148"/>
      <c r="S632" s="148"/>
      <c r="AL632" s="67"/>
    </row>
    <row r="633" spans="1:38" s="99" customFormat="1" ht="15.75" customHeight="1" x14ac:dyDescent="0.25">
      <c r="A633" s="110"/>
      <c r="B633" s="111"/>
      <c r="R633" s="148"/>
      <c r="S633" s="148"/>
      <c r="AL633" s="67"/>
    </row>
    <row r="634" spans="1:38" s="99" customFormat="1" ht="15.75" customHeight="1" x14ac:dyDescent="0.25">
      <c r="A634" s="110"/>
      <c r="B634" s="111"/>
      <c r="R634" s="148"/>
      <c r="S634" s="148"/>
      <c r="AL634" s="67"/>
    </row>
    <row r="635" spans="1:38" s="99" customFormat="1" ht="15.75" customHeight="1" x14ac:dyDescent="0.25">
      <c r="A635" s="110"/>
      <c r="B635" s="111"/>
      <c r="R635" s="148"/>
      <c r="S635" s="148"/>
      <c r="AL635" s="67"/>
    </row>
    <row r="636" spans="1:38" s="99" customFormat="1" ht="15.75" customHeight="1" x14ac:dyDescent="0.25">
      <c r="A636" s="110"/>
      <c r="B636" s="111"/>
      <c r="R636" s="148"/>
      <c r="S636" s="148"/>
      <c r="AL636" s="67"/>
    </row>
    <row r="637" spans="1:38" s="99" customFormat="1" ht="15.75" customHeight="1" x14ac:dyDescent="0.25">
      <c r="A637" s="110"/>
      <c r="B637" s="111"/>
      <c r="R637" s="148"/>
      <c r="S637" s="148"/>
      <c r="AL637" s="67"/>
    </row>
    <row r="638" spans="1:38" s="99" customFormat="1" ht="15.75" customHeight="1" x14ac:dyDescent="0.25">
      <c r="A638" s="110"/>
      <c r="B638" s="111"/>
      <c r="R638" s="148"/>
      <c r="S638" s="148"/>
      <c r="AL638" s="67"/>
    </row>
    <row r="639" spans="1:38" s="99" customFormat="1" ht="15.75" customHeight="1" x14ac:dyDescent="0.25">
      <c r="A639" s="110"/>
      <c r="B639" s="111"/>
      <c r="R639" s="148"/>
      <c r="S639" s="148"/>
      <c r="AL639" s="67"/>
    </row>
    <row r="640" spans="1:38" s="99" customFormat="1" ht="15.75" customHeight="1" x14ac:dyDescent="0.25">
      <c r="A640" s="110"/>
      <c r="B640" s="111"/>
      <c r="R640" s="148"/>
      <c r="S640" s="148"/>
      <c r="AL640" s="67"/>
    </row>
    <row r="641" spans="1:38" s="99" customFormat="1" ht="15.75" customHeight="1" x14ac:dyDescent="0.25">
      <c r="A641" s="110"/>
      <c r="B641" s="111"/>
      <c r="R641" s="148"/>
      <c r="S641" s="148"/>
      <c r="AL641" s="67"/>
    </row>
    <row r="642" spans="1:38" s="99" customFormat="1" ht="15.75" customHeight="1" x14ac:dyDescent="0.25">
      <c r="A642" s="110"/>
      <c r="B642" s="111"/>
      <c r="R642" s="148"/>
      <c r="S642" s="148"/>
      <c r="AL642" s="67"/>
    </row>
    <row r="643" spans="1:38" s="99" customFormat="1" ht="15.75" customHeight="1" x14ac:dyDescent="0.25">
      <c r="A643" s="110"/>
      <c r="B643" s="111"/>
      <c r="R643" s="148"/>
      <c r="S643" s="148"/>
      <c r="AL643" s="67"/>
    </row>
    <row r="644" spans="1:38" s="99" customFormat="1" ht="15.75" customHeight="1" x14ac:dyDescent="0.25">
      <c r="A644" s="110"/>
      <c r="B644" s="111"/>
      <c r="R644" s="148"/>
      <c r="S644" s="148"/>
      <c r="AL644" s="67"/>
    </row>
    <row r="645" spans="1:38" s="99" customFormat="1" ht="15.75" customHeight="1" x14ac:dyDescent="0.25">
      <c r="A645" s="110"/>
      <c r="B645" s="111"/>
      <c r="R645" s="148"/>
      <c r="S645" s="148"/>
      <c r="AL645" s="67"/>
    </row>
    <row r="646" spans="1:38" s="99" customFormat="1" ht="15.75" customHeight="1" x14ac:dyDescent="0.25">
      <c r="A646" s="110"/>
      <c r="B646" s="111"/>
      <c r="R646" s="148"/>
      <c r="S646" s="148"/>
      <c r="AL646" s="67"/>
    </row>
    <row r="647" spans="1:38" s="99" customFormat="1" ht="15.75" customHeight="1" x14ac:dyDescent="0.25">
      <c r="A647" s="110"/>
      <c r="B647" s="111"/>
      <c r="R647" s="148"/>
      <c r="S647" s="148"/>
      <c r="AL647" s="67"/>
    </row>
    <row r="648" spans="1:38" s="99" customFormat="1" ht="15.75" customHeight="1" x14ac:dyDescent="0.25">
      <c r="A648" s="110"/>
      <c r="B648" s="111"/>
      <c r="R648" s="148"/>
      <c r="S648" s="148"/>
      <c r="AL648" s="67"/>
    </row>
    <row r="649" spans="1:38" s="99" customFormat="1" ht="15.75" customHeight="1" x14ac:dyDescent="0.25">
      <c r="A649" s="110"/>
      <c r="B649" s="111"/>
      <c r="R649" s="148"/>
      <c r="S649" s="148"/>
      <c r="AL649" s="67"/>
    </row>
    <row r="650" spans="1:38" s="99" customFormat="1" ht="15.75" customHeight="1" x14ac:dyDescent="0.25">
      <c r="A650" s="110"/>
      <c r="B650" s="111"/>
      <c r="R650" s="148"/>
      <c r="S650" s="148"/>
      <c r="AL650" s="67"/>
    </row>
    <row r="651" spans="1:38" s="99" customFormat="1" ht="15.75" customHeight="1" x14ac:dyDescent="0.25">
      <c r="A651" s="110"/>
      <c r="B651" s="111"/>
      <c r="R651" s="148"/>
      <c r="S651" s="148"/>
      <c r="AL651" s="67"/>
    </row>
    <row r="652" spans="1:38" s="99" customFormat="1" ht="15.75" customHeight="1" x14ac:dyDescent="0.25">
      <c r="A652" s="110"/>
      <c r="B652" s="111"/>
      <c r="R652" s="148"/>
      <c r="S652" s="148"/>
      <c r="AL652" s="67"/>
    </row>
    <row r="653" spans="1:38" s="99" customFormat="1" ht="15.75" customHeight="1" x14ac:dyDescent="0.25">
      <c r="A653" s="110"/>
      <c r="B653" s="111"/>
      <c r="R653" s="148"/>
      <c r="S653" s="148"/>
      <c r="AL653" s="67"/>
    </row>
    <row r="654" spans="1:38" s="99" customFormat="1" ht="15.75" customHeight="1" x14ac:dyDescent="0.25">
      <c r="A654" s="110"/>
      <c r="B654" s="111"/>
      <c r="R654" s="148"/>
      <c r="S654" s="148"/>
      <c r="AL654" s="67"/>
    </row>
    <row r="655" spans="1:38" s="99" customFormat="1" ht="15.75" customHeight="1" x14ac:dyDescent="0.25">
      <c r="A655" s="110"/>
      <c r="B655" s="111"/>
      <c r="R655" s="148"/>
      <c r="S655" s="148"/>
      <c r="AL655" s="67"/>
    </row>
    <row r="656" spans="1:38" s="99" customFormat="1" ht="15.75" customHeight="1" x14ac:dyDescent="0.25">
      <c r="A656" s="110"/>
      <c r="B656" s="111"/>
      <c r="R656" s="148"/>
      <c r="S656" s="148"/>
      <c r="AL656" s="67"/>
    </row>
    <row r="657" spans="1:38" s="99" customFormat="1" ht="15.75" customHeight="1" x14ac:dyDescent="0.25">
      <c r="A657" s="110"/>
      <c r="B657" s="111"/>
      <c r="R657" s="148"/>
      <c r="S657" s="148"/>
      <c r="AL657" s="67"/>
    </row>
    <row r="658" spans="1:38" s="99" customFormat="1" ht="15.75" customHeight="1" x14ac:dyDescent="0.25">
      <c r="A658" s="110"/>
      <c r="B658" s="111"/>
      <c r="R658" s="148"/>
      <c r="S658" s="148"/>
      <c r="AL658" s="67"/>
    </row>
    <row r="659" spans="1:38" s="99" customFormat="1" ht="15.75" customHeight="1" x14ac:dyDescent="0.25">
      <c r="A659" s="110"/>
      <c r="B659" s="111"/>
      <c r="R659" s="148"/>
      <c r="S659" s="148"/>
      <c r="AL659" s="67"/>
    </row>
    <row r="660" spans="1:38" s="99" customFormat="1" ht="15.75" customHeight="1" x14ac:dyDescent="0.25">
      <c r="A660" s="110"/>
      <c r="B660" s="111"/>
      <c r="R660" s="148"/>
      <c r="S660" s="148"/>
      <c r="AL660" s="67"/>
    </row>
    <row r="661" spans="1:38" s="99" customFormat="1" ht="15.75" customHeight="1" x14ac:dyDescent="0.25">
      <c r="A661" s="110"/>
      <c r="B661" s="111"/>
      <c r="R661" s="148"/>
      <c r="S661" s="148"/>
      <c r="AL661" s="67"/>
    </row>
    <row r="662" spans="1:38" s="99" customFormat="1" ht="15.75" customHeight="1" x14ac:dyDescent="0.25">
      <c r="A662" s="110"/>
      <c r="B662" s="111"/>
      <c r="R662" s="148"/>
      <c r="S662" s="148"/>
      <c r="AL662" s="67"/>
    </row>
    <row r="663" spans="1:38" s="99" customFormat="1" ht="15.75" customHeight="1" x14ac:dyDescent="0.25">
      <c r="A663" s="110"/>
      <c r="B663" s="111"/>
      <c r="R663" s="148"/>
      <c r="S663" s="148"/>
      <c r="AL663" s="67"/>
    </row>
    <row r="664" spans="1:38" s="99" customFormat="1" ht="15.75" customHeight="1" x14ac:dyDescent="0.25">
      <c r="A664" s="110"/>
      <c r="B664" s="111"/>
      <c r="R664" s="148"/>
      <c r="S664" s="148"/>
      <c r="AL664" s="67"/>
    </row>
    <row r="665" spans="1:38" s="99" customFormat="1" ht="15.75" customHeight="1" x14ac:dyDescent="0.25">
      <c r="A665" s="110"/>
      <c r="B665" s="111"/>
      <c r="R665" s="148"/>
      <c r="S665" s="148"/>
      <c r="AL665" s="67"/>
    </row>
    <row r="666" spans="1:38" s="99" customFormat="1" ht="15.75" customHeight="1" x14ac:dyDescent="0.25">
      <c r="A666" s="110"/>
      <c r="B666" s="111"/>
      <c r="R666" s="148"/>
      <c r="S666" s="148"/>
      <c r="AL666" s="67"/>
    </row>
    <row r="667" spans="1:38" s="99" customFormat="1" ht="15.75" customHeight="1" x14ac:dyDescent="0.25">
      <c r="A667" s="110"/>
      <c r="B667" s="111"/>
      <c r="R667" s="148"/>
      <c r="S667" s="148"/>
      <c r="AL667" s="67"/>
    </row>
    <row r="668" spans="1:38" s="99" customFormat="1" ht="15.75" customHeight="1" x14ac:dyDescent="0.25">
      <c r="A668" s="110"/>
      <c r="B668" s="111"/>
      <c r="R668" s="148"/>
      <c r="S668" s="148"/>
      <c r="AL668" s="67"/>
    </row>
    <row r="669" spans="1:38" s="99" customFormat="1" ht="15.75" customHeight="1" x14ac:dyDescent="0.25">
      <c r="A669" s="110"/>
      <c r="B669" s="111"/>
      <c r="R669" s="148"/>
      <c r="S669" s="148"/>
      <c r="AL669" s="67"/>
    </row>
    <row r="670" spans="1:38" s="99" customFormat="1" ht="15.75" customHeight="1" x14ac:dyDescent="0.25">
      <c r="A670" s="110"/>
      <c r="B670" s="111"/>
      <c r="R670" s="148"/>
      <c r="S670" s="148"/>
      <c r="AL670" s="67"/>
    </row>
    <row r="671" spans="1:38" s="99" customFormat="1" ht="15.75" customHeight="1" x14ac:dyDescent="0.25">
      <c r="A671" s="110"/>
      <c r="B671" s="111"/>
      <c r="R671" s="148"/>
      <c r="S671" s="148"/>
      <c r="AL671" s="67"/>
    </row>
    <row r="672" spans="1:38" s="99" customFormat="1" ht="15.75" customHeight="1" x14ac:dyDescent="0.25">
      <c r="A672" s="110"/>
      <c r="B672" s="111"/>
      <c r="R672" s="148"/>
      <c r="S672" s="148"/>
      <c r="AL672" s="67"/>
    </row>
    <row r="673" spans="1:38" s="99" customFormat="1" ht="15.75" customHeight="1" x14ac:dyDescent="0.25">
      <c r="A673" s="110"/>
      <c r="B673" s="111"/>
      <c r="R673" s="148"/>
      <c r="S673" s="148"/>
      <c r="AL673" s="67"/>
    </row>
    <row r="674" spans="1:38" s="99" customFormat="1" ht="15.75" customHeight="1" x14ac:dyDescent="0.25">
      <c r="A674" s="110"/>
      <c r="B674" s="111"/>
      <c r="R674" s="148"/>
      <c r="S674" s="148"/>
      <c r="AL674" s="67"/>
    </row>
    <row r="675" spans="1:38" s="99" customFormat="1" ht="15.75" customHeight="1" x14ac:dyDescent="0.25">
      <c r="A675" s="110"/>
      <c r="B675" s="111"/>
      <c r="R675" s="148"/>
      <c r="S675" s="148"/>
      <c r="AL675" s="67"/>
    </row>
    <row r="676" spans="1:38" s="99" customFormat="1" ht="15.75" customHeight="1" x14ac:dyDescent="0.25">
      <c r="A676" s="110"/>
      <c r="B676" s="111"/>
      <c r="R676" s="148"/>
      <c r="S676" s="148"/>
      <c r="AL676" s="67"/>
    </row>
    <row r="677" spans="1:38" s="99" customFormat="1" ht="15.75" customHeight="1" x14ac:dyDescent="0.25">
      <c r="A677" s="110"/>
      <c r="B677" s="111"/>
      <c r="R677" s="148"/>
      <c r="S677" s="148"/>
      <c r="AL677" s="67"/>
    </row>
    <row r="678" spans="1:38" s="99" customFormat="1" ht="15.75" customHeight="1" x14ac:dyDescent="0.25">
      <c r="A678" s="110"/>
      <c r="B678" s="111"/>
      <c r="R678" s="148"/>
      <c r="S678" s="148"/>
      <c r="AL678" s="67"/>
    </row>
    <row r="679" spans="1:38" s="99" customFormat="1" ht="15.75" customHeight="1" x14ac:dyDescent="0.25">
      <c r="A679" s="110"/>
      <c r="B679" s="111"/>
      <c r="R679" s="148"/>
      <c r="S679" s="148"/>
      <c r="AL679" s="67"/>
    </row>
    <row r="680" spans="1:38" s="99" customFormat="1" ht="15.75" customHeight="1" x14ac:dyDescent="0.25">
      <c r="A680" s="110"/>
      <c r="B680" s="111"/>
      <c r="R680" s="148"/>
      <c r="S680" s="148"/>
      <c r="AL680" s="67"/>
    </row>
    <row r="681" spans="1:38" s="99" customFormat="1" ht="15.75" customHeight="1" x14ac:dyDescent="0.25">
      <c r="A681" s="110"/>
      <c r="B681" s="111"/>
      <c r="R681" s="148"/>
      <c r="S681" s="148"/>
      <c r="AL681" s="67"/>
    </row>
    <row r="682" spans="1:38" s="99" customFormat="1" ht="15.75" customHeight="1" x14ac:dyDescent="0.25">
      <c r="A682" s="110"/>
      <c r="B682" s="111"/>
      <c r="R682" s="148"/>
      <c r="S682" s="148"/>
      <c r="AL682" s="67"/>
    </row>
    <row r="683" spans="1:38" s="99" customFormat="1" ht="15.75" customHeight="1" x14ac:dyDescent="0.25">
      <c r="A683" s="110"/>
      <c r="B683" s="111"/>
      <c r="R683" s="148"/>
      <c r="S683" s="148"/>
      <c r="AL683" s="67"/>
    </row>
    <row r="684" spans="1:38" s="99" customFormat="1" ht="15.75" customHeight="1" x14ac:dyDescent="0.25">
      <c r="A684" s="110"/>
      <c r="B684" s="111"/>
      <c r="R684" s="148"/>
      <c r="S684" s="148"/>
      <c r="AL684" s="67"/>
    </row>
    <row r="685" spans="1:38" s="99" customFormat="1" ht="15.75" customHeight="1" x14ac:dyDescent="0.25">
      <c r="A685" s="110"/>
      <c r="B685" s="111"/>
      <c r="R685" s="148"/>
      <c r="S685" s="148"/>
      <c r="AL685" s="67"/>
    </row>
    <row r="686" spans="1:38" s="99" customFormat="1" ht="15.75" customHeight="1" x14ac:dyDescent="0.25">
      <c r="A686" s="110"/>
      <c r="B686" s="111"/>
      <c r="R686" s="148"/>
      <c r="S686" s="148"/>
      <c r="AL686" s="67"/>
    </row>
    <row r="687" spans="1:38" s="99" customFormat="1" ht="15.75" customHeight="1" x14ac:dyDescent="0.25">
      <c r="A687" s="110"/>
      <c r="B687" s="111"/>
      <c r="R687" s="148"/>
      <c r="S687" s="148"/>
      <c r="AL687" s="67"/>
    </row>
    <row r="688" spans="1:38" s="99" customFormat="1" ht="15.75" customHeight="1" x14ac:dyDescent="0.25">
      <c r="A688" s="110"/>
      <c r="B688" s="111"/>
      <c r="R688" s="148"/>
      <c r="S688" s="148"/>
      <c r="AL688" s="67"/>
    </row>
    <row r="689" spans="1:38" s="99" customFormat="1" ht="15.75" customHeight="1" x14ac:dyDescent="0.25">
      <c r="A689" s="110"/>
      <c r="B689" s="111"/>
      <c r="R689" s="148"/>
      <c r="S689" s="148"/>
      <c r="AL689" s="67"/>
    </row>
    <row r="690" spans="1:38" s="99" customFormat="1" ht="15.75" customHeight="1" x14ac:dyDescent="0.25">
      <c r="A690" s="110"/>
      <c r="B690" s="111"/>
      <c r="R690" s="148"/>
      <c r="S690" s="148"/>
      <c r="AL690" s="67"/>
    </row>
    <row r="691" spans="1:38" s="99" customFormat="1" ht="15.75" customHeight="1" x14ac:dyDescent="0.25">
      <c r="A691" s="110"/>
      <c r="B691" s="111"/>
      <c r="R691" s="148"/>
      <c r="S691" s="148"/>
      <c r="AL691" s="67"/>
    </row>
    <row r="692" spans="1:38" s="99" customFormat="1" ht="15.75" customHeight="1" x14ac:dyDescent="0.25">
      <c r="A692" s="110"/>
      <c r="B692" s="111"/>
      <c r="R692" s="148"/>
      <c r="S692" s="148"/>
      <c r="AL692" s="67"/>
    </row>
    <row r="693" spans="1:38" s="99" customFormat="1" ht="15.75" customHeight="1" x14ac:dyDescent="0.25">
      <c r="A693" s="110"/>
      <c r="B693" s="111"/>
      <c r="R693" s="148"/>
      <c r="S693" s="148"/>
      <c r="AL693" s="67"/>
    </row>
    <row r="694" spans="1:38" s="99" customFormat="1" ht="15.75" customHeight="1" x14ac:dyDescent="0.25">
      <c r="A694" s="110"/>
      <c r="B694" s="111"/>
      <c r="R694" s="148"/>
      <c r="S694" s="148"/>
      <c r="AL694" s="67"/>
    </row>
    <row r="695" spans="1:38" s="99" customFormat="1" ht="15.75" customHeight="1" x14ac:dyDescent="0.25">
      <c r="A695" s="110"/>
      <c r="B695" s="111"/>
      <c r="R695" s="148"/>
      <c r="S695" s="148"/>
      <c r="AL695" s="67"/>
    </row>
    <row r="696" spans="1:38" s="99" customFormat="1" ht="15.75" customHeight="1" x14ac:dyDescent="0.25">
      <c r="A696" s="110"/>
      <c r="B696" s="111"/>
      <c r="R696" s="148"/>
      <c r="S696" s="148"/>
      <c r="AL696" s="67"/>
    </row>
    <row r="697" spans="1:38" s="99" customFormat="1" ht="15.75" customHeight="1" x14ac:dyDescent="0.25">
      <c r="A697" s="110"/>
      <c r="B697" s="111"/>
      <c r="R697" s="148"/>
      <c r="S697" s="148"/>
      <c r="AL697" s="67"/>
    </row>
    <row r="698" spans="1:38" s="99" customFormat="1" ht="15.75" customHeight="1" x14ac:dyDescent="0.25">
      <c r="A698" s="110"/>
      <c r="B698" s="111"/>
      <c r="R698" s="148"/>
      <c r="S698" s="148"/>
      <c r="AL698" s="67"/>
    </row>
    <row r="699" spans="1:38" s="99" customFormat="1" ht="15.75" customHeight="1" x14ac:dyDescent="0.25">
      <c r="A699" s="110"/>
      <c r="B699" s="111"/>
      <c r="R699" s="148"/>
      <c r="S699" s="148"/>
      <c r="AL699" s="67"/>
    </row>
    <row r="700" spans="1:38" s="99" customFormat="1" ht="15.75" customHeight="1" x14ac:dyDescent="0.25">
      <c r="A700" s="110"/>
      <c r="B700" s="111"/>
      <c r="R700" s="148"/>
      <c r="S700" s="148"/>
      <c r="AL700" s="67"/>
    </row>
    <row r="701" spans="1:38" s="99" customFormat="1" ht="15.75" customHeight="1" x14ac:dyDescent="0.25">
      <c r="A701" s="110"/>
      <c r="B701" s="111"/>
      <c r="R701" s="148"/>
      <c r="S701" s="148"/>
      <c r="AL701" s="67"/>
    </row>
    <row r="702" spans="1:38" s="99" customFormat="1" ht="15.75" customHeight="1" x14ac:dyDescent="0.25">
      <c r="A702" s="110"/>
      <c r="B702" s="111"/>
      <c r="R702" s="148"/>
      <c r="S702" s="148"/>
      <c r="AL702" s="67"/>
    </row>
    <row r="703" spans="1:38" s="99" customFormat="1" ht="15.75" customHeight="1" x14ac:dyDescent="0.25">
      <c r="A703" s="110"/>
      <c r="B703" s="111"/>
      <c r="R703" s="148"/>
      <c r="S703" s="148"/>
      <c r="AL703" s="67"/>
    </row>
    <row r="704" spans="1:38" s="99" customFormat="1" ht="15.75" customHeight="1" x14ac:dyDescent="0.25">
      <c r="A704" s="110"/>
      <c r="B704" s="111"/>
      <c r="R704" s="148"/>
      <c r="S704" s="148"/>
      <c r="AL704" s="67"/>
    </row>
    <row r="705" spans="1:38" s="99" customFormat="1" ht="15.75" customHeight="1" x14ac:dyDescent="0.25">
      <c r="A705" s="110"/>
      <c r="B705" s="111"/>
      <c r="R705" s="148"/>
      <c r="S705" s="148"/>
      <c r="AL705" s="67"/>
    </row>
    <row r="706" spans="1:38" s="99" customFormat="1" ht="15.75" customHeight="1" x14ac:dyDescent="0.25">
      <c r="A706" s="110"/>
      <c r="B706" s="111"/>
      <c r="R706" s="148"/>
      <c r="S706" s="148"/>
      <c r="AL706" s="67"/>
    </row>
    <row r="707" spans="1:38" s="99" customFormat="1" ht="15.75" customHeight="1" x14ac:dyDescent="0.25">
      <c r="A707" s="110"/>
      <c r="B707" s="111"/>
      <c r="R707" s="148"/>
      <c r="S707" s="148"/>
      <c r="AL707" s="67"/>
    </row>
    <row r="708" spans="1:38" s="99" customFormat="1" ht="15.75" customHeight="1" x14ac:dyDescent="0.25">
      <c r="A708" s="110"/>
      <c r="B708" s="111"/>
      <c r="R708" s="148"/>
      <c r="S708" s="148"/>
      <c r="AL708" s="67"/>
    </row>
    <row r="709" spans="1:38" s="99" customFormat="1" ht="15.75" customHeight="1" x14ac:dyDescent="0.25">
      <c r="A709" s="110"/>
      <c r="B709" s="111"/>
      <c r="R709" s="148"/>
      <c r="S709" s="148"/>
      <c r="AL709" s="67"/>
    </row>
    <row r="710" spans="1:38" s="99" customFormat="1" ht="15.75" customHeight="1" x14ac:dyDescent="0.25">
      <c r="A710" s="110"/>
      <c r="B710" s="111"/>
      <c r="R710" s="148"/>
      <c r="S710" s="148"/>
      <c r="AL710" s="67"/>
    </row>
    <row r="711" spans="1:38" s="99" customFormat="1" ht="15.75" customHeight="1" x14ac:dyDescent="0.25">
      <c r="A711" s="110"/>
      <c r="B711" s="111"/>
      <c r="R711" s="148"/>
      <c r="S711" s="148"/>
      <c r="AL711" s="67"/>
    </row>
    <row r="712" spans="1:38" s="99" customFormat="1" ht="15.75" customHeight="1" x14ac:dyDescent="0.25">
      <c r="A712" s="110"/>
      <c r="B712" s="111"/>
      <c r="R712" s="148"/>
      <c r="S712" s="148"/>
      <c r="AL712" s="67"/>
    </row>
    <row r="713" spans="1:38" s="99" customFormat="1" ht="15.75" customHeight="1" x14ac:dyDescent="0.25">
      <c r="A713" s="110"/>
      <c r="B713" s="111"/>
      <c r="R713" s="148"/>
      <c r="S713" s="148"/>
      <c r="AL713" s="67"/>
    </row>
    <row r="714" spans="1:38" s="99" customFormat="1" ht="15.75" customHeight="1" x14ac:dyDescent="0.25">
      <c r="A714" s="110"/>
      <c r="B714" s="111"/>
      <c r="R714" s="148"/>
      <c r="S714" s="148"/>
      <c r="AL714" s="67"/>
    </row>
    <row r="715" spans="1:38" s="99" customFormat="1" ht="15.75" customHeight="1" x14ac:dyDescent="0.25">
      <c r="A715" s="110"/>
      <c r="B715" s="111"/>
      <c r="R715" s="148"/>
      <c r="S715" s="148"/>
      <c r="AL715" s="67"/>
    </row>
    <row r="716" spans="1:38" s="99" customFormat="1" ht="15.75" customHeight="1" x14ac:dyDescent="0.25">
      <c r="A716" s="110"/>
      <c r="B716" s="111"/>
      <c r="R716" s="148"/>
      <c r="S716" s="148"/>
      <c r="AL716" s="67"/>
    </row>
    <row r="717" spans="1:38" s="99" customFormat="1" ht="15.75" customHeight="1" x14ac:dyDescent="0.25">
      <c r="A717" s="110"/>
      <c r="B717" s="111"/>
      <c r="R717" s="148"/>
      <c r="S717" s="148"/>
      <c r="AL717" s="67"/>
    </row>
    <row r="718" spans="1:38" s="99" customFormat="1" ht="15.75" customHeight="1" x14ac:dyDescent="0.25">
      <c r="A718" s="110"/>
      <c r="B718" s="111"/>
      <c r="R718" s="148"/>
      <c r="S718" s="148"/>
      <c r="AL718" s="67"/>
    </row>
    <row r="719" spans="1:38" s="99" customFormat="1" ht="15.75" customHeight="1" x14ac:dyDescent="0.25">
      <c r="A719" s="110"/>
      <c r="B719" s="111"/>
      <c r="R719" s="148"/>
      <c r="S719" s="148"/>
      <c r="AL719" s="67"/>
    </row>
    <row r="720" spans="1:38" s="99" customFormat="1" ht="15.75" customHeight="1" x14ac:dyDescent="0.25">
      <c r="A720" s="110"/>
      <c r="B720" s="111"/>
      <c r="R720" s="148"/>
      <c r="S720" s="148"/>
      <c r="AL720" s="67"/>
    </row>
    <row r="721" spans="1:38" s="99" customFormat="1" ht="15.75" customHeight="1" x14ac:dyDescent="0.25">
      <c r="A721" s="110"/>
      <c r="B721" s="111"/>
      <c r="R721" s="148"/>
      <c r="S721" s="148"/>
      <c r="AL721" s="67"/>
    </row>
    <row r="722" spans="1:38" s="99" customFormat="1" ht="15.75" customHeight="1" x14ac:dyDescent="0.25">
      <c r="A722" s="110"/>
      <c r="B722" s="111"/>
      <c r="R722" s="148"/>
      <c r="S722" s="148"/>
      <c r="AL722" s="67"/>
    </row>
    <row r="723" spans="1:38" s="99" customFormat="1" ht="15.75" customHeight="1" x14ac:dyDescent="0.25">
      <c r="A723" s="110"/>
      <c r="B723" s="111"/>
      <c r="R723" s="148"/>
      <c r="S723" s="148"/>
      <c r="AL723" s="67"/>
    </row>
    <row r="724" spans="1:38" s="99" customFormat="1" ht="15.75" customHeight="1" x14ac:dyDescent="0.25">
      <c r="A724" s="110"/>
      <c r="B724" s="111"/>
      <c r="R724" s="148"/>
      <c r="S724" s="148"/>
      <c r="AL724" s="67"/>
    </row>
    <row r="725" spans="1:38" s="99" customFormat="1" ht="15.75" customHeight="1" x14ac:dyDescent="0.25">
      <c r="A725" s="110"/>
      <c r="B725" s="111"/>
      <c r="R725" s="148"/>
      <c r="S725" s="148"/>
      <c r="AL725" s="67"/>
    </row>
    <row r="726" spans="1:38" s="99" customFormat="1" ht="15.75" customHeight="1" x14ac:dyDescent="0.25">
      <c r="A726" s="110"/>
      <c r="B726" s="111"/>
      <c r="R726" s="148"/>
      <c r="S726" s="148"/>
      <c r="AL726" s="67"/>
    </row>
    <row r="727" spans="1:38" s="99" customFormat="1" ht="15.75" customHeight="1" x14ac:dyDescent="0.25">
      <c r="A727" s="110"/>
      <c r="B727" s="111"/>
      <c r="R727" s="148"/>
      <c r="S727" s="148"/>
      <c r="AL727" s="67"/>
    </row>
    <row r="728" spans="1:38" s="99" customFormat="1" ht="15.75" customHeight="1" x14ac:dyDescent="0.25">
      <c r="A728" s="110"/>
      <c r="B728" s="111"/>
      <c r="R728" s="148"/>
      <c r="S728" s="148"/>
      <c r="AL728" s="67"/>
    </row>
    <row r="729" spans="1:38" s="99" customFormat="1" ht="15.75" customHeight="1" x14ac:dyDescent="0.25">
      <c r="A729" s="110"/>
      <c r="B729" s="111"/>
      <c r="R729" s="148"/>
      <c r="S729" s="148"/>
      <c r="AL729" s="67"/>
    </row>
    <row r="730" spans="1:38" s="99" customFormat="1" ht="15.75" customHeight="1" x14ac:dyDescent="0.25">
      <c r="A730" s="110"/>
      <c r="B730" s="111"/>
      <c r="R730" s="148"/>
      <c r="S730" s="148"/>
      <c r="AL730" s="67"/>
    </row>
    <row r="731" spans="1:38" s="99" customFormat="1" ht="15.75" customHeight="1" x14ac:dyDescent="0.25">
      <c r="A731" s="110"/>
      <c r="B731" s="111"/>
      <c r="R731" s="148"/>
      <c r="S731" s="148"/>
      <c r="AL731" s="67"/>
    </row>
    <row r="732" spans="1:38" s="99" customFormat="1" ht="15.75" customHeight="1" x14ac:dyDescent="0.25">
      <c r="A732" s="110"/>
      <c r="B732" s="111"/>
      <c r="R732" s="148"/>
      <c r="S732" s="148"/>
      <c r="AL732" s="67"/>
    </row>
    <row r="733" spans="1:38" s="99" customFormat="1" ht="15.75" customHeight="1" x14ac:dyDescent="0.25">
      <c r="A733" s="110"/>
      <c r="B733" s="111"/>
      <c r="R733" s="148"/>
      <c r="S733" s="148"/>
      <c r="AL733" s="67"/>
    </row>
    <row r="734" spans="1:38" s="99" customFormat="1" ht="15.75" customHeight="1" x14ac:dyDescent="0.25">
      <c r="A734" s="110"/>
      <c r="B734" s="111"/>
      <c r="R734" s="148"/>
      <c r="S734" s="93"/>
      <c r="AL734" s="67"/>
    </row>
    <row r="735" spans="1:38" s="99" customFormat="1" ht="15.75" customHeight="1" x14ac:dyDescent="0.25">
      <c r="A735" s="110"/>
      <c r="B735" s="111"/>
      <c r="R735" s="148"/>
      <c r="S735" s="93"/>
      <c r="AL735" s="67"/>
    </row>
    <row r="736" spans="1:38" s="99" customFormat="1" ht="15.75" customHeight="1" x14ac:dyDescent="0.25">
      <c r="A736" s="110"/>
      <c r="B736" s="111"/>
      <c r="R736" s="148"/>
      <c r="S736" s="93"/>
      <c r="AL736" s="67"/>
    </row>
    <row r="737" spans="1:38" s="99" customFormat="1" ht="15.75" customHeight="1" x14ac:dyDescent="0.25">
      <c r="A737" s="110"/>
      <c r="B737" s="111"/>
      <c r="R737" s="148"/>
      <c r="S737" s="93"/>
      <c r="AL737" s="67"/>
    </row>
    <row r="738" spans="1:38" s="99" customFormat="1" ht="15.75" customHeight="1" x14ac:dyDescent="0.25">
      <c r="A738" s="110"/>
      <c r="B738" s="111"/>
      <c r="R738" s="148"/>
      <c r="S738" s="93"/>
      <c r="AL738" s="67"/>
    </row>
    <row r="739" spans="1:38" s="99" customFormat="1" ht="15.75" customHeight="1" x14ac:dyDescent="0.25">
      <c r="A739" s="110"/>
      <c r="B739" s="111"/>
      <c r="R739" s="148"/>
      <c r="S739" s="93"/>
      <c r="AL739" s="67"/>
    </row>
    <row r="740" spans="1:38" s="99" customFormat="1" ht="15.75" customHeight="1" x14ac:dyDescent="0.25">
      <c r="A740" s="110"/>
      <c r="B740" s="111"/>
      <c r="R740" s="148"/>
      <c r="S740" s="93"/>
      <c r="AL740" s="67"/>
    </row>
    <row r="741" spans="1:38" s="99" customFormat="1" ht="15.75" customHeight="1" x14ac:dyDescent="0.25">
      <c r="A741" s="110"/>
      <c r="B741" s="111"/>
      <c r="R741" s="148"/>
      <c r="S741" s="93"/>
      <c r="AL741" s="67"/>
    </row>
    <row r="742" spans="1:38" s="99" customFormat="1" ht="15.75" customHeight="1" x14ac:dyDescent="0.25">
      <c r="A742" s="110"/>
      <c r="B742" s="111"/>
      <c r="R742" s="148"/>
      <c r="S742" s="93"/>
      <c r="AL742" s="67"/>
    </row>
    <row r="743" spans="1:38" s="99" customFormat="1" ht="15.75" customHeight="1" x14ac:dyDescent="0.25">
      <c r="A743" s="110"/>
      <c r="B743" s="111"/>
      <c r="R743" s="148"/>
      <c r="S743" s="93"/>
      <c r="AL743" s="67"/>
    </row>
    <row r="744" spans="1:38" s="99" customFormat="1" ht="15.75" customHeight="1" x14ac:dyDescent="0.25">
      <c r="A744" s="110"/>
      <c r="B744" s="111"/>
      <c r="R744" s="148"/>
      <c r="S744" s="93"/>
      <c r="AL744" s="67"/>
    </row>
    <row r="745" spans="1:38" s="99" customFormat="1" ht="15.75" customHeight="1" x14ac:dyDescent="0.25">
      <c r="A745" s="110"/>
      <c r="B745" s="111"/>
      <c r="R745" s="148"/>
      <c r="S745" s="93"/>
      <c r="AL745" s="67"/>
    </row>
    <row r="746" spans="1:38" s="99" customFormat="1" ht="15.75" customHeight="1" x14ac:dyDescent="0.25">
      <c r="A746" s="110"/>
      <c r="B746" s="111"/>
      <c r="R746" s="148"/>
      <c r="S746" s="93"/>
      <c r="AL746" s="67"/>
    </row>
    <row r="747" spans="1:38" s="93" customFormat="1" ht="15.75" customHeight="1" x14ac:dyDescent="0.25">
      <c r="A747" s="110"/>
      <c r="B747" s="111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148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67"/>
    </row>
    <row r="748" spans="1:38" s="93" customFormat="1" ht="15.75" customHeight="1" x14ac:dyDescent="0.25">
      <c r="A748" s="110"/>
      <c r="B748" s="111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148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67"/>
    </row>
    <row r="749" spans="1:38" s="93" customFormat="1" ht="15.75" customHeight="1" x14ac:dyDescent="0.25">
      <c r="A749" s="110"/>
      <c r="B749" s="111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148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67"/>
    </row>
    <row r="750" spans="1:38" s="93" customFormat="1" ht="15.75" customHeight="1" x14ac:dyDescent="0.25">
      <c r="A750" s="110"/>
      <c r="B750" s="111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148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67"/>
    </row>
    <row r="751" spans="1:38" s="93" customFormat="1" ht="15.75" customHeight="1" x14ac:dyDescent="0.25">
      <c r="A751" s="110"/>
      <c r="B751" s="111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148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67"/>
    </row>
    <row r="752" spans="1:38" s="93" customFormat="1" ht="15.75" customHeight="1" x14ac:dyDescent="0.25">
      <c r="A752" s="110"/>
      <c r="B752" s="111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148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67"/>
    </row>
    <row r="753" spans="1:38" s="93" customFormat="1" ht="15.75" customHeight="1" x14ac:dyDescent="0.25">
      <c r="A753" s="110"/>
      <c r="B753" s="111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148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67"/>
    </row>
    <row r="754" spans="1:38" s="93" customFormat="1" ht="15.75" customHeight="1" x14ac:dyDescent="0.25">
      <c r="A754" s="110"/>
      <c r="B754" s="111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148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67"/>
    </row>
    <row r="755" spans="1:38" s="93" customFormat="1" ht="15.75" customHeight="1" x14ac:dyDescent="0.25">
      <c r="A755" s="110"/>
      <c r="B755" s="111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148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67"/>
    </row>
    <row r="756" spans="1:38" ht="15.75" customHeight="1" x14ac:dyDescent="0.25">
      <c r="A756" s="110"/>
      <c r="B756" s="111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148"/>
    </row>
    <row r="757" spans="1:38" ht="15.75" customHeight="1" x14ac:dyDescent="0.25">
      <c r="A757" s="110"/>
      <c r="B757" s="111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148"/>
    </row>
    <row r="758" spans="1:38" ht="15.75" customHeight="1" x14ac:dyDescent="0.25">
      <c r="A758" s="110"/>
      <c r="B758" s="111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148"/>
    </row>
    <row r="759" spans="1:38" ht="15.75" customHeight="1" x14ac:dyDescent="0.25">
      <c r="A759" s="110"/>
      <c r="B759" s="111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148"/>
    </row>
    <row r="760" spans="1:38" ht="15.75" customHeight="1" x14ac:dyDescent="0.25">
      <c r="A760" s="110"/>
      <c r="B760" s="111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148"/>
    </row>
    <row r="761" spans="1:38" ht="15.75" customHeight="1" x14ac:dyDescent="0.25">
      <c r="A761" s="110"/>
      <c r="B761" s="111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148"/>
    </row>
    <row r="762" spans="1:38" ht="15.75" customHeight="1" x14ac:dyDescent="0.25">
      <c r="A762" s="110"/>
      <c r="B762" s="111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148"/>
    </row>
    <row r="763" spans="1:38" ht="15.75" customHeight="1" x14ac:dyDescent="0.25">
      <c r="A763" s="110"/>
      <c r="B763" s="111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148"/>
    </row>
    <row r="764" spans="1:38" ht="15.75" customHeight="1" x14ac:dyDescent="0.25">
      <c r="A764" s="110"/>
      <c r="B764" s="111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148"/>
    </row>
    <row r="765" spans="1:38" ht="15.75" customHeight="1" x14ac:dyDescent="0.25">
      <c r="A765" s="110"/>
      <c r="B765" s="111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148"/>
    </row>
    <row r="766" spans="1:38" ht="15.75" customHeight="1" x14ac:dyDescent="0.25">
      <c r="A766" s="110"/>
      <c r="B766" s="111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148"/>
    </row>
    <row r="767" spans="1:38" ht="15.75" customHeight="1" x14ac:dyDescent="0.25">
      <c r="A767" s="110"/>
      <c r="B767" s="111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148"/>
    </row>
    <row r="768" spans="1:38" ht="15.75" customHeight="1" x14ac:dyDescent="0.25">
      <c r="A768" s="110"/>
      <c r="B768" s="111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148"/>
    </row>
    <row r="769" spans="1:18" ht="15.75" customHeight="1" x14ac:dyDescent="0.25">
      <c r="A769" s="110"/>
      <c r="B769" s="111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148"/>
    </row>
    <row r="770" spans="1:18" ht="15.75" customHeight="1" x14ac:dyDescent="0.25">
      <c r="A770" s="110"/>
      <c r="B770" s="111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148"/>
    </row>
  </sheetData>
  <mergeCells count="43">
    <mergeCell ref="B1:P1"/>
    <mergeCell ref="C2:R2"/>
    <mergeCell ref="C3:C4"/>
    <mergeCell ref="D3:F3"/>
    <mergeCell ref="G3:G4"/>
    <mergeCell ref="H3:L3"/>
    <mergeCell ref="M3:R3"/>
    <mergeCell ref="A4:B4"/>
    <mergeCell ref="M86:R86"/>
    <mergeCell ref="A87:B87"/>
    <mergeCell ref="A24:B24"/>
    <mergeCell ref="C44:C45"/>
    <mergeCell ref="D44:F44"/>
    <mergeCell ref="G44:G45"/>
    <mergeCell ref="H44:L44"/>
    <mergeCell ref="M44:R44"/>
    <mergeCell ref="A45:B45"/>
    <mergeCell ref="A65:B65"/>
    <mergeCell ref="C86:C87"/>
    <mergeCell ref="D86:F86"/>
    <mergeCell ref="G86:G87"/>
    <mergeCell ref="H86:L86"/>
    <mergeCell ref="D136:F136"/>
    <mergeCell ref="G136:G137"/>
    <mergeCell ref="H136:L136"/>
    <mergeCell ref="M136:R136"/>
    <mergeCell ref="A137:B137"/>
    <mergeCell ref="D232:F232"/>
    <mergeCell ref="G232:G233"/>
    <mergeCell ref="H232:L232"/>
    <mergeCell ref="M232:P232"/>
    <mergeCell ref="A108:B108"/>
    <mergeCell ref="B224:C224"/>
    <mergeCell ref="A157:B157"/>
    <mergeCell ref="C180:C181"/>
    <mergeCell ref="D180:F180"/>
    <mergeCell ref="A202:B202"/>
    <mergeCell ref="G180:G181"/>
    <mergeCell ref="H180:L180"/>
    <mergeCell ref="M180:R180"/>
    <mergeCell ref="A181:B181"/>
    <mergeCell ref="A117:B117"/>
    <mergeCell ref="C136:C137"/>
  </mergeCells>
  <pageMargins left="0.3" right="0.23622047244094491" top="0.34" bottom="0.47" header="0.31496062992125984" footer="0.18"/>
  <pageSetup paperSize="9"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 1- 4 лето</vt:lpstr>
      <vt:lpstr>Сырьё лето</vt:lpstr>
      <vt:lpstr>5-11(лето)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2022-03-16T05:45:07Z</dcterms:modified>
</cp:coreProperties>
</file>