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9200" windowHeight="7350"/>
  </bookViews>
  <sheets>
    <sheet name="Меню лето" sheetId="2" r:id="rId1"/>
    <sheet name="Сырьё лето" sheetId="3" r:id="rId2"/>
  </sheets>
  <calcPr calcId="144525"/>
</workbook>
</file>

<file path=xl/calcChain.xml><?xml version="1.0" encoding="utf-8"?>
<calcChain xmlns="http://schemas.openxmlformats.org/spreadsheetml/2006/main">
  <c r="F104" i="2" l="1"/>
  <c r="E104" i="2"/>
  <c r="D104" i="2"/>
  <c r="F93" i="2"/>
  <c r="E93" i="2"/>
  <c r="D93" i="2"/>
  <c r="F84" i="2"/>
  <c r="E84" i="2"/>
  <c r="D84" i="2"/>
  <c r="F71" i="2"/>
  <c r="E71" i="2"/>
  <c r="D71" i="2"/>
  <c r="F61" i="2"/>
  <c r="E61" i="2"/>
  <c r="D61" i="2"/>
  <c r="F49" i="2"/>
  <c r="E49" i="2"/>
  <c r="D49" i="2"/>
  <c r="K112" i="3"/>
  <c r="F20" i="2"/>
  <c r="E20" i="2"/>
  <c r="D20" i="2"/>
  <c r="F94" i="2"/>
  <c r="E94" i="2"/>
  <c r="D94" i="2"/>
  <c r="F105" i="2"/>
  <c r="E105" i="2"/>
  <c r="D105" i="2"/>
  <c r="F85" i="2"/>
  <c r="E85" i="2"/>
  <c r="D85" i="2"/>
  <c r="G84" i="2" l="1"/>
  <c r="G61" i="2"/>
  <c r="G71" i="2"/>
  <c r="G93" i="2"/>
  <c r="G104" i="2"/>
  <c r="Q37" i="2"/>
  <c r="P37" i="2"/>
  <c r="O37" i="2"/>
  <c r="N37" i="2"/>
  <c r="M37" i="2"/>
  <c r="J37" i="2"/>
  <c r="F37" i="2"/>
  <c r="E37" i="2"/>
  <c r="D37" i="2"/>
  <c r="W40" i="3"/>
  <c r="R40" i="3"/>
  <c r="I40" i="3"/>
  <c r="G29" i="3"/>
  <c r="F59" i="2" l="1"/>
  <c r="G100" i="2"/>
  <c r="G101" i="2"/>
  <c r="G102" i="2"/>
  <c r="G103" i="2"/>
  <c r="G105" i="2"/>
  <c r="G99" i="2"/>
  <c r="G91" i="2"/>
  <c r="G92" i="2"/>
  <c r="G94" i="2"/>
  <c r="G90" i="2"/>
  <c r="G79" i="2"/>
  <c r="G80" i="2"/>
  <c r="G81" i="2"/>
  <c r="G82" i="2"/>
  <c r="G83" i="2"/>
  <c r="G85" i="2"/>
  <c r="G78" i="2"/>
  <c r="G68" i="2"/>
  <c r="G69" i="2"/>
  <c r="G70" i="2"/>
  <c r="G72" i="2"/>
  <c r="G73" i="2"/>
  <c r="G67" i="2"/>
  <c r="G56" i="2"/>
  <c r="G47" i="2"/>
  <c r="G48" i="2"/>
  <c r="G49" i="2"/>
  <c r="G50" i="2"/>
  <c r="G51" i="2"/>
  <c r="G46" i="2"/>
  <c r="G37" i="2"/>
  <c r="G38" i="2"/>
  <c r="G40" i="2"/>
  <c r="G41" i="2"/>
  <c r="G36" i="2"/>
  <c r="G16" i="2"/>
  <c r="G17" i="2"/>
  <c r="G18" i="2"/>
  <c r="G19" i="2"/>
  <c r="G20" i="2"/>
  <c r="G15" i="2"/>
  <c r="G26" i="2"/>
  <c r="G27" i="2"/>
  <c r="G28" i="2"/>
  <c r="G29" i="2"/>
  <c r="G30" i="2"/>
  <c r="G31" i="2"/>
  <c r="G25" i="2"/>
  <c r="G7" i="2"/>
  <c r="G8" i="2"/>
  <c r="G9" i="2"/>
  <c r="G10" i="2"/>
  <c r="G6" i="2"/>
  <c r="F151" i="3" l="1"/>
  <c r="I151" i="3" s="1"/>
  <c r="E151" i="3"/>
  <c r="H151" i="3" s="1"/>
  <c r="AG113" i="3" s="1"/>
  <c r="F150" i="3"/>
  <c r="I150" i="3" s="1"/>
  <c r="E150" i="3"/>
  <c r="H150" i="3" s="1"/>
  <c r="AF113" i="3" s="1"/>
  <c r="F149" i="3"/>
  <c r="I149" i="3" s="1"/>
  <c r="E149" i="3"/>
  <c r="H149" i="3" s="1"/>
  <c r="AE113" i="3" s="1"/>
  <c r="F148" i="3"/>
  <c r="I148" i="3" s="1"/>
  <c r="E148" i="3"/>
  <c r="H148" i="3" s="1"/>
  <c r="AD113" i="3" s="1"/>
  <c r="F147" i="3"/>
  <c r="I147" i="3" s="1"/>
  <c r="E147" i="3"/>
  <c r="H147" i="3" s="1"/>
  <c r="AC113" i="3" s="1"/>
  <c r="F146" i="3"/>
  <c r="I146" i="3" s="1"/>
  <c r="E146" i="3"/>
  <c r="H146" i="3" s="1"/>
  <c r="AB113" i="3" s="1"/>
  <c r="F145" i="3"/>
  <c r="I145" i="3" s="1"/>
  <c r="E145" i="3"/>
  <c r="H145" i="3" s="1"/>
  <c r="AA113" i="3" s="1"/>
  <c r="F144" i="3"/>
  <c r="I144" i="3" s="1"/>
  <c r="E144" i="3"/>
  <c r="H144" i="3" s="1"/>
  <c r="Z113" i="3" s="1"/>
  <c r="F143" i="3"/>
  <c r="I143" i="3" s="1"/>
  <c r="E143" i="3"/>
  <c r="H143" i="3" s="1"/>
  <c r="Y113" i="3" s="1"/>
  <c r="F142" i="3"/>
  <c r="I142" i="3" s="1"/>
  <c r="E142" i="3"/>
  <c r="H142" i="3" s="1"/>
  <c r="X113" i="3" s="1"/>
  <c r="F141" i="3"/>
  <c r="I141" i="3" s="1"/>
  <c r="E141" i="3"/>
  <c r="H141" i="3" s="1"/>
  <c r="W113" i="3" s="1"/>
  <c r="F140" i="3"/>
  <c r="I140" i="3" s="1"/>
  <c r="E140" i="3"/>
  <c r="H140" i="3" s="1"/>
  <c r="V113" i="3" s="1"/>
  <c r="F139" i="3"/>
  <c r="I139" i="3" s="1"/>
  <c r="E139" i="3"/>
  <c r="H139" i="3" s="1"/>
  <c r="U113" i="3" s="1"/>
  <c r="F138" i="3"/>
  <c r="I138" i="3" s="1"/>
  <c r="E138" i="3"/>
  <c r="H138" i="3" s="1"/>
  <c r="T113" i="3" s="1"/>
  <c r="F137" i="3"/>
  <c r="I137" i="3" s="1"/>
  <c r="E137" i="3"/>
  <c r="H137" i="3" s="1"/>
  <c r="S113" i="3" s="1"/>
  <c r="F136" i="3"/>
  <c r="I136" i="3" s="1"/>
  <c r="E136" i="3"/>
  <c r="H136" i="3" s="1"/>
  <c r="R113" i="3" s="1"/>
  <c r="F135" i="3"/>
  <c r="I135" i="3" s="1"/>
  <c r="E135" i="3"/>
  <c r="H135" i="3" s="1"/>
  <c r="Q113" i="3" s="1"/>
  <c r="F134" i="3"/>
  <c r="I134" i="3" s="1"/>
  <c r="E134" i="3"/>
  <c r="H134" i="3" s="1"/>
  <c r="P113" i="3" s="1"/>
  <c r="F133" i="3"/>
  <c r="I133" i="3" s="1"/>
  <c r="E133" i="3"/>
  <c r="H133" i="3" s="1"/>
  <c r="O113" i="3" s="1"/>
  <c r="F132" i="3"/>
  <c r="I132" i="3" s="1"/>
  <c r="E132" i="3"/>
  <c r="H132" i="3" s="1"/>
  <c r="N113" i="3" s="1"/>
  <c r="F131" i="3"/>
  <c r="I131" i="3" s="1"/>
  <c r="E131" i="3"/>
  <c r="H131" i="3" s="1"/>
  <c r="M113" i="3" s="1"/>
  <c r="F130" i="3"/>
  <c r="I130" i="3" s="1"/>
  <c r="E130" i="3"/>
  <c r="H130" i="3" s="1"/>
  <c r="L113" i="3" s="1"/>
  <c r="F129" i="3"/>
  <c r="I129" i="3" s="1"/>
  <c r="E129" i="3"/>
  <c r="H129" i="3" s="1"/>
  <c r="K113" i="3" s="1"/>
  <c r="F128" i="3"/>
  <c r="I128" i="3" s="1"/>
  <c r="E128" i="3"/>
  <c r="H128" i="3" s="1"/>
  <c r="J113" i="3" s="1"/>
  <c r="F127" i="3"/>
  <c r="I127" i="3" s="1"/>
  <c r="E127" i="3"/>
  <c r="H127" i="3" s="1"/>
  <c r="I113" i="3" s="1"/>
  <c r="F126" i="3"/>
  <c r="I126" i="3" s="1"/>
  <c r="E126" i="3"/>
  <c r="H126" i="3" s="1"/>
  <c r="H113" i="3" s="1"/>
  <c r="F125" i="3"/>
  <c r="I125" i="3" s="1"/>
  <c r="E125" i="3"/>
  <c r="H125" i="3" s="1"/>
  <c r="G113" i="3" s="1"/>
  <c r="F124" i="3"/>
  <c r="I124" i="3" s="1"/>
  <c r="E124" i="3"/>
  <c r="H124" i="3" s="1"/>
  <c r="F113" i="3" s="1"/>
  <c r="F123" i="3"/>
  <c r="I123" i="3" s="1"/>
  <c r="E123" i="3"/>
  <c r="H123" i="3" s="1"/>
  <c r="E113" i="3" s="1"/>
  <c r="F122" i="3"/>
  <c r="I122" i="3" s="1"/>
  <c r="E122" i="3"/>
  <c r="H122" i="3" s="1"/>
  <c r="D113" i="3" s="1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P102" i="3"/>
  <c r="P109" i="3" s="1"/>
  <c r="AG98" i="3"/>
  <c r="AF98" i="3"/>
  <c r="AE98" i="3"/>
  <c r="AD98" i="3"/>
  <c r="AC98" i="3"/>
  <c r="AB98" i="3"/>
  <c r="AA98" i="3"/>
  <c r="Y98" i="3"/>
  <c r="X98" i="3"/>
  <c r="V98" i="3"/>
  <c r="U98" i="3"/>
  <c r="T98" i="3"/>
  <c r="S98" i="3"/>
  <c r="Q98" i="3"/>
  <c r="P98" i="3"/>
  <c r="O98" i="3"/>
  <c r="N98" i="3"/>
  <c r="M98" i="3"/>
  <c r="L98" i="3"/>
  <c r="K98" i="3"/>
  <c r="J98" i="3"/>
  <c r="I98" i="3"/>
  <c r="H98" i="3"/>
  <c r="G98" i="3"/>
  <c r="F98" i="3"/>
  <c r="D98" i="3"/>
  <c r="C98" i="3"/>
  <c r="Z93" i="3"/>
  <c r="Z98" i="3" s="1"/>
  <c r="R93" i="3"/>
  <c r="R98" i="3" s="1"/>
  <c r="W92" i="3"/>
  <c r="W98" i="3" s="1"/>
  <c r="E92" i="3"/>
  <c r="E98" i="3" s="1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F89" i="3"/>
  <c r="E89" i="3"/>
  <c r="D89" i="3"/>
  <c r="C89" i="3"/>
  <c r="G83" i="3"/>
  <c r="G89" i="3" s="1"/>
  <c r="AG77" i="3"/>
  <c r="AF77" i="3"/>
  <c r="AE77" i="3"/>
  <c r="AD77" i="3"/>
  <c r="AC77" i="3"/>
  <c r="AB77" i="3"/>
  <c r="AA77" i="3"/>
  <c r="Z77" i="3"/>
  <c r="X77" i="3"/>
  <c r="W77" i="3"/>
  <c r="V77" i="3"/>
  <c r="U77" i="3"/>
  <c r="T77" i="3"/>
  <c r="S77" i="3"/>
  <c r="R77" i="3"/>
  <c r="P77" i="3"/>
  <c r="O77" i="3"/>
  <c r="N77" i="3"/>
  <c r="M77" i="3"/>
  <c r="L77" i="3"/>
  <c r="K77" i="3"/>
  <c r="I77" i="3"/>
  <c r="H77" i="3"/>
  <c r="G77" i="3"/>
  <c r="F77" i="3"/>
  <c r="D77" i="3"/>
  <c r="C77" i="3"/>
  <c r="Y70" i="3"/>
  <c r="Y77" i="3" s="1"/>
  <c r="Q70" i="3"/>
  <c r="Q77" i="3" s="1"/>
  <c r="J70" i="3"/>
  <c r="J77" i="3" s="1"/>
  <c r="E70" i="3"/>
  <c r="E77" i="3" s="1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Q66" i="3"/>
  <c r="P66" i="3"/>
  <c r="O66" i="3"/>
  <c r="M66" i="3"/>
  <c r="L66" i="3"/>
  <c r="K66" i="3"/>
  <c r="I66" i="3"/>
  <c r="H66" i="3"/>
  <c r="G66" i="3"/>
  <c r="F66" i="3"/>
  <c r="E66" i="3"/>
  <c r="D66" i="3"/>
  <c r="J60" i="3"/>
  <c r="J66" i="3" s="1"/>
  <c r="R59" i="3"/>
  <c r="R66" i="3" s="1"/>
  <c r="N59" i="3"/>
  <c r="N66" i="3" s="1"/>
  <c r="C59" i="3"/>
  <c r="C66" i="3" s="1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39" i="3"/>
  <c r="Q45" i="3" s="1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J35" i="3"/>
  <c r="I35" i="3"/>
  <c r="H35" i="3"/>
  <c r="F35" i="3"/>
  <c r="E35" i="3"/>
  <c r="D35" i="3"/>
  <c r="C35" i="3"/>
  <c r="G3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I24" i="3"/>
  <c r="H24" i="3"/>
  <c r="G24" i="3"/>
  <c r="F24" i="3"/>
  <c r="E24" i="3"/>
  <c r="D24" i="3"/>
  <c r="C24" i="3"/>
  <c r="J18" i="3"/>
  <c r="J24" i="3" s="1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Q14" i="3"/>
  <c r="P14" i="3"/>
  <c r="O14" i="3"/>
  <c r="N14" i="3"/>
  <c r="M14" i="3"/>
  <c r="L14" i="3"/>
  <c r="K14" i="3"/>
  <c r="J14" i="3"/>
  <c r="I14" i="3"/>
  <c r="H14" i="3"/>
  <c r="F14" i="3"/>
  <c r="E14" i="3"/>
  <c r="D14" i="3"/>
  <c r="C14" i="3"/>
  <c r="R9" i="3"/>
  <c r="R14" i="3" s="1"/>
  <c r="G9" i="3"/>
  <c r="G14" i="3" s="1"/>
  <c r="H112" i="3" l="1"/>
  <c r="J112" i="3"/>
  <c r="M112" i="3"/>
  <c r="O112" i="3"/>
  <c r="Q112" i="3"/>
  <c r="S112" i="3"/>
  <c r="U112" i="3"/>
  <c r="W112" i="3"/>
  <c r="Y112" i="3"/>
  <c r="AA112" i="3"/>
  <c r="AC112" i="3"/>
  <c r="AE112" i="3"/>
  <c r="AG112" i="3"/>
  <c r="G112" i="3"/>
  <c r="D112" i="3"/>
  <c r="F112" i="3"/>
  <c r="I112" i="3"/>
  <c r="L112" i="3"/>
  <c r="L115" i="3" s="1"/>
  <c r="N112" i="3"/>
  <c r="P112" i="3"/>
  <c r="R112" i="3"/>
  <c r="T112" i="3"/>
  <c r="V112" i="3"/>
  <c r="X112" i="3"/>
  <c r="Z112" i="3"/>
  <c r="AB112" i="3"/>
  <c r="AD112" i="3"/>
  <c r="AF112" i="3"/>
  <c r="E112" i="3"/>
  <c r="I115" i="3"/>
  <c r="Z115" i="3"/>
  <c r="T115" i="3"/>
  <c r="AB115" i="3"/>
  <c r="D115" i="3"/>
  <c r="AD115" i="3"/>
  <c r="O115" i="3"/>
  <c r="AE115" i="3"/>
  <c r="P115" i="3"/>
  <c r="X115" i="3"/>
  <c r="AF115" i="3"/>
  <c r="S115" i="3"/>
  <c r="AA115" i="3"/>
  <c r="H115" i="3"/>
  <c r="Q115" i="3"/>
  <c r="Y115" i="3"/>
  <c r="AG115" i="3"/>
  <c r="M115" i="3"/>
  <c r="U115" i="3"/>
  <c r="AC115" i="3"/>
  <c r="F115" i="3"/>
  <c r="W115" i="3"/>
  <c r="K115" i="3"/>
  <c r="J115" i="3"/>
  <c r="R115" i="3"/>
  <c r="E115" i="3"/>
  <c r="G115" i="3"/>
  <c r="N115" i="3"/>
  <c r="V115" i="3"/>
  <c r="P59" i="2"/>
  <c r="P64" i="2" s="1"/>
  <c r="F64" i="2"/>
  <c r="F39" i="2"/>
  <c r="D107" i="2"/>
  <c r="E107" i="2"/>
  <c r="F107" i="2"/>
  <c r="H107" i="2"/>
  <c r="I107" i="2"/>
  <c r="J107" i="2"/>
  <c r="K107" i="2"/>
  <c r="L107" i="2"/>
  <c r="M107" i="2"/>
  <c r="N107" i="2"/>
  <c r="O107" i="2"/>
  <c r="P107" i="2"/>
  <c r="Q107" i="2"/>
  <c r="R107" i="2"/>
  <c r="D96" i="2"/>
  <c r="E96" i="2"/>
  <c r="F96" i="2"/>
  <c r="I96" i="2"/>
  <c r="J96" i="2"/>
  <c r="K96" i="2"/>
  <c r="L96" i="2"/>
  <c r="M96" i="2"/>
  <c r="N96" i="2"/>
  <c r="O96" i="2"/>
  <c r="P96" i="2"/>
  <c r="Q96" i="2"/>
  <c r="R96" i="2"/>
  <c r="C96" i="2"/>
  <c r="D87" i="2"/>
  <c r="E87" i="2"/>
  <c r="F87" i="2"/>
  <c r="H87" i="2"/>
  <c r="I87" i="2"/>
  <c r="J87" i="2"/>
  <c r="K87" i="2"/>
  <c r="L87" i="2"/>
  <c r="M87" i="2"/>
  <c r="N87" i="2"/>
  <c r="O87" i="2"/>
  <c r="P87" i="2"/>
  <c r="Q87" i="2"/>
  <c r="R87" i="2"/>
  <c r="C87" i="2"/>
  <c r="D75" i="2"/>
  <c r="E75" i="2"/>
  <c r="F75" i="2"/>
  <c r="G75" i="2"/>
  <c r="J75" i="2"/>
  <c r="K75" i="2"/>
  <c r="L75" i="2"/>
  <c r="M75" i="2"/>
  <c r="N75" i="2"/>
  <c r="O75" i="2"/>
  <c r="P75" i="2"/>
  <c r="Q75" i="2"/>
  <c r="R75" i="2"/>
  <c r="C75" i="2"/>
  <c r="D64" i="2"/>
  <c r="E64" i="2"/>
  <c r="G64" i="2"/>
  <c r="H64" i="2"/>
  <c r="I64" i="2"/>
  <c r="J64" i="2"/>
  <c r="K64" i="2"/>
  <c r="L64" i="2"/>
  <c r="M64" i="2"/>
  <c r="N64" i="2"/>
  <c r="O64" i="2"/>
  <c r="Q64" i="2"/>
  <c r="R64" i="2"/>
  <c r="D53" i="2"/>
  <c r="E53" i="2"/>
  <c r="F53" i="2"/>
  <c r="H53" i="2"/>
  <c r="I53" i="2"/>
  <c r="J53" i="2"/>
  <c r="K53" i="2"/>
  <c r="L53" i="2"/>
  <c r="M53" i="2"/>
  <c r="N53" i="2"/>
  <c r="O53" i="2"/>
  <c r="P53" i="2"/>
  <c r="Q53" i="2"/>
  <c r="R53" i="2"/>
  <c r="C53" i="2"/>
  <c r="D43" i="2"/>
  <c r="E43" i="2"/>
  <c r="H43" i="2"/>
  <c r="I43" i="2"/>
  <c r="J43" i="2"/>
  <c r="K43" i="2"/>
  <c r="L43" i="2"/>
  <c r="M43" i="2"/>
  <c r="N43" i="2"/>
  <c r="O43" i="2"/>
  <c r="P43" i="2"/>
  <c r="Q43" i="2"/>
  <c r="R43" i="2"/>
  <c r="C33" i="2"/>
  <c r="C22" i="2"/>
  <c r="C1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D33" i="2"/>
  <c r="E22" i="2"/>
  <c r="F22" i="2"/>
  <c r="G22" i="2"/>
  <c r="I22" i="2"/>
  <c r="J22" i="2"/>
  <c r="K22" i="2"/>
  <c r="L22" i="2"/>
  <c r="M22" i="2"/>
  <c r="N22" i="2"/>
  <c r="O22" i="2"/>
  <c r="P22" i="2"/>
  <c r="Q22" i="2"/>
  <c r="R22" i="2"/>
  <c r="D22" i="2"/>
  <c r="E12" i="2"/>
  <c r="F12" i="2"/>
  <c r="I12" i="2"/>
  <c r="J12" i="2"/>
  <c r="K12" i="2"/>
  <c r="L12" i="2"/>
  <c r="M12" i="2"/>
  <c r="N12" i="2"/>
  <c r="O12" i="2"/>
  <c r="P12" i="2"/>
  <c r="Q12" i="2"/>
  <c r="R12" i="2"/>
  <c r="D12" i="2"/>
  <c r="K116" i="2" l="1"/>
  <c r="E116" i="2"/>
  <c r="N116" i="2"/>
  <c r="J116" i="2"/>
  <c r="Q116" i="2"/>
  <c r="M116" i="2"/>
  <c r="D116" i="2"/>
  <c r="O116" i="2"/>
  <c r="P116" i="2"/>
  <c r="L116" i="2"/>
  <c r="R116" i="2"/>
  <c r="F43" i="2"/>
  <c r="F116" i="2" s="1"/>
  <c r="G39" i="2"/>
  <c r="G43" i="2" s="1"/>
  <c r="H92" i="2"/>
  <c r="G96" i="2"/>
  <c r="H8" i="2"/>
  <c r="H12" i="2" s="1"/>
  <c r="G87" i="2" l="1"/>
  <c r="I68" i="2"/>
  <c r="I75" i="2" s="1"/>
  <c r="I116" i="2" s="1"/>
  <c r="H68" i="2"/>
  <c r="H75" i="2" s="1"/>
  <c r="H94" i="2"/>
  <c r="H96" i="2" s="1"/>
  <c r="H20" i="2"/>
  <c r="H22" i="2" s="1"/>
  <c r="G53" i="2"/>
  <c r="G12" i="2"/>
  <c r="C100" i="2"/>
  <c r="C107" i="2" s="1"/>
  <c r="C57" i="2"/>
  <c r="C64" i="2" s="1"/>
  <c r="C43" i="2"/>
  <c r="H116" i="2" l="1"/>
  <c r="G107" i="2"/>
  <c r="G116" i="2" s="1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D114" i="2"/>
  <c r="AH66" i="3" l="1"/>
</calcChain>
</file>

<file path=xl/sharedStrings.xml><?xml version="1.0" encoding="utf-8"?>
<sst xmlns="http://schemas.openxmlformats.org/spreadsheetml/2006/main" count="340" uniqueCount="158">
  <si>
    <t>Б</t>
  </si>
  <si>
    <t>Ж</t>
  </si>
  <si>
    <t>У</t>
  </si>
  <si>
    <t>Хлеб ржаной</t>
  </si>
  <si>
    <t>Хлеб пшеничный</t>
  </si>
  <si>
    <t>Фрукты свежие</t>
  </si>
  <si>
    <t>Какао с молоком</t>
  </si>
  <si>
    <t>Мясо</t>
  </si>
  <si>
    <t>Птица</t>
  </si>
  <si>
    <t>Рыба</t>
  </si>
  <si>
    <t>Яйцо</t>
  </si>
  <si>
    <t>Картофель</t>
  </si>
  <si>
    <t>Хлеб ржан</t>
  </si>
  <si>
    <t>Хлеб пшенич</t>
  </si>
  <si>
    <t>Крупы, бобовые</t>
  </si>
  <si>
    <t>Мука пшеничн</t>
  </si>
  <si>
    <t>Чай</t>
  </si>
  <si>
    <t>Какао-порошок</t>
  </si>
  <si>
    <t>Сахар</t>
  </si>
  <si>
    <t>Дрожжи</t>
  </si>
  <si>
    <t>Масло слив</t>
  </si>
  <si>
    <t>Итого</t>
  </si>
  <si>
    <t>Жаркое по-домашнему</t>
  </si>
  <si>
    <t>Наименование продуктов  </t>
  </si>
  <si>
    <t>Хлеб пшеничный            </t>
  </si>
  <si>
    <t>Мука пшеничная            </t>
  </si>
  <si>
    <t>Крупы, бобовые            </t>
  </si>
  <si>
    <t>Макаронные изделия        </t>
  </si>
  <si>
    <t>Картофель                  </t>
  </si>
  <si>
    <t>Сыр                       </t>
  </si>
  <si>
    <t>Масло сливочное           </t>
  </si>
  <si>
    <t>Масло растительное        </t>
  </si>
  <si>
    <t>Сахар &lt;***&gt;               </t>
  </si>
  <si>
    <t>Кондитерские изделия      </t>
  </si>
  <si>
    <t>Дрожжи хлебопекарные      </t>
  </si>
  <si>
    <t>Сметана (массовая доля жира не более 15%)   </t>
  </si>
  <si>
    <t>Макаронные изделия отварные с маслом</t>
  </si>
  <si>
    <t>Сметана</t>
  </si>
  <si>
    <t>Чай с лимоном</t>
  </si>
  <si>
    <t>*</t>
  </si>
  <si>
    <t>Сыр</t>
  </si>
  <si>
    <t>В1</t>
  </si>
  <si>
    <t>С</t>
  </si>
  <si>
    <t>А</t>
  </si>
  <si>
    <t>Е</t>
  </si>
  <si>
    <t>В2</t>
  </si>
  <si>
    <t>Кальций (мг)</t>
  </si>
  <si>
    <t>Фосфор (мг)</t>
  </si>
  <si>
    <t>Магний (мг)</t>
  </si>
  <si>
    <t>Железо (мг)</t>
  </si>
  <si>
    <t>Хлеб ржаной                </t>
  </si>
  <si>
    <t>7-11 лет</t>
  </si>
  <si>
    <t>Итого за сутки, нетто</t>
  </si>
  <si>
    <t>Соки плодоовощные, напитки витаминизированные, в т.ч. инстантные</t>
  </si>
  <si>
    <t>Молоко (2,5 %, 3,5 % )</t>
  </si>
  <si>
    <t>Кисломолочная пищевая продукция</t>
  </si>
  <si>
    <t>Какао-порошок                     </t>
  </si>
  <si>
    <t>Кофейный напиток</t>
  </si>
  <si>
    <t>Соль  пищевая поваренная йодированная                     </t>
  </si>
  <si>
    <t>Специи</t>
  </si>
  <si>
    <t xml:space="preserve">Обед 35 % </t>
  </si>
  <si>
    <t>Завтрак 25 %</t>
  </si>
  <si>
    <t>Творог (м.д. жира не более 9 %)      </t>
  </si>
  <si>
    <t>на 1 день</t>
  </si>
  <si>
    <t xml:space="preserve">Овощи </t>
  </si>
  <si>
    <t>Яйцо,  1 шт.      </t>
  </si>
  <si>
    <t>Кофейный напиток на молоке</t>
  </si>
  <si>
    <t xml:space="preserve">Молоко </t>
  </si>
  <si>
    <t>Творог</t>
  </si>
  <si>
    <t>Пудинг из творога (запечённый)</t>
  </si>
  <si>
    <t>Л 224</t>
  </si>
  <si>
    <t>Рагу из овощей</t>
  </si>
  <si>
    <t>Соус сметанный</t>
  </si>
  <si>
    <t xml:space="preserve">Тефтели из говядины </t>
  </si>
  <si>
    <t>на 10 дней</t>
  </si>
  <si>
    <t>Картофельное пюре</t>
  </si>
  <si>
    <t>№ рец.</t>
  </si>
  <si>
    <t>Выход, г, мл</t>
  </si>
  <si>
    <t>Овощи свежие, зелень</t>
  </si>
  <si>
    <t>Фрукты (плоды) свежие     </t>
  </si>
  <si>
    <t>Сухофрукты, в т.ч. шиповник</t>
  </si>
  <si>
    <t>Мясо жилованное 1-й категории</t>
  </si>
  <si>
    <t>Цыплята 1 категории потрошеные (куры 1 кат.)      </t>
  </si>
  <si>
    <t>Рыба-филе             </t>
  </si>
  <si>
    <t xml:space="preserve">Картофель отварной </t>
  </si>
  <si>
    <t xml:space="preserve">Шницель рыбный натуральный  </t>
  </si>
  <si>
    <t>Котлеты рубленные из кур, запеченные с соусом молочным</t>
  </si>
  <si>
    <t>Фрикадельки из кур или бройлеров-цыплят</t>
  </si>
  <si>
    <t>Котлеты (биточки) особые</t>
  </si>
  <si>
    <t>Напиток из сухофруктов</t>
  </si>
  <si>
    <t xml:space="preserve">Чай с сахаром </t>
  </si>
  <si>
    <t xml:space="preserve">Молоко сгущенное </t>
  </si>
  <si>
    <t>Фруктовый чай</t>
  </si>
  <si>
    <t>Колбасные издедия (субпродукты)</t>
  </si>
  <si>
    <t>Пирог фруктовый "Школьный"</t>
  </si>
  <si>
    <t>*379</t>
  </si>
  <si>
    <t>Омлет с колбасой или сосисками</t>
  </si>
  <si>
    <t>завтрак 25 %</t>
  </si>
  <si>
    <t>Норма по СанПин</t>
  </si>
  <si>
    <t>Йод (мг)</t>
  </si>
  <si>
    <t>Цинк (мг)</t>
  </si>
  <si>
    <t>Фактически завтрак (СРЕДНЕЕ)</t>
  </si>
  <si>
    <t>Специи (по МР)</t>
  </si>
  <si>
    <t xml:space="preserve">Кофейный напиток (по МР) </t>
  </si>
  <si>
    <t>Итого за день по СанПиН</t>
  </si>
  <si>
    <t>Рыба запеченная с молочным соусом</t>
  </si>
  <si>
    <t>Л 386/597</t>
  </si>
  <si>
    <t xml:space="preserve">Пищевая ценность ЗАВТРАК </t>
  </si>
  <si>
    <t>Меню завтраков для обучающихся 1-4 классов (сезон лето-осень)</t>
  </si>
  <si>
    <t>День 1 (понедельник)</t>
  </si>
  <si>
    <t>День 2 (вторник)</t>
  </si>
  <si>
    <t>День  3 (среда)</t>
  </si>
  <si>
    <t>День 4 (четверг)</t>
  </si>
  <si>
    <t>День 5 (пятница)</t>
  </si>
  <si>
    <t>День 6 (понедельник)</t>
  </si>
  <si>
    <t>День 7 (вторник)</t>
  </si>
  <si>
    <t>День 8 (среда)</t>
  </si>
  <si>
    <t>День 9 (четверг)</t>
  </si>
  <si>
    <t>День  10 (пятница)</t>
  </si>
  <si>
    <t>Фрукты свежие (яблоки)</t>
  </si>
  <si>
    <t>Овощи свежие (огурцы)</t>
  </si>
  <si>
    <t xml:space="preserve">Каша жидкая молочная (рисовая) </t>
  </si>
  <si>
    <t>Бутерброд с сыром "Голландский" и маслом сливочным</t>
  </si>
  <si>
    <t>Кисломолочный продукт (кефир 2,5 %-ой жирности)</t>
  </si>
  <si>
    <t>Салат из овощей (помидоров и огурцов)</t>
  </si>
  <si>
    <t>Каша вязкая (ячневая)</t>
  </si>
  <si>
    <t>Сок натуральный (яблочный)</t>
  </si>
  <si>
    <t>Салат из овощей (белокачанной капусты)</t>
  </si>
  <si>
    <t>Хлеб ржаной йодированный</t>
  </si>
  <si>
    <t>Овощи свежие (помидоры)</t>
  </si>
  <si>
    <t>Кондитерское изделие (печенье сахарное)</t>
  </si>
  <si>
    <t>Салат из овощей (белокачанной капусты с морковью)</t>
  </si>
  <si>
    <t>Каша вязкая (гречневая)</t>
  </si>
  <si>
    <t>Кисломолочный продукт (йогурт 3,2 %-ой жирности)</t>
  </si>
  <si>
    <t>Фрукты свежие (персики)</t>
  </si>
  <si>
    <t>Сок  натуральный (грушевый)</t>
  </si>
  <si>
    <t>Фрукты свежие (груши)</t>
  </si>
  <si>
    <t>Сок натуральный (персиковый)</t>
  </si>
  <si>
    <t>Накопительная сырьевая ведомость</t>
  </si>
  <si>
    <t>Сухофрукты</t>
  </si>
  <si>
    <t>Наменование блюд / сырья</t>
  </si>
  <si>
    <t>Макаронные изделия</t>
  </si>
  <si>
    <t>Соки натуральные</t>
  </si>
  <si>
    <t>Кисломолочные продукты</t>
  </si>
  <si>
    <t>Масло растительное</t>
  </si>
  <si>
    <t>Кондитерские изделия</t>
  </si>
  <si>
    <t>Соль йодированная</t>
  </si>
  <si>
    <t>Выполнение норм сырья по СанПиН</t>
  </si>
  <si>
    <t xml:space="preserve"> Колбасные изделия</t>
  </si>
  <si>
    <t>Минеральные вещества, мг</t>
  </si>
  <si>
    <t>Пищевые вещества, г</t>
  </si>
  <si>
    <t>Энергетическая ценность, кКал</t>
  </si>
  <si>
    <t>Витамины, мг</t>
  </si>
  <si>
    <t xml:space="preserve">Минеральные вещества, мг </t>
  </si>
  <si>
    <t>ИТОГО (фактически выдано продуктов в нетто на одного человека, г)</t>
  </si>
  <si>
    <t>ИТОГО (норм. за 10 дней на одного человека по СанПин)</t>
  </si>
  <si>
    <t>Отклонение от нормы ы % (+/- 5 %)</t>
  </si>
  <si>
    <t>Итого сырья на одного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</si>
</sst>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9B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2" fontId="1" fillId="4" borderId="1" xfId="0" applyNumberFormat="1" applyFont="1" applyFill="1" applyBorder="1"/>
    <xf numFmtId="2" fontId="1" fillId="0" borderId="1" xfId="0" applyNumberFormat="1" applyFont="1" applyBorder="1"/>
    <xf numFmtId="2" fontId="1" fillId="0" borderId="1" xfId="0" applyNumberFormat="1" applyFont="1" applyFill="1" applyBorder="1"/>
    <xf numFmtId="2" fontId="1" fillId="4" borderId="1" xfId="0" applyNumberFormat="1" applyFont="1" applyFill="1" applyBorder="1" applyAlignment="1">
      <alignment wrapText="1"/>
    </xf>
    <xf numFmtId="2" fontId="3" fillId="4" borderId="0" xfId="0" applyNumberFormat="1" applyFont="1" applyFill="1" applyAlignment="1">
      <alignment wrapText="1"/>
    </xf>
    <xf numFmtId="2" fontId="3" fillId="4" borderId="3" xfId="0" applyNumberFormat="1" applyFont="1" applyFill="1" applyBorder="1" applyAlignment="1">
      <alignment wrapText="1"/>
    </xf>
    <xf numFmtId="2" fontId="1" fillId="4" borderId="1" xfId="0" applyNumberFormat="1" applyFont="1" applyFill="1" applyBorder="1" applyAlignment="1">
      <alignment vertical="top" wrapText="1"/>
    </xf>
    <xf numFmtId="2" fontId="1" fillId="5" borderId="1" xfId="0" applyNumberFormat="1" applyFont="1" applyFill="1" applyBorder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0" borderId="0" xfId="0" applyNumberFormat="1" applyFont="1" applyFill="1"/>
    <xf numFmtId="2" fontId="1" fillId="4" borderId="2" xfId="0" applyNumberFormat="1" applyFont="1" applyFill="1" applyBorder="1"/>
    <xf numFmtId="2" fontId="3" fillId="2" borderId="1" xfId="0" applyNumberFormat="1" applyFont="1" applyFill="1" applyBorder="1" applyAlignment="1">
      <alignment horizontal="left" indent="1"/>
    </xf>
    <xf numFmtId="2" fontId="1" fillId="2" borderId="1" xfId="0" applyNumberFormat="1" applyFont="1" applyFill="1" applyBorder="1"/>
    <xf numFmtId="2" fontId="3" fillId="4" borderId="0" xfId="0" applyNumberFormat="1" applyFont="1" applyFill="1"/>
    <xf numFmtId="2" fontId="3" fillId="2" borderId="0" xfId="0" applyNumberFormat="1" applyFont="1" applyFill="1"/>
    <xf numFmtId="2" fontId="3" fillId="4" borderId="7" xfId="0" applyNumberFormat="1" applyFont="1" applyFill="1" applyBorder="1" applyAlignment="1">
      <alignment horizontal="left" indent="1"/>
    </xf>
    <xf numFmtId="2" fontId="1" fillId="4" borderId="5" xfId="0" applyNumberFormat="1" applyFont="1" applyFill="1" applyBorder="1"/>
    <xf numFmtId="2" fontId="1" fillId="5" borderId="5" xfId="0" applyNumberFormat="1" applyFont="1" applyFill="1" applyBorder="1"/>
    <xf numFmtId="2" fontId="1" fillId="0" borderId="2" xfId="0" applyNumberFormat="1" applyFont="1" applyBorder="1"/>
    <xf numFmtId="2" fontId="1" fillId="0" borderId="0" xfId="0" applyNumberFormat="1" applyFont="1"/>
    <xf numFmtId="2" fontId="3" fillId="4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left" indent="1"/>
    </xf>
    <xf numFmtId="2" fontId="3" fillId="2" borderId="1" xfId="0" applyNumberFormat="1" applyFont="1" applyFill="1" applyBorder="1"/>
    <xf numFmtId="2" fontId="3" fillId="5" borderId="0" xfId="0" applyNumberFormat="1" applyFont="1" applyFill="1"/>
    <xf numFmtId="2" fontId="1" fillId="4" borderId="1" xfId="0" applyNumberFormat="1" applyFont="1" applyFill="1" applyBorder="1" applyAlignment="1">
      <alignment horizontal="left" indent="1"/>
    </xf>
    <xf numFmtId="2" fontId="1" fillId="0" borderId="5" xfId="0" applyNumberFormat="1" applyFont="1" applyBorder="1"/>
    <xf numFmtId="2" fontId="1" fillId="0" borderId="3" xfId="0" applyNumberFormat="1" applyFont="1" applyBorder="1"/>
    <xf numFmtId="2" fontId="3" fillId="5" borderId="3" xfId="0" applyNumberFormat="1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left"/>
    </xf>
    <xf numFmtId="2" fontId="3" fillId="7" borderId="1" xfId="0" applyNumberFormat="1" applyFont="1" applyFill="1" applyBorder="1"/>
    <xf numFmtId="2" fontId="3" fillId="7" borderId="0" xfId="0" applyNumberFormat="1" applyFont="1" applyFill="1"/>
    <xf numFmtId="2" fontId="1" fillId="3" borderId="1" xfId="0" applyNumberFormat="1" applyFont="1" applyFill="1" applyBorder="1"/>
    <xf numFmtId="2" fontId="1" fillId="4" borderId="3" xfId="0" applyNumberFormat="1" applyFont="1" applyFill="1" applyBorder="1"/>
    <xf numFmtId="2" fontId="1" fillId="3" borderId="1" xfId="0" applyNumberFormat="1" applyFont="1" applyFill="1" applyBorder="1" applyAlignment="1">
      <alignment vertical="center" wrapText="1"/>
    </xf>
    <xf numFmtId="2" fontId="1" fillId="4" borderId="7" xfId="0" applyNumberFormat="1" applyFont="1" applyFill="1" applyBorder="1"/>
    <xf numFmtId="2" fontId="1" fillId="4" borderId="0" xfId="0" applyNumberFormat="1" applyFont="1" applyFill="1" applyBorder="1"/>
    <xf numFmtId="2" fontId="1" fillId="0" borderId="0" xfId="0" applyNumberFormat="1" applyFont="1" applyFill="1" applyBorder="1"/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5" fillId="4" borderId="1" xfId="0" applyNumberFormat="1" applyFont="1" applyFill="1" applyBorder="1"/>
    <xf numFmtId="2" fontId="5" fillId="4" borderId="1" xfId="0" applyNumberFormat="1" applyFont="1" applyFill="1" applyBorder="1" applyAlignment="1"/>
    <xf numFmtId="2" fontId="5" fillId="0" borderId="1" xfId="0" applyNumberFormat="1" applyFont="1" applyBorder="1"/>
    <xf numFmtId="2" fontId="5" fillId="5" borderId="1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2" fontId="5" fillId="8" borderId="1" xfId="0" applyNumberFormat="1" applyFont="1" applyFill="1" applyBorder="1"/>
    <xf numFmtId="2" fontId="5" fillId="4" borderId="2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6" fillId="4" borderId="1" xfId="0" applyFont="1" applyFill="1" applyBorder="1"/>
    <xf numFmtId="2" fontId="6" fillId="4" borderId="1" xfId="0" applyNumberFormat="1" applyFont="1" applyFill="1" applyBorder="1"/>
    <xf numFmtId="2" fontId="6" fillId="0" borderId="1" xfId="0" applyNumberFormat="1" applyFont="1" applyBorder="1"/>
    <xf numFmtId="2" fontId="5" fillId="0" borderId="2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4" fillId="4" borderId="1" xfId="0" applyNumberFormat="1" applyFont="1" applyFill="1" applyBorder="1"/>
    <xf numFmtId="2" fontId="4" fillId="0" borderId="1" xfId="0" applyNumberFormat="1" applyFont="1" applyBorder="1"/>
    <xf numFmtId="2" fontId="4" fillId="2" borderId="1" xfId="0" applyNumberFormat="1" applyFont="1" applyFill="1" applyBorder="1" applyAlignment="1">
      <alignment horizontal="right" wrapText="1"/>
    </xf>
    <xf numFmtId="2" fontId="5" fillId="0" borderId="5" xfId="0" applyNumberFormat="1" applyFont="1" applyFill="1" applyBorder="1" applyAlignment="1">
      <alignment wrapText="1"/>
    </xf>
    <xf numFmtId="2" fontId="5" fillId="4" borderId="1" xfId="0" applyNumberFormat="1" applyFont="1" applyFill="1" applyBorder="1" applyAlignment="1">
      <alignment wrapText="1"/>
    </xf>
    <xf numFmtId="2" fontId="5" fillId="9" borderId="1" xfId="0" applyNumberFormat="1" applyFont="1" applyFill="1" applyBorder="1"/>
    <xf numFmtId="2" fontId="5" fillId="9" borderId="1" xfId="0" applyNumberFormat="1" applyFont="1" applyFill="1" applyBorder="1" applyAlignment="1"/>
    <xf numFmtId="2" fontId="4" fillId="10" borderId="1" xfId="0" applyNumberFormat="1" applyFont="1" applyFill="1" applyBorder="1" applyAlignment="1"/>
    <xf numFmtId="2" fontId="4" fillId="10" borderId="1" xfId="0" applyNumberFormat="1" applyFont="1" applyFill="1" applyBorder="1"/>
    <xf numFmtId="2" fontId="7" fillId="10" borderId="1" xfId="0" applyNumberFormat="1" applyFont="1" applyFill="1" applyBorder="1"/>
    <xf numFmtId="0" fontId="3" fillId="4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4" borderId="0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4" borderId="6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4" borderId="4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5" fillId="0" borderId="4" xfId="0" applyNumberFormat="1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 wrapText="1"/>
    </xf>
    <xf numFmtId="0" fontId="5" fillId="4" borderId="0" xfId="0" applyNumberFormat="1" applyFont="1" applyFill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9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/>
    <xf numFmtId="2" fontId="5" fillId="4" borderId="4" xfId="0" applyNumberFormat="1" applyFont="1" applyFill="1" applyBorder="1"/>
    <xf numFmtId="2" fontId="5" fillId="4" borderId="8" xfId="0" applyNumberFormat="1" applyFont="1" applyFill="1" applyBorder="1"/>
    <xf numFmtId="2" fontId="5" fillId="0" borderId="3" xfId="0" applyNumberFormat="1" applyFont="1" applyBorder="1"/>
    <xf numFmtId="0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wrapText="1"/>
    </xf>
    <xf numFmtId="2" fontId="4" fillId="4" borderId="4" xfId="0" applyNumberFormat="1" applyFont="1" applyFill="1" applyBorder="1"/>
    <xf numFmtId="2" fontId="4" fillId="0" borderId="3" xfId="0" applyNumberFormat="1" applyFont="1" applyBorder="1"/>
    <xf numFmtId="2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/>
    <xf numFmtId="2" fontId="9" fillId="4" borderId="1" xfId="0" applyNumberFormat="1" applyFont="1" applyFill="1" applyBorder="1"/>
    <xf numFmtId="2" fontId="9" fillId="4" borderId="5" xfId="0" applyNumberFormat="1" applyFont="1" applyFill="1" applyBorder="1"/>
    <xf numFmtId="2" fontId="9" fillId="4" borderId="4" xfId="0" applyNumberFormat="1" applyFont="1" applyFill="1" applyBorder="1"/>
    <xf numFmtId="2" fontId="9" fillId="4" borderId="8" xfId="0" applyNumberFormat="1" applyFont="1" applyFill="1" applyBorder="1"/>
    <xf numFmtId="2" fontId="9" fillId="0" borderId="3" xfId="0" applyNumberFormat="1" applyFont="1" applyBorder="1"/>
    <xf numFmtId="2" fontId="9" fillId="0" borderId="1" xfId="0" applyNumberFormat="1" applyFont="1" applyBorder="1"/>
    <xf numFmtId="0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/>
    <xf numFmtId="0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/>
    <xf numFmtId="2" fontId="8" fillId="4" borderId="0" xfId="0" applyNumberFormat="1" applyFont="1" applyFill="1"/>
    <xf numFmtId="0" fontId="10" fillId="6" borderId="1" xfId="0" applyFont="1" applyFill="1" applyBorder="1" applyAlignment="1">
      <alignment horizontal="center" wrapText="1"/>
    </xf>
    <xf numFmtId="2" fontId="10" fillId="6" borderId="1" xfId="0" applyNumberFormat="1" applyFont="1" applyFill="1" applyBorder="1" applyAlignment="1">
      <alignment horizontal="center" wrapText="1"/>
    </xf>
    <xf numFmtId="2" fontId="10" fillId="4" borderId="0" xfId="0" applyNumberFormat="1" applyFont="1" applyFill="1" applyAlignment="1">
      <alignment horizontal="center" wrapText="1"/>
    </xf>
    <xf numFmtId="2" fontId="10" fillId="6" borderId="0" xfId="0" applyNumberFormat="1" applyFont="1" applyFill="1" applyAlignment="1">
      <alignment horizontal="center" wrapText="1"/>
    </xf>
    <xf numFmtId="2" fontId="10" fillId="6" borderId="1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Border="1"/>
    <xf numFmtId="2" fontId="5" fillId="0" borderId="4" xfId="0" applyNumberFormat="1" applyFont="1" applyBorder="1"/>
    <xf numFmtId="2" fontId="5" fillId="0" borderId="4" xfId="0" applyNumberFormat="1" applyFont="1" applyFill="1" applyBorder="1"/>
    <xf numFmtId="2" fontId="6" fillId="0" borderId="4" xfId="0" applyNumberFormat="1" applyFont="1" applyBorder="1"/>
    <xf numFmtId="2" fontId="4" fillId="0" borderId="4" xfId="0" applyNumberFormat="1" applyFont="1" applyFill="1" applyBorder="1"/>
    <xf numFmtId="2" fontId="4" fillId="3" borderId="4" xfId="0" applyNumberFormat="1" applyFont="1" applyFill="1" applyBorder="1" applyAlignment="1">
      <alignment horizontal="right" vertical="center"/>
    </xf>
    <xf numFmtId="2" fontId="5" fillId="8" borderId="3" xfId="0" applyNumberFormat="1" applyFont="1" applyFill="1" applyBorder="1"/>
    <xf numFmtId="2" fontId="5" fillId="0" borderId="3" xfId="0" applyNumberFormat="1" applyFont="1" applyFill="1" applyBorder="1"/>
    <xf numFmtId="2" fontId="6" fillId="0" borderId="3" xfId="0" applyNumberFormat="1" applyFont="1" applyBorder="1"/>
    <xf numFmtId="2" fontId="4" fillId="0" borderId="3" xfId="0" applyNumberFormat="1" applyFont="1" applyFill="1" applyBorder="1"/>
    <xf numFmtId="2" fontId="5" fillId="9" borderId="3" xfId="0" applyNumberFormat="1" applyFont="1" applyFill="1" applyBorder="1"/>
    <xf numFmtId="2" fontId="5" fillId="4" borderId="3" xfId="0" applyNumberFormat="1" applyFont="1" applyFill="1" applyBorder="1"/>
    <xf numFmtId="2" fontId="5" fillId="4" borderId="0" xfId="0" applyNumberFormat="1" applyFont="1" applyFill="1" applyBorder="1"/>
    <xf numFmtId="2" fontId="4" fillId="4" borderId="0" xfId="0" applyNumberFormat="1" applyFont="1" applyFill="1" applyBorder="1"/>
    <xf numFmtId="2" fontId="9" fillId="4" borderId="0" xfId="0" applyNumberFormat="1" applyFont="1" applyFill="1" applyBorder="1"/>
    <xf numFmtId="2" fontId="4" fillId="4" borderId="0" xfId="0" applyNumberFormat="1" applyFont="1" applyFill="1" applyBorder="1" applyAlignment="1">
      <alignment horizontal="left" vertical="center"/>
    </xf>
    <xf numFmtId="2" fontId="6" fillId="4" borderId="0" xfId="0" applyNumberFormat="1" applyFont="1" applyFill="1" applyBorder="1"/>
    <xf numFmtId="2" fontId="5" fillId="4" borderId="5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/>
    <xf numFmtId="2" fontId="5" fillId="0" borderId="5" xfId="0" applyNumberFormat="1" applyFont="1" applyFill="1" applyBorder="1"/>
    <xf numFmtId="2" fontId="5" fillId="0" borderId="6" xfId="0" applyNumberFormat="1" applyFont="1" applyFill="1" applyBorder="1"/>
    <xf numFmtId="2" fontId="5" fillId="0" borderId="7" xfId="0" applyNumberFormat="1" applyFont="1" applyBorder="1"/>
    <xf numFmtId="2" fontId="5" fillId="0" borderId="5" xfId="0" applyNumberFormat="1" applyFont="1" applyBorder="1"/>
    <xf numFmtId="2" fontId="5" fillId="4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/>
    <xf numFmtId="2" fontId="5" fillId="4" borderId="2" xfId="0" applyNumberFormat="1" applyFont="1" applyFill="1" applyBorder="1"/>
    <xf numFmtId="2" fontId="5" fillId="0" borderId="2" xfId="0" applyNumberFormat="1" applyFont="1" applyFill="1" applyBorder="1"/>
    <xf numFmtId="2" fontId="5" fillId="0" borderId="9" xfId="0" applyNumberFormat="1" applyFont="1" applyFill="1" applyBorder="1"/>
    <xf numFmtId="2" fontId="5" fillId="0" borderId="10" xfId="0" applyNumberFormat="1" applyFont="1" applyBorder="1"/>
    <xf numFmtId="2" fontId="5" fillId="0" borderId="2" xfId="0" applyNumberFormat="1" applyFont="1" applyBorder="1"/>
    <xf numFmtId="2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/>
    <xf numFmtId="2" fontId="1" fillId="6" borderId="1" xfId="0" applyNumberFormat="1" applyFont="1" applyFill="1" applyBorder="1"/>
    <xf numFmtId="2" fontId="2" fillId="6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wrapText="1"/>
    </xf>
    <xf numFmtId="2" fontId="4" fillId="5" borderId="3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wrapText="1"/>
    </xf>
    <xf numFmtId="2" fontId="3" fillId="5" borderId="4" xfId="0" applyNumberFormat="1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left"/>
    </xf>
    <xf numFmtId="2" fontId="1" fillId="4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0F53D"/>
      <color rgb="FFD79BEF"/>
      <color rgb="FF32D70B"/>
      <color rgb="FF9A57CD"/>
      <color rgb="FFF36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9"/>
  <sheetViews>
    <sheetView tabSelected="1" zoomScale="70" zoomScaleNormal="70" workbookViewId="0">
      <selection activeCell="B151" sqref="B151"/>
    </sheetView>
  </sheetViews>
  <sheetFormatPr defaultColWidth="9.140625" defaultRowHeight="15.75" customHeight="1" x14ac:dyDescent="0.25"/>
  <cols>
    <col min="1" max="1" width="11.5703125" style="90" customWidth="1"/>
    <col min="2" max="2" width="72.85546875" style="47" customWidth="1"/>
    <col min="3" max="3" width="8.7109375" style="46" customWidth="1"/>
    <col min="4" max="6" width="9.140625" style="46"/>
    <col min="7" max="7" width="14" style="46" customWidth="1"/>
    <col min="8" max="15" width="9.140625" style="46"/>
    <col min="16" max="16" width="11" style="46" customWidth="1"/>
    <col min="17" max="17" width="10.140625" style="46" customWidth="1"/>
    <col min="18" max="18" width="9.140625" style="48"/>
    <col min="19" max="19" width="9.140625" style="143"/>
    <col min="20" max="37" width="9.140625" style="154"/>
    <col min="38" max="38" width="9.140625" style="109"/>
    <col min="39" max="16384" width="9.140625" style="48"/>
  </cols>
  <sheetData>
    <row r="1" spans="1:38" s="131" customFormat="1" ht="15.75" customHeight="1" x14ac:dyDescent="0.3">
      <c r="A1" s="124"/>
      <c r="B1" s="125" t="s">
        <v>108</v>
      </c>
      <c r="C1" s="126"/>
      <c r="D1" s="126"/>
      <c r="E1" s="126"/>
      <c r="F1" s="126"/>
      <c r="G1" s="127"/>
      <c r="H1" s="126"/>
      <c r="I1" s="126"/>
      <c r="J1" s="126"/>
      <c r="K1" s="126"/>
      <c r="L1" s="126"/>
      <c r="M1" s="128"/>
      <c r="N1" s="129"/>
      <c r="O1" s="129"/>
      <c r="P1" s="129"/>
      <c r="Q1" s="129"/>
      <c r="R1" s="130"/>
      <c r="S1" s="142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30"/>
    </row>
    <row r="2" spans="1:38" ht="15.75" customHeight="1" x14ac:dyDescent="0.25">
      <c r="G2" s="106"/>
      <c r="M2" s="107"/>
      <c r="N2" s="108"/>
      <c r="O2" s="108"/>
      <c r="P2" s="108"/>
      <c r="Q2" s="108"/>
      <c r="R2" s="109"/>
    </row>
    <row r="3" spans="1:38" s="41" customFormat="1" ht="15.75" customHeight="1" x14ac:dyDescent="0.25">
      <c r="A3" s="89"/>
      <c r="B3" s="41" t="s">
        <v>107</v>
      </c>
      <c r="G3" s="42"/>
      <c r="M3" s="43"/>
      <c r="N3" s="44"/>
      <c r="O3" s="44"/>
      <c r="P3" s="44"/>
      <c r="Q3" s="44"/>
      <c r="R3" s="45"/>
      <c r="S3" s="43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45"/>
    </row>
    <row r="4" spans="1:38" ht="25.5" customHeight="1" x14ac:dyDescent="0.25">
      <c r="D4" s="180" t="s">
        <v>150</v>
      </c>
      <c r="E4" s="180"/>
      <c r="F4" s="180"/>
      <c r="G4" s="177" t="s">
        <v>151</v>
      </c>
      <c r="H4" s="180" t="s">
        <v>152</v>
      </c>
      <c r="I4" s="180"/>
      <c r="J4" s="180"/>
      <c r="K4" s="180"/>
      <c r="L4" s="180"/>
      <c r="M4" s="183" t="s">
        <v>153</v>
      </c>
      <c r="N4" s="184"/>
      <c r="O4" s="184"/>
      <c r="P4" s="184"/>
      <c r="Q4" s="184"/>
      <c r="R4" s="185"/>
      <c r="S4" s="107"/>
    </row>
    <row r="5" spans="1:38" ht="33.75" customHeight="1" x14ac:dyDescent="0.25">
      <c r="A5" s="181" t="s">
        <v>109</v>
      </c>
      <c r="B5" s="182"/>
      <c r="C5" s="49"/>
      <c r="D5" s="50" t="s">
        <v>0</v>
      </c>
      <c r="E5" s="50" t="s">
        <v>1</v>
      </c>
      <c r="F5" s="50" t="s">
        <v>2</v>
      </c>
      <c r="G5" s="178"/>
      <c r="H5" s="50" t="s">
        <v>41</v>
      </c>
      <c r="I5" s="50" t="s">
        <v>45</v>
      </c>
      <c r="J5" s="50" t="s">
        <v>42</v>
      </c>
      <c r="K5" s="50" t="s">
        <v>43</v>
      </c>
      <c r="L5" s="50" t="s">
        <v>44</v>
      </c>
      <c r="M5" s="50" t="s">
        <v>46</v>
      </c>
      <c r="N5" s="50" t="s">
        <v>47</v>
      </c>
      <c r="O5" s="50" t="s">
        <v>48</v>
      </c>
      <c r="P5" s="50" t="s">
        <v>49</v>
      </c>
      <c r="Q5" s="50" t="s">
        <v>100</v>
      </c>
      <c r="R5" s="50" t="s">
        <v>99</v>
      </c>
      <c r="S5" s="107"/>
    </row>
    <row r="6" spans="1:38" s="53" customFormat="1" ht="15.75" customHeight="1" x14ac:dyDescent="0.25">
      <c r="A6" s="91">
        <v>3</v>
      </c>
      <c r="B6" s="51" t="s">
        <v>122</v>
      </c>
      <c r="C6" s="51">
        <v>40</v>
      </c>
      <c r="D6" s="52">
        <v>6.23</v>
      </c>
      <c r="E6" s="52">
        <v>8.41</v>
      </c>
      <c r="F6" s="52">
        <v>19.75</v>
      </c>
      <c r="G6" s="52">
        <f>F6*4+E6*9+D6*4</f>
        <v>179.61</v>
      </c>
      <c r="H6" s="52">
        <v>5.3999999999999999E-2</v>
      </c>
      <c r="I6" s="52">
        <v>0.47199999999999998</v>
      </c>
      <c r="J6" s="52">
        <v>0.11</v>
      </c>
      <c r="K6" s="52">
        <v>0.62</v>
      </c>
      <c r="L6" s="52">
        <v>0.215</v>
      </c>
      <c r="M6" s="52">
        <v>137.19999999999999</v>
      </c>
      <c r="N6" s="52">
        <v>79</v>
      </c>
      <c r="O6" s="52">
        <v>10.9</v>
      </c>
      <c r="P6" s="52">
        <v>0.6</v>
      </c>
      <c r="Q6" s="52">
        <v>1.32</v>
      </c>
      <c r="R6" s="52">
        <v>0</v>
      </c>
      <c r="S6" s="14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48"/>
    </row>
    <row r="7" spans="1:38" ht="15.75" customHeight="1" x14ac:dyDescent="0.25">
      <c r="A7" s="92"/>
      <c r="B7" s="54" t="s">
        <v>121</v>
      </c>
      <c r="C7" s="54">
        <v>230</v>
      </c>
      <c r="D7" s="52">
        <v>6.8505000000000003</v>
      </c>
      <c r="E7" s="52">
        <v>6.5880000000000001</v>
      </c>
      <c r="F7" s="52">
        <v>29.329000000000001</v>
      </c>
      <c r="G7" s="52">
        <f t="shared" ref="G7:G10" si="0">F7*4+E7*9+D7*4</f>
        <v>204.01</v>
      </c>
      <c r="H7" s="52">
        <v>9.4500000000000001E-3</v>
      </c>
      <c r="I7" s="52">
        <v>2.1000000000000001E-2</v>
      </c>
      <c r="J7" s="52">
        <v>0.189</v>
      </c>
      <c r="K7" s="52">
        <v>0.03</v>
      </c>
      <c r="L7" s="52">
        <v>0</v>
      </c>
      <c r="M7" s="52">
        <v>21.630000000000003</v>
      </c>
      <c r="N7" s="52">
        <v>22.8795</v>
      </c>
      <c r="O7" s="52">
        <v>5.0925000000000002</v>
      </c>
      <c r="P7" s="52">
        <v>7.350000000000001E-2</v>
      </c>
      <c r="Q7" s="52">
        <v>1.1000000000000001</v>
      </c>
      <c r="R7" s="52">
        <v>0</v>
      </c>
      <c r="S7" s="144"/>
    </row>
    <row r="8" spans="1:38" s="53" customFormat="1" ht="15.75" customHeight="1" x14ac:dyDescent="0.25">
      <c r="A8" s="91">
        <v>382</v>
      </c>
      <c r="B8" s="51" t="s">
        <v>6</v>
      </c>
      <c r="C8" s="51">
        <v>200</v>
      </c>
      <c r="D8" s="55">
        <v>4.07</v>
      </c>
      <c r="E8" s="55">
        <v>3.5</v>
      </c>
      <c r="F8" s="55">
        <v>17.5</v>
      </c>
      <c r="G8" s="52">
        <f t="shared" si="0"/>
        <v>117.78</v>
      </c>
      <c r="H8" s="55">
        <f>0.28*0.18</f>
        <v>5.04E-2</v>
      </c>
      <c r="I8" s="55">
        <v>0.18</v>
      </c>
      <c r="J8" s="55">
        <v>1.57</v>
      </c>
      <c r="K8" s="55">
        <v>0.24</v>
      </c>
      <c r="L8" s="55">
        <v>0</v>
      </c>
      <c r="M8" s="55">
        <v>152.19999999999999</v>
      </c>
      <c r="N8" s="55">
        <v>124.5</v>
      </c>
      <c r="O8" s="55">
        <v>21.34</v>
      </c>
      <c r="P8" s="55">
        <v>0.47</v>
      </c>
      <c r="Q8" s="52">
        <v>0.5</v>
      </c>
      <c r="R8" s="52">
        <v>0</v>
      </c>
      <c r="S8" s="14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48"/>
    </row>
    <row r="9" spans="1:38" s="52" customFormat="1" ht="15.75" customHeight="1" x14ac:dyDescent="0.25">
      <c r="A9" s="91"/>
      <c r="B9" s="51" t="s">
        <v>4</v>
      </c>
      <c r="C9" s="51">
        <v>20</v>
      </c>
      <c r="D9" s="52">
        <v>1.35</v>
      </c>
      <c r="E9" s="52">
        <v>0.17199999999999999</v>
      </c>
      <c r="F9" s="52">
        <v>10.029999999999999</v>
      </c>
      <c r="G9" s="52">
        <f t="shared" si="0"/>
        <v>47.067999999999998</v>
      </c>
      <c r="H9" s="52">
        <v>2.4E-2</v>
      </c>
      <c r="I9" s="52">
        <v>5.0000000000000001E-3</v>
      </c>
      <c r="J9" s="52">
        <v>0</v>
      </c>
      <c r="K9" s="52">
        <v>0</v>
      </c>
      <c r="L9" s="52">
        <v>0.22</v>
      </c>
      <c r="M9" s="52">
        <v>4</v>
      </c>
      <c r="N9" s="52">
        <v>13</v>
      </c>
      <c r="O9" s="52">
        <v>2.8</v>
      </c>
      <c r="P9" s="52">
        <v>0.22</v>
      </c>
      <c r="Q9" s="52">
        <v>0.14699999999999999</v>
      </c>
      <c r="R9" s="52">
        <v>0</v>
      </c>
      <c r="S9" s="14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49"/>
    </row>
    <row r="10" spans="1:38" s="52" customFormat="1" ht="15.75" customHeight="1" x14ac:dyDescent="0.25">
      <c r="A10" s="91">
        <v>368</v>
      </c>
      <c r="B10" s="51" t="s">
        <v>119</v>
      </c>
      <c r="C10" s="51">
        <v>120</v>
      </c>
      <c r="D10" s="55">
        <v>0.5</v>
      </c>
      <c r="E10" s="55">
        <v>0.5</v>
      </c>
      <c r="F10" s="55">
        <v>12.8</v>
      </c>
      <c r="G10" s="52">
        <f t="shared" si="0"/>
        <v>57.7</v>
      </c>
      <c r="H10" s="55">
        <v>0.04</v>
      </c>
      <c r="I10" s="55">
        <v>0.01</v>
      </c>
      <c r="J10" s="55">
        <v>5</v>
      </c>
      <c r="K10" s="55">
        <v>0</v>
      </c>
      <c r="L10" s="55">
        <v>0.33</v>
      </c>
      <c r="M10" s="55">
        <v>25</v>
      </c>
      <c r="N10" s="55">
        <v>18.3</v>
      </c>
      <c r="O10" s="55">
        <v>14.16</v>
      </c>
      <c r="P10" s="55">
        <v>0.5</v>
      </c>
      <c r="Q10" s="52">
        <v>0.48</v>
      </c>
      <c r="R10" s="52">
        <v>1.0000000000000001E-5</v>
      </c>
      <c r="S10" s="14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49"/>
    </row>
    <row r="11" spans="1:38" s="52" customFormat="1" ht="15.75" customHeight="1" x14ac:dyDescent="0.25">
      <c r="A11" s="93"/>
      <c r="B11" s="51"/>
      <c r="C11" s="51"/>
      <c r="S11" s="14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49"/>
    </row>
    <row r="12" spans="1:38" s="52" customFormat="1" ht="15.75" customHeight="1" x14ac:dyDescent="0.25">
      <c r="A12" s="94"/>
      <c r="B12" s="56" t="s">
        <v>21</v>
      </c>
      <c r="C12" s="57">
        <f>SUM(C6:C10)</f>
        <v>610</v>
      </c>
      <c r="D12" s="57">
        <f>SUM(D6:D10)</f>
        <v>19.000500000000002</v>
      </c>
      <c r="E12" s="57">
        <f t="shared" ref="E12:R12" si="1">SUM(E6:E10)</f>
        <v>19.170000000000002</v>
      </c>
      <c r="F12" s="57">
        <f t="shared" si="1"/>
        <v>89.409000000000006</v>
      </c>
      <c r="G12" s="57">
        <f t="shared" si="1"/>
        <v>606.16800000000001</v>
      </c>
      <c r="H12" s="57">
        <f t="shared" si="1"/>
        <v>0.17785000000000001</v>
      </c>
      <c r="I12" s="57">
        <f t="shared" si="1"/>
        <v>0.68800000000000006</v>
      </c>
      <c r="J12" s="57">
        <f t="shared" si="1"/>
        <v>6.8689999999999998</v>
      </c>
      <c r="K12" s="57">
        <f t="shared" si="1"/>
        <v>0.89</v>
      </c>
      <c r="L12" s="57">
        <f t="shared" si="1"/>
        <v>0.76500000000000001</v>
      </c>
      <c r="M12" s="57">
        <f t="shared" si="1"/>
        <v>340.03</v>
      </c>
      <c r="N12" s="57">
        <f t="shared" si="1"/>
        <v>257.67950000000002</v>
      </c>
      <c r="O12" s="57">
        <f t="shared" si="1"/>
        <v>54.29249999999999</v>
      </c>
      <c r="P12" s="57">
        <f t="shared" si="1"/>
        <v>1.8634999999999999</v>
      </c>
      <c r="Q12" s="57">
        <f t="shared" si="1"/>
        <v>3.5469999999999997</v>
      </c>
      <c r="R12" s="57">
        <f t="shared" si="1"/>
        <v>1.0000000000000001E-5</v>
      </c>
      <c r="S12" s="14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49"/>
    </row>
    <row r="13" spans="1:38" ht="15.75" customHeight="1" x14ac:dyDescent="0.25">
      <c r="A13" s="95"/>
      <c r="B13" s="58" t="s">
        <v>98</v>
      </c>
      <c r="C13" s="58"/>
      <c r="D13" s="59">
        <v>19.25</v>
      </c>
      <c r="E13" s="59">
        <v>19.75</v>
      </c>
      <c r="F13" s="59">
        <v>83.75</v>
      </c>
      <c r="G13" s="59">
        <v>587.5</v>
      </c>
      <c r="H13" s="59">
        <v>0.3</v>
      </c>
      <c r="I13" s="59">
        <v>0.35</v>
      </c>
      <c r="J13" s="59">
        <v>15</v>
      </c>
      <c r="K13" s="59">
        <v>0.17499999999999999</v>
      </c>
      <c r="L13" s="59">
        <v>2.5</v>
      </c>
      <c r="M13" s="59">
        <v>275</v>
      </c>
      <c r="N13" s="59">
        <v>412.5</v>
      </c>
      <c r="O13" s="59">
        <v>62.5</v>
      </c>
      <c r="P13" s="59">
        <v>3</v>
      </c>
      <c r="Q13" s="59">
        <v>2.5</v>
      </c>
      <c r="R13" s="59">
        <v>2.5000000000000001E-2</v>
      </c>
    </row>
    <row r="14" spans="1:38" s="60" customFormat="1" ht="15.75" customHeight="1" x14ac:dyDescent="0.25">
      <c r="A14" s="186" t="s">
        <v>110</v>
      </c>
      <c r="B14" s="186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145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0"/>
    </row>
    <row r="15" spans="1:38" ht="15.75" customHeight="1" x14ac:dyDescent="0.25">
      <c r="A15" s="96"/>
      <c r="B15" s="61" t="s">
        <v>120</v>
      </c>
      <c r="C15" s="61">
        <v>60</v>
      </c>
      <c r="D15" s="55">
        <v>0.79</v>
      </c>
      <c r="E15" s="55">
        <v>0.14399999999999999</v>
      </c>
      <c r="F15" s="55">
        <v>2.7360000000000002</v>
      </c>
      <c r="G15" s="55">
        <f>F15*4+E15*9+D15*4</f>
        <v>15.4</v>
      </c>
      <c r="H15" s="55">
        <v>4.8000000000000001E-2</v>
      </c>
      <c r="I15" s="55">
        <v>2.4E-2</v>
      </c>
      <c r="J15" s="55">
        <v>12.6</v>
      </c>
      <c r="K15" s="55">
        <v>0</v>
      </c>
      <c r="L15" s="55">
        <v>0.5</v>
      </c>
      <c r="M15" s="55">
        <v>10.08</v>
      </c>
      <c r="N15" s="55">
        <v>18.72</v>
      </c>
      <c r="O15" s="55">
        <v>14.4</v>
      </c>
      <c r="P15" s="55">
        <v>0.64800000000000002</v>
      </c>
      <c r="Q15" s="48">
        <v>0.10199999999999999</v>
      </c>
      <c r="R15" s="48">
        <v>0</v>
      </c>
    </row>
    <row r="16" spans="1:38" ht="15.75" customHeight="1" x14ac:dyDescent="0.25">
      <c r="A16" s="91">
        <v>259</v>
      </c>
      <c r="B16" s="51" t="s">
        <v>22</v>
      </c>
      <c r="C16" s="51">
        <v>175</v>
      </c>
      <c r="D16" s="46">
        <v>17.009708737864077</v>
      </c>
      <c r="E16" s="46">
        <v>15.679611650485436</v>
      </c>
      <c r="F16" s="46">
        <v>25.864077669902912</v>
      </c>
      <c r="G16" s="55">
        <f t="shared" ref="G16:G20" si="2">F16*4+E16*9+D16*4</f>
        <v>312.61165048543688</v>
      </c>
      <c r="H16" s="46">
        <v>0.13980582524271842</v>
      </c>
      <c r="I16" s="46">
        <v>0.19805825242718447</v>
      </c>
      <c r="J16" s="46">
        <v>8.0970873786407758</v>
      </c>
      <c r="K16" s="46">
        <v>0</v>
      </c>
      <c r="L16" s="46">
        <v>10.067961165048542</v>
      </c>
      <c r="M16" s="46">
        <v>36.504854368932037</v>
      </c>
      <c r="N16" s="46">
        <v>215.95145631067962</v>
      </c>
      <c r="O16" s="46">
        <v>50.902912621359221</v>
      </c>
      <c r="P16" s="46">
        <v>4.6213592233009706</v>
      </c>
      <c r="Q16" s="48">
        <v>3.38</v>
      </c>
      <c r="R16" s="48">
        <v>0</v>
      </c>
    </row>
    <row r="17" spans="1:38" s="62" customFormat="1" ht="15.75" customHeight="1" x14ac:dyDescent="0.25">
      <c r="A17" s="91" t="s">
        <v>39</v>
      </c>
      <c r="B17" s="51" t="s">
        <v>92</v>
      </c>
      <c r="C17" s="51">
        <v>200</v>
      </c>
      <c r="D17" s="52">
        <v>0.6</v>
      </c>
      <c r="E17" s="52">
        <v>0.4</v>
      </c>
      <c r="F17" s="52">
        <v>10.4</v>
      </c>
      <c r="G17" s="55">
        <f t="shared" si="2"/>
        <v>47.6</v>
      </c>
      <c r="H17" s="52">
        <v>0.02</v>
      </c>
      <c r="I17" s="52">
        <v>0.04</v>
      </c>
      <c r="J17" s="52">
        <v>3.4</v>
      </c>
      <c r="K17" s="52">
        <v>0</v>
      </c>
      <c r="L17" s="52">
        <v>0.4</v>
      </c>
      <c r="M17" s="52">
        <v>21.2</v>
      </c>
      <c r="N17" s="52">
        <v>22.6</v>
      </c>
      <c r="O17" s="52">
        <v>14.6</v>
      </c>
      <c r="P17" s="52">
        <v>3.2</v>
      </c>
      <c r="Q17" s="52">
        <v>0.12</v>
      </c>
      <c r="R17" s="52">
        <v>0</v>
      </c>
      <c r="S17" s="146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1"/>
    </row>
    <row r="18" spans="1:38" s="64" customFormat="1" ht="15.75" customHeight="1" x14ac:dyDescent="0.25">
      <c r="A18" s="91"/>
      <c r="B18" s="51" t="s">
        <v>4</v>
      </c>
      <c r="C18" s="51">
        <v>25</v>
      </c>
      <c r="D18" s="46">
        <v>1.6875</v>
      </c>
      <c r="E18" s="46">
        <v>0.21499999999999997</v>
      </c>
      <c r="F18" s="46">
        <v>12.5375</v>
      </c>
      <c r="G18" s="55">
        <f t="shared" si="2"/>
        <v>58.835000000000001</v>
      </c>
      <c r="H18" s="46">
        <v>0.03</v>
      </c>
      <c r="I18" s="46">
        <v>6.2500000000000003E-3</v>
      </c>
      <c r="J18" s="46">
        <v>0</v>
      </c>
      <c r="K18" s="46">
        <v>0</v>
      </c>
      <c r="L18" s="46">
        <v>0.27500000000000002</v>
      </c>
      <c r="M18" s="46">
        <v>5</v>
      </c>
      <c r="N18" s="46">
        <v>16.25</v>
      </c>
      <c r="O18" s="46">
        <v>3.5</v>
      </c>
      <c r="P18" s="46">
        <v>0.27500000000000002</v>
      </c>
      <c r="Q18" s="46">
        <v>0.19</v>
      </c>
      <c r="R18" s="46">
        <v>0</v>
      </c>
      <c r="S18" s="122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23"/>
    </row>
    <row r="19" spans="1:38" s="62" customFormat="1" ht="15.75" customHeight="1" x14ac:dyDescent="0.25">
      <c r="A19" s="91"/>
      <c r="B19" s="51" t="s">
        <v>128</v>
      </c>
      <c r="C19" s="51">
        <v>25</v>
      </c>
      <c r="D19" s="52">
        <v>1.6625000000000001</v>
      </c>
      <c r="E19" s="52">
        <v>0.3</v>
      </c>
      <c r="F19" s="52">
        <v>10.462499999999999</v>
      </c>
      <c r="G19" s="55">
        <f t="shared" si="2"/>
        <v>51.199999999999996</v>
      </c>
      <c r="H19" s="52">
        <v>0.13124999999999998</v>
      </c>
      <c r="I19" s="52">
        <v>8.7499999999999981E-2</v>
      </c>
      <c r="J19" s="52">
        <v>0.17499999999999996</v>
      </c>
      <c r="K19" s="52">
        <v>0</v>
      </c>
      <c r="L19" s="52">
        <v>0.13124999999999998</v>
      </c>
      <c r="M19" s="52">
        <v>31.937499999999996</v>
      </c>
      <c r="N19" s="52">
        <v>54.6875</v>
      </c>
      <c r="O19" s="52">
        <v>17.5</v>
      </c>
      <c r="P19" s="52">
        <v>1.2249999999999999</v>
      </c>
      <c r="Q19" s="52">
        <v>0.3</v>
      </c>
      <c r="R19" s="52">
        <v>0.02</v>
      </c>
      <c r="S19" s="146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1"/>
    </row>
    <row r="20" spans="1:38" s="52" customFormat="1" ht="15.75" customHeight="1" x14ac:dyDescent="0.25">
      <c r="A20" s="93"/>
      <c r="B20" s="51" t="s">
        <v>123</v>
      </c>
      <c r="C20" s="51">
        <v>200</v>
      </c>
      <c r="D20" s="55">
        <f>2.9*2</f>
        <v>5.8</v>
      </c>
      <c r="E20" s="55">
        <f>2.5*2</f>
        <v>5</v>
      </c>
      <c r="F20" s="55">
        <f>4*2</f>
        <v>8</v>
      </c>
      <c r="G20" s="55">
        <f t="shared" si="2"/>
        <v>100.2</v>
      </c>
      <c r="H20" s="55">
        <f>0.04*0.75</f>
        <v>0.03</v>
      </c>
      <c r="I20" s="55">
        <v>0.26</v>
      </c>
      <c r="J20" s="55">
        <v>0.54</v>
      </c>
      <c r="K20" s="55">
        <v>0.36</v>
      </c>
      <c r="L20" s="55">
        <v>0</v>
      </c>
      <c r="M20" s="55">
        <v>223.2</v>
      </c>
      <c r="N20" s="55">
        <v>165.6</v>
      </c>
      <c r="O20" s="55">
        <v>25.2</v>
      </c>
      <c r="P20" s="55">
        <v>0.18</v>
      </c>
      <c r="Q20" s="52">
        <v>0.8</v>
      </c>
      <c r="R20" s="52">
        <v>0</v>
      </c>
      <c r="S20" s="14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49"/>
    </row>
    <row r="21" spans="1:38" s="52" customFormat="1" ht="15.75" customHeight="1" x14ac:dyDescent="0.25">
      <c r="A21" s="93"/>
      <c r="S21" s="14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49"/>
    </row>
    <row r="22" spans="1:38" s="52" customFormat="1" ht="15.75" customHeight="1" x14ac:dyDescent="0.25">
      <c r="A22" s="94"/>
      <c r="B22" s="65" t="s">
        <v>21</v>
      </c>
      <c r="C22" s="57">
        <f>SUM(C15:C20)</f>
        <v>685</v>
      </c>
      <c r="D22" s="57">
        <f>SUM(D15:D20)</f>
        <v>27.54970873786408</v>
      </c>
      <c r="E22" s="57">
        <f t="shared" ref="E22:R22" si="3">SUM(E15:E20)</f>
        <v>21.738611650485435</v>
      </c>
      <c r="F22" s="57">
        <f t="shared" si="3"/>
        <v>70.000077669902907</v>
      </c>
      <c r="G22" s="57">
        <f t="shared" si="3"/>
        <v>585.84665048543684</v>
      </c>
      <c r="H22" s="57">
        <f t="shared" si="3"/>
        <v>0.39905582524271843</v>
      </c>
      <c r="I22" s="57">
        <f t="shared" si="3"/>
        <v>0.6158082524271844</v>
      </c>
      <c r="J22" s="57">
        <f t="shared" si="3"/>
        <v>24.812087378640772</v>
      </c>
      <c r="K22" s="57">
        <f t="shared" si="3"/>
        <v>0.36</v>
      </c>
      <c r="L22" s="57">
        <f t="shared" si="3"/>
        <v>11.374211165048543</v>
      </c>
      <c r="M22" s="57">
        <f t="shared" si="3"/>
        <v>327.92235436893202</v>
      </c>
      <c r="N22" s="57">
        <f t="shared" si="3"/>
        <v>493.8089563106796</v>
      </c>
      <c r="O22" s="57">
        <f t="shared" si="3"/>
        <v>126.10291262135922</v>
      </c>
      <c r="P22" s="57">
        <f t="shared" si="3"/>
        <v>10.149359223300969</v>
      </c>
      <c r="Q22" s="57">
        <f t="shared" si="3"/>
        <v>4.8919999999999995</v>
      </c>
      <c r="R22" s="57">
        <f t="shared" si="3"/>
        <v>0.02</v>
      </c>
      <c r="S22" s="14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49"/>
    </row>
    <row r="23" spans="1:38" s="52" customFormat="1" ht="15.75" customHeight="1" x14ac:dyDescent="0.25">
      <c r="A23" s="97"/>
      <c r="B23" s="58" t="s">
        <v>98</v>
      </c>
      <c r="C23" s="58"/>
      <c r="D23" s="59">
        <v>19.25</v>
      </c>
      <c r="E23" s="59">
        <v>19.75</v>
      </c>
      <c r="F23" s="59">
        <v>83.75</v>
      </c>
      <c r="G23" s="59">
        <v>587.5</v>
      </c>
      <c r="H23" s="59">
        <v>0.3</v>
      </c>
      <c r="I23" s="59">
        <v>0.35</v>
      </c>
      <c r="J23" s="59">
        <v>15</v>
      </c>
      <c r="K23" s="59">
        <v>0.17499999999999999</v>
      </c>
      <c r="L23" s="59">
        <v>2.5</v>
      </c>
      <c r="M23" s="59">
        <v>275</v>
      </c>
      <c r="N23" s="59">
        <v>412.5</v>
      </c>
      <c r="O23" s="59">
        <v>62.5</v>
      </c>
      <c r="P23" s="59">
        <v>3</v>
      </c>
      <c r="Q23" s="59">
        <v>2.5</v>
      </c>
      <c r="R23" s="59">
        <v>2.5000000000000001E-2</v>
      </c>
      <c r="S23" s="14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49"/>
    </row>
    <row r="24" spans="1:38" s="52" customFormat="1" ht="15.75" customHeight="1" x14ac:dyDescent="0.25">
      <c r="A24" s="181" t="s">
        <v>111</v>
      </c>
      <c r="B24" s="182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14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49"/>
    </row>
    <row r="25" spans="1:38" ht="15.75" customHeight="1" x14ac:dyDescent="0.25">
      <c r="A25" s="91"/>
      <c r="B25" s="51" t="s">
        <v>124</v>
      </c>
      <c r="C25" s="51">
        <v>80</v>
      </c>
      <c r="D25" s="46">
        <v>1.0507000000000002</v>
      </c>
      <c r="E25" s="46">
        <v>0.19152</v>
      </c>
      <c r="F25" s="46">
        <v>3.6388800000000003</v>
      </c>
      <c r="G25" s="46">
        <f>F25*4+E25*9+D25*4</f>
        <v>20.482000000000003</v>
      </c>
      <c r="H25" s="46">
        <v>6.3840000000000008E-2</v>
      </c>
      <c r="I25" s="46">
        <v>3.1920000000000004E-2</v>
      </c>
      <c r="J25" s="46">
        <v>16.757999999999999</v>
      </c>
      <c r="K25" s="46">
        <v>0</v>
      </c>
      <c r="L25" s="48">
        <v>0.66500000000000004</v>
      </c>
      <c r="M25" s="48">
        <v>13.406400000000001</v>
      </c>
      <c r="N25" s="48">
        <v>24.897600000000001</v>
      </c>
      <c r="O25" s="48">
        <v>19.152000000000001</v>
      </c>
      <c r="P25" s="48">
        <v>0.86184000000000005</v>
      </c>
      <c r="Q25" s="48">
        <v>0.13600000000000001</v>
      </c>
      <c r="R25" s="48">
        <v>0</v>
      </c>
    </row>
    <row r="26" spans="1:38" ht="15.75" customHeight="1" x14ac:dyDescent="0.25">
      <c r="A26" s="91">
        <v>296</v>
      </c>
      <c r="B26" s="51" t="s">
        <v>86</v>
      </c>
      <c r="C26" s="51">
        <v>75</v>
      </c>
      <c r="D26" s="55">
        <v>9.5</v>
      </c>
      <c r="E26" s="55">
        <v>12.64</v>
      </c>
      <c r="F26" s="55">
        <v>9.73</v>
      </c>
      <c r="G26" s="46">
        <f t="shared" ref="G26:G31" si="4">F26*4+E26*9+D26*4</f>
        <v>190.68</v>
      </c>
      <c r="H26" s="55">
        <v>7.0000000000000007E-2</v>
      </c>
      <c r="I26" s="55">
        <v>0.14000000000000001</v>
      </c>
      <c r="J26" s="55">
        <v>0.51</v>
      </c>
      <c r="K26" s="55">
        <v>0.81</v>
      </c>
      <c r="L26" s="55">
        <v>2.2999999999999998</v>
      </c>
      <c r="M26" s="55">
        <v>78.2</v>
      </c>
      <c r="N26" s="55">
        <v>78.52</v>
      </c>
      <c r="O26" s="55">
        <v>16.16</v>
      </c>
      <c r="P26" s="55">
        <v>28.97</v>
      </c>
      <c r="Q26" s="52">
        <v>2</v>
      </c>
      <c r="R26" s="52">
        <v>0.1</v>
      </c>
      <c r="S26" s="144"/>
    </row>
    <row r="27" spans="1:38" ht="15.75" customHeight="1" x14ac:dyDescent="0.25">
      <c r="A27" s="98">
        <v>302</v>
      </c>
      <c r="B27" s="51" t="s">
        <v>125</v>
      </c>
      <c r="C27" s="51">
        <v>130</v>
      </c>
      <c r="D27" s="52">
        <v>6.97</v>
      </c>
      <c r="E27" s="52">
        <v>3.5994999999999995</v>
      </c>
      <c r="F27" s="52">
        <v>33.484999999999999</v>
      </c>
      <c r="G27" s="46">
        <f t="shared" si="4"/>
        <v>194.21549999999999</v>
      </c>
      <c r="H27" s="52">
        <v>0.20699999999999999</v>
      </c>
      <c r="I27" s="52">
        <v>0.11499999999999999</v>
      </c>
      <c r="J27" s="52">
        <v>0</v>
      </c>
      <c r="K27" s="52">
        <v>0.4</v>
      </c>
      <c r="L27" s="52">
        <v>0.50600000000000001</v>
      </c>
      <c r="M27" s="52">
        <v>27.0825</v>
      </c>
      <c r="N27" s="52">
        <v>213.43999999999997</v>
      </c>
      <c r="O27" s="52">
        <v>142.48499999999999</v>
      </c>
      <c r="P27" s="52">
        <v>4.83</v>
      </c>
      <c r="Q27" s="52">
        <v>1.1000000000000001</v>
      </c>
      <c r="R27" s="52">
        <v>0</v>
      </c>
      <c r="S27" s="144"/>
    </row>
    <row r="28" spans="1:38" s="53" customFormat="1" ht="15.75" customHeight="1" x14ac:dyDescent="0.25">
      <c r="A28" s="91" t="s">
        <v>95</v>
      </c>
      <c r="B28" s="51" t="s">
        <v>66</v>
      </c>
      <c r="C28" s="51">
        <v>200</v>
      </c>
      <c r="D28" s="52">
        <v>2.9</v>
      </c>
      <c r="E28" s="52">
        <v>2.5</v>
      </c>
      <c r="F28" s="52">
        <v>14.7</v>
      </c>
      <c r="G28" s="46">
        <f t="shared" si="4"/>
        <v>92.899999999999991</v>
      </c>
      <c r="H28" s="52">
        <v>0.02</v>
      </c>
      <c r="I28" s="52">
        <v>0.13</v>
      </c>
      <c r="J28" s="52">
        <v>0.6</v>
      </c>
      <c r="K28" s="52">
        <v>0.1</v>
      </c>
      <c r="L28" s="52">
        <v>0.1</v>
      </c>
      <c r="M28" s="52">
        <v>120.3</v>
      </c>
      <c r="N28" s="52">
        <v>90</v>
      </c>
      <c r="O28" s="52">
        <v>14</v>
      </c>
      <c r="P28" s="52">
        <v>0.13</v>
      </c>
      <c r="Q28" s="52">
        <v>0.4</v>
      </c>
      <c r="R28" s="52">
        <v>0</v>
      </c>
      <c r="S28" s="14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48"/>
    </row>
    <row r="29" spans="1:38" ht="15.75" customHeight="1" x14ac:dyDescent="0.25">
      <c r="A29" s="91"/>
      <c r="B29" s="51" t="s">
        <v>4</v>
      </c>
      <c r="C29" s="51">
        <v>25</v>
      </c>
      <c r="D29" s="46">
        <v>1.6875</v>
      </c>
      <c r="E29" s="46">
        <v>0.21499999999999997</v>
      </c>
      <c r="F29" s="46">
        <v>12.5375</v>
      </c>
      <c r="G29" s="46">
        <f t="shared" si="4"/>
        <v>58.835000000000001</v>
      </c>
      <c r="H29" s="46">
        <v>0.03</v>
      </c>
      <c r="I29" s="46">
        <v>6.2500000000000003E-3</v>
      </c>
      <c r="J29" s="46">
        <v>0</v>
      </c>
      <c r="K29" s="46">
        <v>0</v>
      </c>
      <c r="L29" s="46">
        <v>0.27500000000000002</v>
      </c>
      <c r="M29" s="46">
        <v>5</v>
      </c>
      <c r="N29" s="46">
        <v>16.25</v>
      </c>
      <c r="O29" s="46">
        <v>3.5</v>
      </c>
      <c r="P29" s="46">
        <v>0.27500000000000002</v>
      </c>
      <c r="Q29" s="46">
        <v>0.19</v>
      </c>
      <c r="R29" s="46">
        <v>0</v>
      </c>
      <c r="S29" s="144"/>
    </row>
    <row r="30" spans="1:38" s="52" customFormat="1" ht="15.75" customHeight="1" x14ac:dyDescent="0.25">
      <c r="A30" s="91"/>
      <c r="B30" s="51" t="s">
        <v>128</v>
      </c>
      <c r="C30" s="51">
        <v>25</v>
      </c>
      <c r="D30" s="52">
        <v>1.6625000000000001</v>
      </c>
      <c r="E30" s="52">
        <v>0.3</v>
      </c>
      <c r="F30" s="52">
        <v>10.462499999999999</v>
      </c>
      <c r="G30" s="46">
        <f t="shared" si="4"/>
        <v>51.199999999999996</v>
      </c>
      <c r="H30" s="52">
        <v>0.13124999999999998</v>
      </c>
      <c r="I30" s="52">
        <v>8.7499999999999981E-2</v>
      </c>
      <c r="J30" s="52">
        <v>0.17499999999999996</v>
      </c>
      <c r="K30" s="52">
        <v>0</v>
      </c>
      <c r="L30" s="52">
        <v>0.13124999999999998</v>
      </c>
      <c r="M30" s="52">
        <v>31.937499999999996</v>
      </c>
      <c r="N30" s="52">
        <v>54.6875</v>
      </c>
      <c r="O30" s="52">
        <v>17.5</v>
      </c>
      <c r="P30" s="52">
        <v>1.2249999999999999</v>
      </c>
      <c r="Q30" s="52">
        <v>0.3</v>
      </c>
      <c r="R30" s="52">
        <v>0.01</v>
      </c>
      <c r="S30" s="14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49"/>
    </row>
    <row r="31" spans="1:38" ht="15.75" customHeight="1" x14ac:dyDescent="0.25">
      <c r="A31" s="91"/>
      <c r="B31" s="51" t="s">
        <v>126</v>
      </c>
      <c r="C31" s="51">
        <v>150</v>
      </c>
      <c r="D31" s="52">
        <v>0.75301204819277112</v>
      </c>
      <c r="E31" s="52">
        <v>0</v>
      </c>
      <c r="F31" s="52">
        <v>15.210843373493976</v>
      </c>
      <c r="G31" s="46">
        <f t="shared" si="4"/>
        <v>63.855421686746986</v>
      </c>
      <c r="H31" s="52">
        <v>1.5060240963855423E-2</v>
      </c>
      <c r="I31" s="52">
        <v>1.5060240963855423E-2</v>
      </c>
      <c r="J31" s="52">
        <v>3.0120481927710845</v>
      </c>
      <c r="K31" s="52">
        <v>0</v>
      </c>
      <c r="L31" s="52">
        <v>0.15060240963855423</v>
      </c>
      <c r="M31" s="52">
        <v>10.542168674698795</v>
      </c>
      <c r="N31" s="52">
        <v>10.542168674698795</v>
      </c>
      <c r="O31" s="52">
        <v>6.024096385542169</v>
      </c>
      <c r="P31" s="52">
        <v>2.1084337349397591</v>
      </c>
      <c r="Q31" s="52">
        <v>0.03</v>
      </c>
      <c r="R31" s="52">
        <v>0</v>
      </c>
      <c r="S31" s="144"/>
    </row>
    <row r="32" spans="1:38" s="52" customFormat="1" ht="15.75" customHeight="1" x14ac:dyDescent="0.25">
      <c r="A32" s="91"/>
      <c r="S32" s="14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49"/>
    </row>
    <row r="33" spans="1:38" s="52" customFormat="1" ht="15.75" customHeight="1" x14ac:dyDescent="0.25">
      <c r="A33" s="94"/>
      <c r="B33" s="56" t="s">
        <v>21</v>
      </c>
      <c r="C33" s="57">
        <f>SUM(C25:C31)</f>
        <v>685</v>
      </c>
      <c r="D33" s="57">
        <f>SUM(D25:D31)</f>
        <v>24.523712048192774</v>
      </c>
      <c r="E33" s="57">
        <f t="shared" ref="E33:R33" si="5">SUM(E25:E31)</f>
        <v>19.446020000000001</v>
      </c>
      <c r="F33" s="57">
        <f t="shared" si="5"/>
        <v>99.764723373493965</v>
      </c>
      <c r="G33" s="57">
        <f t="shared" si="5"/>
        <v>672.16792168674704</v>
      </c>
      <c r="H33" s="57">
        <f t="shared" si="5"/>
        <v>0.53715024096385544</v>
      </c>
      <c r="I33" s="57">
        <f t="shared" si="5"/>
        <v>0.52573024096385534</v>
      </c>
      <c r="J33" s="57">
        <f t="shared" si="5"/>
        <v>21.055048192771089</v>
      </c>
      <c r="K33" s="57">
        <f t="shared" si="5"/>
        <v>1.31</v>
      </c>
      <c r="L33" s="57">
        <f t="shared" si="5"/>
        <v>4.127852409638554</v>
      </c>
      <c r="M33" s="57">
        <f t="shared" si="5"/>
        <v>286.46856867469882</v>
      </c>
      <c r="N33" s="57">
        <f t="shared" si="5"/>
        <v>488.33726867469875</v>
      </c>
      <c r="O33" s="57">
        <f t="shared" si="5"/>
        <v>218.82109638554215</v>
      </c>
      <c r="P33" s="57">
        <f t="shared" si="5"/>
        <v>38.400273734939759</v>
      </c>
      <c r="Q33" s="57">
        <f t="shared" si="5"/>
        <v>4.1560000000000006</v>
      </c>
      <c r="R33" s="57">
        <f t="shared" si="5"/>
        <v>0.11</v>
      </c>
      <c r="S33" s="14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49"/>
    </row>
    <row r="34" spans="1:38" s="52" customFormat="1" ht="15.75" customHeight="1" x14ac:dyDescent="0.25">
      <c r="A34" s="97"/>
      <c r="B34" s="58" t="s">
        <v>98</v>
      </c>
      <c r="C34" s="58"/>
      <c r="D34" s="59">
        <v>19.25</v>
      </c>
      <c r="E34" s="59">
        <v>19.75</v>
      </c>
      <c r="F34" s="59">
        <v>83.75</v>
      </c>
      <c r="G34" s="59">
        <v>587.5</v>
      </c>
      <c r="H34" s="59">
        <v>0.3</v>
      </c>
      <c r="I34" s="59">
        <v>0.35</v>
      </c>
      <c r="J34" s="59">
        <v>15</v>
      </c>
      <c r="K34" s="59">
        <v>0.17499999999999999</v>
      </c>
      <c r="L34" s="59">
        <v>2.5</v>
      </c>
      <c r="M34" s="59">
        <v>275</v>
      </c>
      <c r="N34" s="59">
        <v>412.5</v>
      </c>
      <c r="O34" s="59">
        <v>62.5</v>
      </c>
      <c r="P34" s="59">
        <v>3</v>
      </c>
      <c r="Q34" s="59">
        <v>2.5</v>
      </c>
      <c r="R34" s="59">
        <v>2.5000000000000001E-2</v>
      </c>
      <c r="S34" s="14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49"/>
    </row>
    <row r="35" spans="1:38" s="64" customFormat="1" ht="15.75" customHeight="1" x14ac:dyDescent="0.25">
      <c r="A35" s="181" t="s">
        <v>112</v>
      </c>
      <c r="B35" s="182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146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23"/>
    </row>
    <row r="36" spans="1:38" ht="15.75" customHeight="1" x14ac:dyDescent="0.25">
      <c r="A36" s="91"/>
      <c r="B36" s="51" t="s">
        <v>127</v>
      </c>
      <c r="C36" s="51">
        <v>80</v>
      </c>
      <c r="D36" s="52">
        <v>1.0507000000000002</v>
      </c>
      <c r="E36" s="52">
        <v>0.19152</v>
      </c>
      <c r="F36" s="52">
        <v>3.6388800000000003</v>
      </c>
      <c r="G36" s="52">
        <f>F36*4+E36*9+D36*4</f>
        <v>20.482000000000003</v>
      </c>
      <c r="H36" s="52">
        <v>6.3840000000000008E-2</v>
      </c>
      <c r="I36" s="52">
        <v>3.1920000000000004E-2</v>
      </c>
      <c r="J36" s="52">
        <v>16.757999999999999</v>
      </c>
      <c r="K36" s="52">
        <v>0</v>
      </c>
      <c r="L36" s="52">
        <v>0.66500000000000004</v>
      </c>
      <c r="M36" s="52">
        <v>13.406400000000001</v>
      </c>
      <c r="N36" s="52">
        <v>24.897600000000001</v>
      </c>
      <c r="O36" s="52">
        <v>19.152000000000001</v>
      </c>
      <c r="P36" s="52">
        <v>0.86184000000000005</v>
      </c>
      <c r="Q36" s="48">
        <v>0.13600000000000001</v>
      </c>
      <c r="R36" s="48">
        <v>0</v>
      </c>
      <c r="S36" s="144"/>
    </row>
    <row r="37" spans="1:38" s="53" customFormat="1" ht="15.75" customHeight="1" x14ac:dyDescent="0.25">
      <c r="A37" s="91" t="s">
        <v>106</v>
      </c>
      <c r="B37" s="51" t="s">
        <v>105</v>
      </c>
      <c r="C37" s="51">
        <v>110</v>
      </c>
      <c r="D37" s="46">
        <f>6.4+1.33</f>
        <v>7.73</v>
      </c>
      <c r="E37" s="46">
        <f>4.08+4.61</f>
        <v>8.6900000000000013</v>
      </c>
      <c r="F37" s="46">
        <f>5.8+4.9</f>
        <v>10.7</v>
      </c>
      <c r="G37" s="52">
        <f t="shared" ref="G37:G41" si="6">F37*4+E37*9+D37*4</f>
        <v>151.93</v>
      </c>
      <c r="H37" s="46">
        <v>5.6000000000000001E-2</v>
      </c>
      <c r="I37" s="46">
        <v>0.08</v>
      </c>
      <c r="J37" s="46">
        <f>2.67+0.16</f>
        <v>2.83</v>
      </c>
      <c r="K37" s="46">
        <v>0.41</v>
      </c>
      <c r="L37" s="46">
        <v>0</v>
      </c>
      <c r="M37" s="46">
        <f>35.72+33.4</f>
        <v>69.12</v>
      </c>
      <c r="N37" s="46">
        <f>61.69+29.09</f>
        <v>90.78</v>
      </c>
      <c r="O37" s="46">
        <f>14.12+5.84</f>
        <v>19.96</v>
      </c>
      <c r="P37" s="46">
        <f>0.372+0.14</f>
        <v>0.51200000000000001</v>
      </c>
      <c r="Q37" s="52">
        <f>0.48+0.2</f>
        <v>0.67999999999999994</v>
      </c>
      <c r="R37" s="52">
        <v>0.1</v>
      </c>
      <c r="S37" s="14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48"/>
    </row>
    <row r="38" spans="1:38" ht="15.75" customHeight="1" x14ac:dyDescent="0.25">
      <c r="A38" s="91">
        <v>312</v>
      </c>
      <c r="B38" s="51" t="s">
        <v>75</v>
      </c>
      <c r="C38" s="51">
        <v>150</v>
      </c>
      <c r="D38" s="52">
        <v>3.4577999999999998</v>
      </c>
      <c r="E38" s="52">
        <v>5.4239999999999995</v>
      </c>
      <c r="F38" s="52">
        <v>23.051999999999996</v>
      </c>
      <c r="G38" s="52">
        <f t="shared" si="6"/>
        <v>154.85519999999997</v>
      </c>
      <c r="H38" s="52">
        <v>0.15820000000000001</v>
      </c>
      <c r="I38" s="52">
        <v>0.12429999999999999</v>
      </c>
      <c r="J38" s="52">
        <v>20.452999999999999</v>
      </c>
      <c r="K38" s="52">
        <v>0</v>
      </c>
      <c r="L38" s="52">
        <v>0.20339999999999997</v>
      </c>
      <c r="M38" s="52">
        <v>41.696999999999996</v>
      </c>
      <c r="N38" s="52">
        <v>97.74499999999999</v>
      </c>
      <c r="O38" s="52">
        <v>31.357499999999998</v>
      </c>
      <c r="P38" s="52">
        <v>1.1413</v>
      </c>
      <c r="Q38" s="52">
        <v>0.64</v>
      </c>
      <c r="R38" s="52">
        <v>1E-3</v>
      </c>
      <c r="S38" s="144"/>
    </row>
    <row r="39" spans="1:38" s="52" customFormat="1" ht="15.75" customHeight="1" x14ac:dyDescent="0.25">
      <c r="A39" s="91">
        <v>377</v>
      </c>
      <c r="B39" s="51" t="s">
        <v>38</v>
      </c>
      <c r="C39" s="51">
        <v>200</v>
      </c>
      <c r="D39" s="55">
        <v>0.13</v>
      </c>
      <c r="E39" s="55">
        <v>1.8000000000000002E-2</v>
      </c>
      <c r="F39" s="55">
        <f>15.2-4.95</f>
        <v>10.25</v>
      </c>
      <c r="G39" s="52">
        <f t="shared" si="6"/>
        <v>41.682000000000002</v>
      </c>
      <c r="H39" s="55">
        <v>0</v>
      </c>
      <c r="I39" s="55">
        <v>0</v>
      </c>
      <c r="J39" s="55">
        <v>2.83</v>
      </c>
      <c r="K39" s="55">
        <v>0</v>
      </c>
      <c r="L39" s="55">
        <v>0.05</v>
      </c>
      <c r="M39" s="55">
        <v>14.05</v>
      </c>
      <c r="N39" s="55">
        <v>4.4000000000000004</v>
      </c>
      <c r="O39" s="55">
        <v>2.4</v>
      </c>
      <c r="P39" s="55">
        <v>0.38</v>
      </c>
      <c r="Q39" s="55">
        <v>0.02</v>
      </c>
      <c r="R39" s="52">
        <v>0</v>
      </c>
      <c r="S39" s="14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49"/>
    </row>
    <row r="40" spans="1:38" s="52" customFormat="1" ht="15.75" customHeight="1" x14ac:dyDescent="0.25">
      <c r="A40" s="91"/>
      <c r="B40" s="51" t="s">
        <v>128</v>
      </c>
      <c r="C40" s="51">
        <v>25</v>
      </c>
      <c r="D40" s="52">
        <v>1.6625000000000001</v>
      </c>
      <c r="E40" s="52">
        <v>0.3</v>
      </c>
      <c r="F40" s="52">
        <v>10.462499999999999</v>
      </c>
      <c r="G40" s="52">
        <f t="shared" si="6"/>
        <v>51.199999999999996</v>
      </c>
      <c r="H40" s="52">
        <v>0.13124999999999998</v>
      </c>
      <c r="I40" s="52">
        <v>8.7499999999999981E-2</v>
      </c>
      <c r="J40" s="52">
        <v>0.17499999999999996</v>
      </c>
      <c r="K40" s="52">
        <v>0</v>
      </c>
      <c r="L40" s="52">
        <v>0.13124999999999998</v>
      </c>
      <c r="M40" s="52">
        <v>31.937499999999996</v>
      </c>
      <c r="N40" s="52">
        <v>54.6875</v>
      </c>
      <c r="O40" s="52">
        <v>17.5</v>
      </c>
      <c r="P40" s="52">
        <v>1.2249999999999999</v>
      </c>
      <c r="Q40" s="52">
        <v>0.3</v>
      </c>
      <c r="R40" s="52">
        <v>0.02</v>
      </c>
      <c r="S40" s="14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49"/>
    </row>
    <row r="41" spans="1:38" s="52" customFormat="1" ht="15.75" customHeight="1" x14ac:dyDescent="0.25">
      <c r="A41" s="93" t="s">
        <v>39</v>
      </c>
      <c r="B41" s="51" t="s">
        <v>94</v>
      </c>
      <c r="C41" s="51">
        <v>50</v>
      </c>
      <c r="D41" s="52">
        <v>3.1</v>
      </c>
      <c r="E41" s="55">
        <v>4.3</v>
      </c>
      <c r="F41" s="55">
        <v>23.8</v>
      </c>
      <c r="G41" s="52">
        <f t="shared" si="6"/>
        <v>146.30000000000001</v>
      </c>
      <c r="H41" s="55">
        <v>5.5E-2</v>
      </c>
      <c r="I41" s="55">
        <v>4.8000000000000001E-2</v>
      </c>
      <c r="J41" s="55">
        <v>1.7</v>
      </c>
      <c r="K41" s="55">
        <v>0.62</v>
      </c>
      <c r="L41" s="55">
        <v>0.60499999999999998</v>
      </c>
      <c r="M41" s="55">
        <v>26.7</v>
      </c>
      <c r="N41" s="55">
        <v>40.4</v>
      </c>
      <c r="O41" s="55">
        <v>7.3</v>
      </c>
      <c r="P41" s="55">
        <v>0.17199999999999999</v>
      </c>
      <c r="Q41" s="55">
        <v>0.25480000000000003</v>
      </c>
      <c r="R41" s="52">
        <v>0</v>
      </c>
      <c r="S41" s="14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49"/>
    </row>
    <row r="42" spans="1:38" s="52" customFormat="1" ht="15.75" customHeight="1" x14ac:dyDescent="0.25">
      <c r="A42" s="91"/>
      <c r="S42" s="14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49"/>
    </row>
    <row r="43" spans="1:38" ht="15.75" customHeight="1" x14ac:dyDescent="0.25">
      <c r="A43" s="94"/>
      <c r="B43" s="56" t="s">
        <v>21</v>
      </c>
      <c r="C43" s="57">
        <f t="shared" ref="C43:R43" si="7">SUM(C36:C41)</f>
        <v>615</v>
      </c>
      <c r="D43" s="57">
        <f t="shared" si="7"/>
        <v>17.131000000000004</v>
      </c>
      <c r="E43" s="57">
        <f t="shared" si="7"/>
        <v>18.923520000000003</v>
      </c>
      <c r="F43" s="57">
        <f t="shared" si="7"/>
        <v>81.903379999999999</v>
      </c>
      <c r="G43" s="57">
        <f t="shared" si="7"/>
        <v>566.44920000000002</v>
      </c>
      <c r="H43" s="57">
        <f t="shared" si="7"/>
        <v>0.46428999999999998</v>
      </c>
      <c r="I43" s="57">
        <f t="shared" si="7"/>
        <v>0.37171999999999994</v>
      </c>
      <c r="J43" s="57">
        <f t="shared" si="7"/>
        <v>44.745999999999995</v>
      </c>
      <c r="K43" s="57">
        <f t="shared" si="7"/>
        <v>1.03</v>
      </c>
      <c r="L43" s="57">
        <f t="shared" si="7"/>
        <v>1.6546500000000002</v>
      </c>
      <c r="M43" s="57">
        <f t="shared" si="7"/>
        <v>196.9109</v>
      </c>
      <c r="N43" s="57">
        <f t="shared" si="7"/>
        <v>312.91009999999994</v>
      </c>
      <c r="O43" s="57">
        <f t="shared" si="7"/>
        <v>97.669499999999999</v>
      </c>
      <c r="P43" s="57">
        <f t="shared" si="7"/>
        <v>4.292139999999999</v>
      </c>
      <c r="Q43" s="57">
        <f t="shared" si="7"/>
        <v>2.0308000000000002</v>
      </c>
      <c r="R43" s="57">
        <f t="shared" si="7"/>
        <v>0.12100000000000001</v>
      </c>
      <c r="S43" s="144"/>
    </row>
    <row r="44" spans="1:38" ht="15.75" customHeight="1" x14ac:dyDescent="0.25">
      <c r="A44" s="97"/>
      <c r="B44" s="58" t="s">
        <v>98</v>
      </c>
      <c r="C44" s="58"/>
      <c r="D44" s="59">
        <v>19.25</v>
      </c>
      <c r="E44" s="59">
        <v>19.75</v>
      </c>
      <c r="F44" s="59">
        <v>83.75</v>
      </c>
      <c r="G44" s="59">
        <v>587.5</v>
      </c>
      <c r="H44" s="59">
        <v>0.3</v>
      </c>
      <c r="I44" s="59">
        <v>0.35</v>
      </c>
      <c r="J44" s="59">
        <v>15</v>
      </c>
      <c r="K44" s="59">
        <v>0.17499999999999999</v>
      </c>
      <c r="L44" s="59">
        <v>2.5</v>
      </c>
      <c r="M44" s="59">
        <v>275</v>
      </c>
      <c r="N44" s="59">
        <v>412.5</v>
      </c>
      <c r="O44" s="59">
        <v>62.5</v>
      </c>
      <c r="P44" s="59">
        <v>3</v>
      </c>
      <c r="Q44" s="59">
        <v>2.5</v>
      </c>
      <c r="R44" s="59">
        <v>2.5000000000000001E-2</v>
      </c>
      <c r="S44" s="144"/>
    </row>
    <row r="45" spans="1:38" ht="15.75" customHeight="1" x14ac:dyDescent="0.25">
      <c r="A45" s="181" t="s">
        <v>113</v>
      </c>
      <c r="B45" s="182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144"/>
    </row>
    <row r="46" spans="1:38" s="52" customFormat="1" ht="15.75" customHeight="1" x14ac:dyDescent="0.25">
      <c r="A46" s="98"/>
      <c r="B46" s="61" t="s">
        <v>129</v>
      </c>
      <c r="C46" s="61">
        <v>70</v>
      </c>
      <c r="D46" s="52">
        <v>0.48719999999999997</v>
      </c>
      <c r="E46" s="52">
        <v>6.9599999999999995E-2</v>
      </c>
      <c r="F46" s="52">
        <v>1.3223999999999998</v>
      </c>
      <c r="G46" s="52">
        <f>F46*4+E46*9+D46*4</f>
        <v>7.8647999999999989</v>
      </c>
      <c r="H46" s="52">
        <v>2.3199999999999998E-2</v>
      </c>
      <c r="I46" s="52">
        <v>1.1599999999999999E-2</v>
      </c>
      <c r="J46" s="52">
        <v>3.4103999999999997</v>
      </c>
      <c r="K46" s="52">
        <v>0</v>
      </c>
      <c r="L46" s="52">
        <v>6.9599999999999995E-2</v>
      </c>
      <c r="M46" s="52">
        <v>11.831999999999999</v>
      </c>
      <c r="N46" s="52">
        <v>20.88</v>
      </c>
      <c r="O46" s="52">
        <v>9.7439999999999998</v>
      </c>
      <c r="P46" s="52">
        <v>0.34799999999999998</v>
      </c>
      <c r="Q46" s="52">
        <v>0.11</v>
      </c>
      <c r="R46" s="52">
        <v>0</v>
      </c>
      <c r="S46" s="14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49"/>
    </row>
    <row r="47" spans="1:38" s="53" customFormat="1" ht="15.75" customHeight="1" x14ac:dyDescent="0.25">
      <c r="A47" s="91">
        <v>212</v>
      </c>
      <c r="B47" s="51" t="s">
        <v>96</v>
      </c>
      <c r="C47" s="51">
        <v>150</v>
      </c>
      <c r="D47" s="52">
        <v>15.771800000000001</v>
      </c>
      <c r="E47" s="52">
        <v>30.409400000000005</v>
      </c>
      <c r="F47" s="52">
        <v>2.7178</v>
      </c>
      <c r="G47" s="52">
        <f t="shared" ref="G47:G51" si="8">F47*4+E47*9+D47*4</f>
        <v>347.64300000000003</v>
      </c>
      <c r="H47" s="52">
        <v>0.14980000000000002</v>
      </c>
      <c r="I47" s="52">
        <v>0.47080000000000005</v>
      </c>
      <c r="J47" s="52">
        <v>0.21400000000000002</v>
      </c>
      <c r="K47" s="52">
        <v>2.88</v>
      </c>
      <c r="L47" s="52">
        <v>7.8</v>
      </c>
      <c r="M47" s="52">
        <v>95.444000000000003</v>
      </c>
      <c r="N47" s="52">
        <v>245.244</v>
      </c>
      <c r="O47" s="52">
        <v>20.0518</v>
      </c>
      <c r="P47" s="52">
        <v>2.7820000000000005</v>
      </c>
      <c r="Q47" s="52">
        <v>1.72</v>
      </c>
      <c r="R47" s="52">
        <v>0.01</v>
      </c>
      <c r="S47" s="14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48"/>
    </row>
    <row r="48" spans="1:38" s="52" customFormat="1" ht="15.75" customHeight="1" x14ac:dyDescent="0.25">
      <c r="A48" s="91"/>
      <c r="B48" s="51" t="s">
        <v>92</v>
      </c>
      <c r="C48" s="51">
        <v>200</v>
      </c>
      <c r="D48" s="52">
        <v>0.6</v>
      </c>
      <c r="E48" s="52">
        <v>0.4</v>
      </c>
      <c r="F48" s="52">
        <v>10.4</v>
      </c>
      <c r="G48" s="52">
        <f t="shared" si="8"/>
        <v>47.6</v>
      </c>
      <c r="H48" s="52">
        <v>0.02</v>
      </c>
      <c r="I48" s="52">
        <v>0.04</v>
      </c>
      <c r="J48" s="52">
        <v>3.4</v>
      </c>
      <c r="K48" s="52">
        <v>0</v>
      </c>
      <c r="L48" s="52">
        <v>0.4</v>
      </c>
      <c r="M48" s="52">
        <v>21.2</v>
      </c>
      <c r="N48" s="52">
        <v>22.6</v>
      </c>
      <c r="O48" s="52">
        <v>14.6</v>
      </c>
      <c r="P48" s="52">
        <v>3.2</v>
      </c>
      <c r="Q48" s="52">
        <v>0.12</v>
      </c>
      <c r="R48" s="52">
        <v>0</v>
      </c>
      <c r="S48" s="14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49"/>
    </row>
    <row r="49" spans="1:38" s="52" customFormat="1" ht="15.75" customHeight="1" x14ac:dyDescent="0.25">
      <c r="A49" s="99"/>
      <c r="B49" s="51" t="s">
        <v>4</v>
      </c>
      <c r="C49" s="51">
        <v>40</v>
      </c>
      <c r="D49" s="52">
        <f>1.35*2</f>
        <v>2.7</v>
      </c>
      <c r="E49" s="52">
        <f>0.172*2</f>
        <v>0.34399999999999997</v>
      </c>
      <c r="F49" s="52">
        <f>10.03*2</f>
        <v>20.059999999999999</v>
      </c>
      <c r="G49" s="52">
        <f t="shared" si="8"/>
        <v>94.135999999999996</v>
      </c>
      <c r="H49" s="52">
        <v>2.4E-2</v>
      </c>
      <c r="I49" s="52">
        <v>5.0000000000000001E-3</v>
      </c>
      <c r="J49" s="52">
        <v>0</v>
      </c>
      <c r="K49" s="52">
        <v>0</v>
      </c>
      <c r="L49" s="52">
        <v>0.42</v>
      </c>
      <c r="M49" s="52">
        <v>8</v>
      </c>
      <c r="N49" s="52">
        <v>26</v>
      </c>
      <c r="O49" s="52">
        <v>5.6</v>
      </c>
      <c r="P49" s="52">
        <v>0.4</v>
      </c>
      <c r="Q49" s="52">
        <v>0.3</v>
      </c>
      <c r="R49" s="52">
        <v>0</v>
      </c>
      <c r="S49" s="14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49"/>
    </row>
    <row r="50" spans="1:38" s="52" customFormat="1" ht="15.75" customHeight="1" x14ac:dyDescent="0.25">
      <c r="A50" s="100"/>
      <c r="B50" s="51" t="s">
        <v>128</v>
      </c>
      <c r="C50" s="51">
        <v>25</v>
      </c>
      <c r="D50" s="52">
        <v>1.6625000000000001</v>
      </c>
      <c r="E50" s="52">
        <v>0.3</v>
      </c>
      <c r="F50" s="52">
        <v>10.462499999999999</v>
      </c>
      <c r="G50" s="52">
        <f t="shared" si="8"/>
        <v>51.199999999999996</v>
      </c>
      <c r="H50" s="52">
        <v>0.13124999999999998</v>
      </c>
      <c r="I50" s="52">
        <v>8.7499999999999981E-2</v>
      </c>
      <c r="J50" s="52">
        <v>0.17499999999999996</v>
      </c>
      <c r="K50" s="52">
        <v>0</v>
      </c>
      <c r="L50" s="52">
        <v>0.13124999999999998</v>
      </c>
      <c r="M50" s="52">
        <v>31.937499999999996</v>
      </c>
      <c r="N50" s="52">
        <v>54.6875</v>
      </c>
      <c r="O50" s="52">
        <v>17.5</v>
      </c>
      <c r="P50" s="52">
        <v>1.2249999999999999</v>
      </c>
      <c r="Q50" s="52">
        <v>0.3</v>
      </c>
      <c r="R50" s="52">
        <v>0.02</v>
      </c>
      <c r="S50" s="14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49"/>
    </row>
    <row r="51" spans="1:38" s="52" customFormat="1" ht="15.75" customHeight="1" x14ac:dyDescent="0.25">
      <c r="A51" s="91">
        <v>368</v>
      </c>
      <c r="B51" s="51" t="s">
        <v>136</v>
      </c>
      <c r="C51" s="51">
        <v>120</v>
      </c>
      <c r="D51" s="55">
        <v>0.5</v>
      </c>
      <c r="E51" s="55">
        <v>0.5</v>
      </c>
      <c r="F51" s="55">
        <v>12.8</v>
      </c>
      <c r="G51" s="52">
        <f t="shared" si="8"/>
        <v>57.7</v>
      </c>
      <c r="H51" s="55">
        <v>0.04</v>
      </c>
      <c r="I51" s="55">
        <v>0.01</v>
      </c>
      <c r="J51" s="55">
        <v>5</v>
      </c>
      <c r="K51" s="55">
        <v>0</v>
      </c>
      <c r="L51" s="55">
        <v>0.33</v>
      </c>
      <c r="M51" s="55">
        <v>25</v>
      </c>
      <c r="N51" s="55">
        <v>18.3</v>
      </c>
      <c r="O51" s="55">
        <v>14.16</v>
      </c>
      <c r="P51" s="55">
        <v>0.5</v>
      </c>
      <c r="Q51" s="52">
        <v>0.48</v>
      </c>
      <c r="R51" s="52">
        <v>1.0000000000000001E-5</v>
      </c>
      <c r="S51" s="14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49"/>
    </row>
    <row r="52" spans="1:38" s="52" customFormat="1" ht="15.75" customHeight="1" x14ac:dyDescent="0.25">
      <c r="A52" s="91"/>
      <c r="S52" s="14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49"/>
    </row>
    <row r="53" spans="1:38" ht="15.75" customHeight="1" x14ac:dyDescent="0.25">
      <c r="A53" s="94"/>
      <c r="B53" s="56" t="s">
        <v>21</v>
      </c>
      <c r="C53" s="57">
        <f>SUM(C46:C51)</f>
        <v>605</v>
      </c>
      <c r="D53" s="57">
        <f t="shared" ref="D53:R53" si="9">SUM(D46:D51)</f>
        <v>21.721500000000002</v>
      </c>
      <c r="E53" s="57">
        <f t="shared" si="9"/>
        <v>32.02300000000001</v>
      </c>
      <c r="F53" s="57">
        <f t="shared" si="9"/>
        <v>57.762699999999995</v>
      </c>
      <c r="G53" s="57">
        <f t="shared" si="9"/>
        <v>606.14380000000017</v>
      </c>
      <c r="H53" s="57">
        <f t="shared" si="9"/>
        <v>0.38824999999999993</v>
      </c>
      <c r="I53" s="57">
        <f t="shared" si="9"/>
        <v>0.62490000000000012</v>
      </c>
      <c r="J53" s="57">
        <f t="shared" si="9"/>
        <v>12.199400000000001</v>
      </c>
      <c r="K53" s="57">
        <f t="shared" si="9"/>
        <v>2.88</v>
      </c>
      <c r="L53" s="57">
        <f t="shared" si="9"/>
        <v>9.1508500000000002</v>
      </c>
      <c r="M53" s="57">
        <f t="shared" si="9"/>
        <v>193.4135</v>
      </c>
      <c r="N53" s="57">
        <f t="shared" si="9"/>
        <v>387.71150000000006</v>
      </c>
      <c r="O53" s="57">
        <f t="shared" si="9"/>
        <v>81.655799999999999</v>
      </c>
      <c r="P53" s="57">
        <f t="shared" si="9"/>
        <v>8.4550000000000001</v>
      </c>
      <c r="Q53" s="57">
        <f t="shared" si="9"/>
        <v>3.03</v>
      </c>
      <c r="R53" s="57">
        <f t="shared" si="9"/>
        <v>3.0009999999999998E-2</v>
      </c>
      <c r="S53" s="144"/>
    </row>
    <row r="54" spans="1:38" s="52" customFormat="1" ht="15.75" customHeight="1" x14ac:dyDescent="0.25">
      <c r="A54" s="93"/>
      <c r="B54" s="58" t="s">
        <v>98</v>
      </c>
      <c r="C54" s="58"/>
      <c r="D54" s="59">
        <v>19.25</v>
      </c>
      <c r="E54" s="59">
        <v>19.75</v>
      </c>
      <c r="F54" s="59">
        <v>83.75</v>
      </c>
      <c r="G54" s="59">
        <v>587.5</v>
      </c>
      <c r="H54" s="59">
        <v>0.3</v>
      </c>
      <c r="I54" s="59">
        <v>0.35</v>
      </c>
      <c r="J54" s="59">
        <v>15</v>
      </c>
      <c r="K54" s="59">
        <v>0.17499999999999999</v>
      </c>
      <c r="L54" s="59">
        <v>2.5</v>
      </c>
      <c r="M54" s="59">
        <v>275</v>
      </c>
      <c r="N54" s="59">
        <v>412.5</v>
      </c>
      <c r="O54" s="59">
        <v>62.5</v>
      </c>
      <c r="P54" s="59">
        <v>3</v>
      </c>
      <c r="Q54" s="59">
        <v>2.5</v>
      </c>
      <c r="R54" s="59">
        <v>2.5000000000000001E-2</v>
      </c>
      <c r="S54" s="14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49"/>
    </row>
    <row r="55" spans="1:38" s="53" customFormat="1" ht="15.75" customHeight="1" x14ac:dyDescent="0.25">
      <c r="A55" s="181" t="s">
        <v>114</v>
      </c>
      <c r="B55" s="182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14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48"/>
    </row>
    <row r="56" spans="1:38" ht="15.75" customHeight="1" x14ac:dyDescent="0.25">
      <c r="A56" s="91"/>
      <c r="B56" s="51" t="s">
        <v>120</v>
      </c>
      <c r="C56" s="51">
        <v>60</v>
      </c>
      <c r="D56" s="55">
        <v>0.42</v>
      </c>
      <c r="E56" s="55">
        <v>0.06</v>
      </c>
      <c r="F56" s="55">
        <v>1.1399999999999999</v>
      </c>
      <c r="G56" s="55">
        <f>F56*4+E56*9+D56*4</f>
        <v>6.7799999999999994</v>
      </c>
      <c r="H56" s="55">
        <v>0.02</v>
      </c>
      <c r="I56" s="55">
        <v>0.01</v>
      </c>
      <c r="J56" s="55">
        <v>2.94</v>
      </c>
      <c r="K56" s="55">
        <v>0</v>
      </c>
      <c r="L56" s="55">
        <v>0.06</v>
      </c>
      <c r="M56" s="55">
        <v>10.199999999999999</v>
      </c>
      <c r="N56" s="55">
        <v>18</v>
      </c>
      <c r="O56" s="55">
        <v>8.4</v>
      </c>
      <c r="P56" s="55">
        <v>0.3</v>
      </c>
      <c r="Q56" s="52">
        <v>0.10199999999999999</v>
      </c>
      <c r="R56" s="52">
        <v>0</v>
      </c>
      <c r="S56" s="144"/>
    </row>
    <row r="57" spans="1:38" ht="15.75" customHeight="1" x14ac:dyDescent="0.25">
      <c r="A57" s="91">
        <v>269</v>
      </c>
      <c r="B57" s="51" t="s">
        <v>88</v>
      </c>
      <c r="C57" s="51">
        <f>50*1.4</f>
        <v>70</v>
      </c>
      <c r="D57" s="46">
        <v>7.1495327102803738</v>
      </c>
      <c r="E57" s="46">
        <v>9.3925233644859816</v>
      </c>
      <c r="F57" s="46">
        <v>7.2336448598130838</v>
      </c>
      <c r="G57" s="46">
        <v>142.06542056074767</v>
      </c>
      <c r="H57" s="46">
        <v>8.4112149532710276E-2</v>
      </c>
      <c r="I57" s="46">
        <v>8.4112149532710276E-2</v>
      </c>
      <c r="J57" s="46">
        <v>0.12616822429906543</v>
      </c>
      <c r="K57" s="46">
        <v>0.1</v>
      </c>
      <c r="L57" s="46">
        <v>0.42056074766355139</v>
      </c>
      <c r="M57" s="46">
        <v>20.579439252336446</v>
      </c>
      <c r="N57" s="46">
        <v>87.588785046728972</v>
      </c>
      <c r="O57" s="46">
        <v>16.355140186915886</v>
      </c>
      <c r="P57" s="46">
        <v>1.1869158878504673</v>
      </c>
      <c r="Q57" s="46">
        <v>2.3199999999999998</v>
      </c>
      <c r="R57" s="46">
        <v>0</v>
      </c>
      <c r="S57" s="107"/>
    </row>
    <row r="58" spans="1:38" s="52" customFormat="1" ht="15.75" customHeight="1" x14ac:dyDescent="0.25">
      <c r="A58" s="98" t="s">
        <v>70</v>
      </c>
      <c r="B58" s="61" t="s">
        <v>71</v>
      </c>
      <c r="C58" s="61">
        <v>160</v>
      </c>
      <c r="D58" s="52">
        <v>2.69</v>
      </c>
      <c r="E58" s="52">
        <v>5</v>
      </c>
      <c r="F58" s="52">
        <v>13.1</v>
      </c>
      <c r="G58" s="52">
        <v>216.3</v>
      </c>
      <c r="H58" s="52">
        <v>0.08</v>
      </c>
      <c r="I58" s="52">
        <v>0.08</v>
      </c>
      <c r="J58" s="52">
        <v>19.059999999999999</v>
      </c>
      <c r="K58" s="52">
        <v>0.7</v>
      </c>
      <c r="L58" s="52">
        <v>0</v>
      </c>
      <c r="M58" s="52">
        <v>56.6</v>
      </c>
      <c r="N58" s="52">
        <v>68.56</v>
      </c>
      <c r="O58" s="52">
        <v>24.7</v>
      </c>
      <c r="P58" s="52">
        <v>0.91</v>
      </c>
      <c r="Q58" s="52">
        <v>0.43</v>
      </c>
      <c r="R58" s="52">
        <v>0</v>
      </c>
      <c r="S58" s="14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49"/>
    </row>
    <row r="59" spans="1:38" s="52" customFormat="1" ht="15.75" customHeight="1" x14ac:dyDescent="0.25">
      <c r="A59" s="91"/>
      <c r="B59" s="51" t="s">
        <v>90</v>
      </c>
      <c r="C59" s="51">
        <v>200</v>
      </c>
      <c r="D59" s="55">
        <v>6.3000000000000014E-2</v>
      </c>
      <c r="E59" s="55">
        <v>1.8000000000000002E-2</v>
      </c>
      <c r="F59" s="55">
        <f>10.4</f>
        <v>10.4</v>
      </c>
      <c r="G59" s="55">
        <v>35.5</v>
      </c>
      <c r="H59" s="55">
        <v>0</v>
      </c>
      <c r="I59" s="55">
        <v>0</v>
      </c>
      <c r="J59" s="55">
        <v>2.7E-2</v>
      </c>
      <c r="K59" s="55">
        <v>0</v>
      </c>
      <c r="L59" s="55">
        <v>0</v>
      </c>
      <c r="M59" s="55">
        <v>11.1</v>
      </c>
      <c r="N59" s="55">
        <v>2.8</v>
      </c>
      <c r="O59" s="55">
        <v>1.4</v>
      </c>
      <c r="P59" s="55">
        <f>12.1-0.045</f>
        <v>12.055</v>
      </c>
      <c r="Q59" s="55">
        <v>0.02</v>
      </c>
      <c r="R59" s="52">
        <v>0</v>
      </c>
      <c r="S59" s="14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49"/>
    </row>
    <row r="60" spans="1:38" s="52" customFormat="1" ht="15.75" customHeight="1" x14ac:dyDescent="0.25">
      <c r="A60" s="91"/>
      <c r="B60" s="51" t="s">
        <v>128</v>
      </c>
      <c r="C60" s="51">
        <v>25</v>
      </c>
      <c r="D60" s="52">
        <v>1.6625000000000001</v>
      </c>
      <c r="E60" s="52">
        <v>0.3</v>
      </c>
      <c r="F60" s="52">
        <v>10.462499999999999</v>
      </c>
      <c r="G60" s="52">
        <v>51.2</v>
      </c>
      <c r="H60" s="52">
        <v>0.13124999999999998</v>
      </c>
      <c r="I60" s="52">
        <v>8.7499999999999981E-2</v>
      </c>
      <c r="J60" s="52">
        <v>0.17499999999999996</v>
      </c>
      <c r="K60" s="52">
        <v>0</v>
      </c>
      <c r="L60" s="52">
        <v>0.13124999999999998</v>
      </c>
      <c r="M60" s="52">
        <v>31.937499999999996</v>
      </c>
      <c r="N60" s="52">
        <v>54.6875</v>
      </c>
      <c r="O60" s="52">
        <v>17.5</v>
      </c>
      <c r="P60" s="52">
        <v>1.2249999999999999</v>
      </c>
      <c r="Q60" s="52">
        <v>0.3</v>
      </c>
      <c r="R60" s="52">
        <v>0.02</v>
      </c>
      <c r="S60" s="14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49"/>
    </row>
    <row r="61" spans="1:38" s="52" customFormat="1" ht="15.75" customHeight="1" x14ac:dyDescent="0.25">
      <c r="A61" s="99"/>
      <c r="B61" s="51" t="s">
        <v>4</v>
      </c>
      <c r="C61" s="51">
        <v>40</v>
      </c>
      <c r="D61" s="52">
        <f>1.35*2</f>
        <v>2.7</v>
      </c>
      <c r="E61" s="52">
        <f>0.172*2</f>
        <v>0.34399999999999997</v>
      </c>
      <c r="F61" s="52">
        <f>10.03*2</f>
        <v>20.059999999999999</v>
      </c>
      <c r="G61" s="52">
        <f t="shared" ref="G61" si="10">F61*4+E61*9+D61*4</f>
        <v>94.135999999999996</v>
      </c>
      <c r="H61" s="52">
        <v>2.4E-2</v>
      </c>
      <c r="I61" s="52">
        <v>5.0000000000000001E-3</v>
      </c>
      <c r="J61" s="52">
        <v>0</v>
      </c>
      <c r="K61" s="52">
        <v>0</v>
      </c>
      <c r="L61" s="52">
        <v>0.42</v>
      </c>
      <c r="M61" s="52">
        <v>8</v>
      </c>
      <c r="N61" s="52">
        <v>26</v>
      </c>
      <c r="O61" s="52">
        <v>5.6</v>
      </c>
      <c r="P61" s="52">
        <v>0.4</v>
      </c>
      <c r="Q61" s="52">
        <v>0.3</v>
      </c>
      <c r="R61" s="52">
        <v>0</v>
      </c>
      <c r="S61" s="14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49"/>
    </row>
    <row r="62" spans="1:38" s="52" customFormat="1" ht="15.75" customHeight="1" x14ac:dyDescent="0.25">
      <c r="A62" s="91"/>
      <c r="B62" s="51" t="s">
        <v>137</v>
      </c>
      <c r="C62" s="51">
        <v>200</v>
      </c>
      <c r="D62" s="52">
        <v>1.0015060240963856</v>
      </c>
      <c r="E62" s="52">
        <v>0</v>
      </c>
      <c r="F62" s="52">
        <v>20.23042168674699</v>
      </c>
      <c r="G62" s="52">
        <v>84.927710843373504</v>
      </c>
      <c r="H62" s="52">
        <v>2.0030120481927715E-2</v>
      </c>
      <c r="I62" s="52">
        <v>2.0030120481927715E-2</v>
      </c>
      <c r="J62" s="52">
        <v>4.0060240963855422</v>
      </c>
      <c r="K62" s="52">
        <v>0</v>
      </c>
      <c r="L62" s="52">
        <v>0.20030120481927713</v>
      </c>
      <c r="M62" s="52">
        <v>14.021084337349398</v>
      </c>
      <c r="N62" s="52">
        <v>14.021084337349398</v>
      </c>
      <c r="O62" s="52">
        <v>8.0120481927710845</v>
      </c>
      <c r="P62" s="52">
        <v>2.8042168674698797</v>
      </c>
      <c r="Q62" s="52">
        <v>0.04</v>
      </c>
      <c r="R62" s="52">
        <v>0</v>
      </c>
      <c r="S62" s="14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49"/>
    </row>
    <row r="63" spans="1:38" s="52" customFormat="1" ht="15.75" customHeight="1" x14ac:dyDescent="0.25">
      <c r="A63" s="91"/>
      <c r="S63" s="14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49"/>
    </row>
    <row r="64" spans="1:38" ht="15.75" customHeight="1" x14ac:dyDescent="0.25">
      <c r="A64" s="94"/>
      <c r="B64" s="56" t="s">
        <v>21</v>
      </c>
      <c r="C64" s="57">
        <f>SUM(C56:C62)</f>
        <v>755</v>
      </c>
      <c r="D64" s="57">
        <f t="shared" ref="D64:R64" si="11">SUM(D56:D62)</f>
        <v>15.686538734376761</v>
      </c>
      <c r="E64" s="57">
        <f t="shared" si="11"/>
        <v>15.114523364485983</v>
      </c>
      <c r="F64" s="57">
        <f t="shared" si="11"/>
        <v>82.62656654656007</v>
      </c>
      <c r="G64" s="57">
        <f t="shared" si="11"/>
        <v>630.90913140412113</v>
      </c>
      <c r="H64" s="57">
        <f t="shared" si="11"/>
        <v>0.35939227001463797</v>
      </c>
      <c r="I64" s="57">
        <f t="shared" si="11"/>
        <v>0.28664227001463793</v>
      </c>
      <c r="J64" s="57">
        <f t="shared" si="11"/>
        <v>26.334192320684608</v>
      </c>
      <c r="K64" s="57">
        <f t="shared" si="11"/>
        <v>0.79999999999999993</v>
      </c>
      <c r="L64" s="57">
        <f t="shared" si="11"/>
        <v>1.2321119524828286</v>
      </c>
      <c r="M64" s="57">
        <f t="shared" si="11"/>
        <v>152.43802358968586</v>
      </c>
      <c r="N64" s="57">
        <f t="shared" si="11"/>
        <v>271.65736938407838</v>
      </c>
      <c r="O64" s="57">
        <f t="shared" si="11"/>
        <v>81.967188379686974</v>
      </c>
      <c r="P64" s="57">
        <f t="shared" si="11"/>
        <v>18.881132755320344</v>
      </c>
      <c r="Q64" s="57">
        <f t="shared" si="11"/>
        <v>3.5119999999999996</v>
      </c>
      <c r="R64" s="57">
        <f t="shared" si="11"/>
        <v>0.02</v>
      </c>
      <c r="S64" s="144"/>
    </row>
    <row r="65" spans="1:38" ht="15.75" customHeight="1" x14ac:dyDescent="0.25">
      <c r="A65" s="91"/>
      <c r="B65" s="58" t="s">
        <v>98</v>
      </c>
      <c r="C65" s="58"/>
      <c r="D65" s="59">
        <v>19.25</v>
      </c>
      <c r="E65" s="59">
        <v>19.75</v>
      </c>
      <c r="F65" s="59">
        <v>83.75</v>
      </c>
      <c r="G65" s="59">
        <v>587.5</v>
      </c>
      <c r="H65" s="59">
        <v>0.3</v>
      </c>
      <c r="I65" s="59">
        <v>0.35</v>
      </c>
      <c r="J65" s="59">
        <v>15</v>
      </c>
      <c r="K65" s="59">
        <v>0.17499999999999999</v>
      </c>
      <c r="L65" s="59">
        <v>2.5</v>
      </c>
      <c r="M65" s="59">
        <v>275</v>
      </c>
      <c r="N65" s="59">
        <v>412.5</v>
      </c>
      <c r="O65" s="59">
        <v>62.5</v>
      </c>
      <c r="P65" s="59">
        <v>3</v>
      </c>
      <c r="Q65" s="59">
        <v>2.5</v>
      </c>
      <c r="R65" s="59">
        <v>2.5000000000000001E-2</v>
      </c>
      <c r="S65" s="144"/>
    </row>
    <row r="66" spans="1:38" s="53" customFormat="1" ht="15.75" customHeight="1" x14ac:dyDescent="0.25">
      <c r="A66" s="181" t="s">
        <v>115</v>
      </c>
      <c r="B66" s="182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14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48"/>
    </row>
    <row r="67" spans="1:38" ht="15.75" customHeight="1" x14ac:dyDescent="0.25">
      <c r="A67" s="91"/>
      <c r="B67" s="51" t="s">
        <v>129</v>
      </c>
      <c r="C67" s="51">
        <v>70</v>
      </c>
      <c r="D67" s="52">
        <v>0.48719999999999997</v>
      </c>
      <c r="E67" s="52">
        <v>6.9599999999999995E-2</v>
      </c>
      <c r="F67" s="52">
        <v>1.3223999999999998</v>
      </c>
      <c r="G67" s="52">
        <f>F67*4+E67*9+D67*4</f>
        <v>7.8647999999999989</v>
      </c>
      <c r="H67" s="52">
        <v>2.3199999999999998E-2</v>
      </c>
      <c r="I67" s="52">
        <v>1.1599999999999999E-2</v>
      </c>
      <c r="J67" s="52">
        <v>3.4103999999999997</v>
      </c>
      <c r="K67" s="52">
        <v>0</v>
      </c>
      <c r="L67" s="52">
        <v>6.9599999999999995E-2</v>
      </c>
      <c r="M67" s="52">
        <v>11.831999999999999</v>
      </c>
      <c r="N67" s="52">
        <v>20.88</v>
      </c>
      <c r="O67" s="52">
        <v>9.7439999999999998</v>
      </c>
      <c r="P67" s="52">
        <v>0.34799999999999998</v>
      </c>
      <c r="Q67" s="52">
        <v>0.11899999999999999</v>
      </c>
      <c r="R67" s="52">
        <v>0</v>
      </c>
      <c r="S67" s="144"/>
    </row>
    <row r="68" spans="1:38" ht="15.75" customHeight="1" x14ac:dyDescent="0.25">
      <c r="A68" s="91">
        <v>235</v>
      </c>
      <c r="B68" s="51" t="s">
        <v>85</v>
      </c>
      <c r="C68" s="51">
        <v>75</v>
      </c>
      <c r="D68" s="55">
        <v>7.66</v>
      </c>
      <c r="E68" s="55">
        <v>5.3</v>
      </c>
      <c r="F68" s="55">
        <v>5.8</v>
      </c>
      <c r="G68" s="52">
        <f t="shared" ref="G68:G73" si="12">F68*4+E68*9+D68*4</f>
        <v>101.53999999999999</v>
      </c>
      <c r="H68" s="55">
        <f>0.036*0.875</f>
        <v>3.15E-2</v>
      </c>
      <c r="I68" s="55">
        <f>0.054*0.875</f>
        <v>4.725E-2</v>
      </c>
      <c r="J68" s="55">
        <v>2.2599999999999998</v>
      </c>
      <c r="K68" s="55">
        <v>0.17</v>
      </c>
      <c r="L68" s="55">
        <v>3.11</v>
      </c>
      <c r="M68" s="55">
        <v>43.8</v>
      </c>
      <c r="N68" s="55">
        <v>115.9</v>
      </c>
      <c r="O68" s="55">
        <v>17.149999999999999</v>
      </c>
      <c r="P68" s="55">
        <v>1.48</v>
      </c>
      <c r="Q68" s="52">
        <v>0.59</v>
      </c>
      <c r="R68" s="52"/>
      <c r="S68" s="144"/>
    </row>
    <row r="69" spans="1:38" s="52" customFormat="1" ht="15.75" customHeight="1" x14ac:dyDescent="0.25">
      <c r="A69" s="91">
        <v>310</v>
      </c>
      <c r="B69" s="51" t="s">
        <v>84</v>
      </c>
      <c r="C69" s="51">
        <v>170</v>
      </c>
      <c r="D69" s="52">
        <v>3.3205</v>
      </c>
      <c r="E69" s="52">
        <v>4.8815999999999997</v>
      </c>
      <c r="F69" s="52">
        <v>26.001300000000001</v>
      </c>
      <c r="G69" s="52">
        <f t="shared" si="12"/>
        <v>161.2216</v>
      </c>
      <c r="H69" s="52">
        <v>0.16949999999999998</v>
      </c>
      <c r="I69" s="52">
        <v>0.10169999999999998</v>
      </c>
      <c r="J69" s="52">
        <v>23.729999999999997</v>
      </c>
      <c r="K69" s="52">
        <v>0</v>
      </c>
      <c r="L69" s="52">
        <v>0.22599999999999998</v>
      </c>
      <c r="M69" s="52">
        <v>62.036999999999992</v>
      </c>
      <c r="N69" s="52">
        <v>90.060999999999993</v>
      </c>
      <c r="O69" s="52">
        <v>33.108999999999995</v>
      </c>
      <c r="P69" s="52">
        <v>1.2994999999999999</v>
      </c>
      <c r="Q69" s="52">
        <v>0.66</v>
      </c>
      <c r="R69" s="52">
        <v>0</v>
      </c>
      <c r="S69" s="14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49"/>
    </row>
    <row r="70" spans="1:38" s="52" customFormat="1" ht="15.75" customHeight="1" x14ac:dyDescent="0.25">
      <c r="A70" s="91" t="s">
        <v>39</v>
      </c>
      <c r="B70" s="51" t="s">
        <v>89</v>
      </c>
      <c r="C70" s="51">
        <v>200</v>
      </c>
      <c r="D70" s="52">
        <v>1.04</v>
      </c>
      <c r="E70" s="52">
        <v>0.6</v>
      </c>
      <c r="F70" s="52">
        <v>10.199999999999999</v>
      </c>
      <c r="G70" s="52">
        <f t="shared" si="12"/>
        <v>50.36</v>
      </c>
      <c r="H70" s="52">
        <v>0.2</v>
      </c>
      <c r="I70" s="52">
        <v>0.4</v>
      </c>
      <c r="J70" s="52">
        <v>8</v>
      </c>
      <c r="K70" s="52">
        <v>1E-3</v>
      </c>
      <c r="L70" s="52">
        <v>11</v>
      </c>
      <c r="M70" s="52">
        <v>32</v>
      </c>
      <c r="N70" s="52">
        <v>29</v>
      </c>
      <c r="O70" s="52">
        <v>21</v>
      </c>
      <c r="P70" s="52">
        <v>6.4</v>
      </c>
      <c r="Q70" s="52">
        <v>0.78</v>
      </c>
      <c r="R70" s="52">
        <v>0.01</v>
      </c>
      <c r="S70" s="14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49"/>
    </row>
    <row r="71" spans="1:38" s="52" customFormat="1" ht="15.75" customHeight="1" x14ac:dyDescent="0.25">
      <c r="A71" s="99"/>
      <c r="B71" s="51" t="s">
        <v>4</v>
      </c>
      <c r="C71" s="51">
        <v>40</v>
      </c>
      <c r="D71" s="52">
        <f>1.35*2</f>
        <v>2.7</v>
      </c>
      <c r="E71" s="52">
        <f>0.172*2</f>
        <v>0.34399999999999997</v>
      </c>
      <c r="F71" s="52">
        <f>10.03*2</f>
        <v>20.059999999999999</v>
      </c>
      <c r="G71" s="52">
        <f t="shared" si="12"/>
        <v>94.135999999999996</v>
      </c>
      <c r="H71" s="52">
        <v>2.4E-2</v>
      </c>
      <c r="I71" s="52">
        <v>5.0000000000000001E-3</v>
      </c>
      <c r="J71" s="52">
        <v>0</v>
      </c>
      <c r="K71" s="52">
        <v>0</v>
      </c>
      <c r="L71" s="52">
        <v>0.42</v>
      </c>
      <c r="M71" s="52">
        <v>8</v>
      </c>
      <c r="N71" s="52">
        <v>26</v>
      </c>
      <c r="O71" s="52">
        <v>5.6</v>
      </c>
      <c r="P71" s="52">
        <v>0.4</v>
      </c>
      <c r="Q71" s="52">
        <v>0.3</v>
      </c>
      <c r="R71" s="52">
        <v>0</v>
      </c>
      <c r="S71" s="14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49"/>
    </row>
    <row r="72" spans="1:38" s="52" customFormat="1" ht="15.75" customHeight="1" x14ac:dyDescent="0.25">
      <c r="A72" s="91"/>
      <c r="B72" s="51" t="s">
        <v>128</v>
      </c>
      <c r="C72" s="51">
        <v>25</v>
      </c>
      <c r="D72" s="52">
        <v>1.6625000000000001</v>
      </c>
      <c r="E72" s="52">
        <v>0.3</v>
      </c>
      <c r="F72" s="52">
        <v>10.462499999999999</v>
      </c>
      <c r="G72" s="52">
        <f t="shared" si="12"/>
        <v>51.199999999999996</v>
      </c>
      <c r="H72" s="52">
        <v>0.13124999999999998</v>
      </c>
      <c r="I72" s="52">
        <v>8.7499999999999981E-2</v>
      </c>
      <c r="J72" s="52">
        <v>0.17499999999999996</v>
      </c>
      <c r="K72" s="52">
        <v>0</v>
      </c>
      <c r="L72" s="52">
        <v>0.13124999999999998</v>
      </c>
      <c r="M72" s="52">
        <v>31.937499999999996</v>
      </c>
      <c r="N72" s="52">
        <v>54.6875</v>
      </c>
      <c r="O72" s="52">
        <v>17.5</v>
      </c>
      <c r="P72" s="52">
        <v>1.2249999999999999</v>
      </c>
      <c r="Q72" s="52">
        <v>0.3</v>
      </c>
      <c r="R72" s="52">
        <v>0.02</v>
      </c>
      <c r="S72" s="14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49"/>
    </row>
    <row r="73" spans="1:38" s="52" customFormat="1" ht="15.75" customHeight="1" x14ac:dyDescent="0.25">
      <c r="A73" s="91"/>
      <c r="B73" s="51" t="s">
        <v>135</v>
      </c>
      <c r="C73" s="51">
        <v>150</v>
      </c>
      <c r="D73" s="52">
        <v>0.75301204819277112</v>
      </c>
      <c r="E73" s="52">
        <v>0</v>
      </c>
      <c r="F73" s="52">
        <v>15.210843373493976</v>
      </c>
      <c r="G73" s="52">
        <f t="shared" si="12"/>
        <v>63.855421686746986</v>
      </c>
      <c r="H73" s="52">
        <v>1.5060240963855423E-2</v>
      </c>
      <c r="I73" s="52">
        <v>1.5060240963855423E-2</v>
      </c>
      <c r="J73" s="52">
        <v>3.0120481927710845</v>
      </c>
      <c r="K73" s="52">
        <v>0</v>
      </c>
      <c r="L73" s="52">
        <v>0.15060240963855423</v>
      </c>
      <c r="M73" s="52">
        <v>10.542168674698795</v>
      </c>
      <c r="N73" s="52">
        <v>10.542168674698795</v>
      </c>
      <c r="O73" s="52">
        <v>6.024096385542169</v>
      </c>
      <c r="P73" s="52">
        <v>2.1084337349397591</v>
      </c>
      <c r="Q73" s="52">
        <v>0.03</v>
      </c>
      <c r="R73" s="52">
        <v>0</v>
      </c>
      <c r="S73" s="14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49"/>
    </row>
    <row r="74" spans="1:38" s="52" customFormat="1" ht="15.75" customHeight="1" x14ac:dyDescent="0.25">
      <c r="A74" s="101"/>
      <c r="S74" s="14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49"/>
    </row>
    <row r="75" spans="1:38" s="53" customFormat="1" ht="15.75" customHeight="1" x14ac:dyDescent="0.25">
      <c r="A75" s="94"/>
      <c r="B75" s="56" t="s">
        <v>21</v>
      </c>
      <c r="C75" s="57">
        <f>SUM(C67:C73)</f>
        <v>730</v>
      </c>
      <c r="D75" s="57">
        <f t="shared" ref="D75:R75" si="13">SUM(D67:D73)</f>
        <v>17.623212048192773</v>
      </c>
      <c r="E75" s="57">
        <f t="shared" si="13"/>
        <v>11.495200000000001</v>
      </c>
      <c r="F75" s="57">
        <f t="shared" si="13"/>
        <v>89.057043373493983</v>
      </c>
      <c r="G75" s="57">
        <f t="shared" si="13"/>
        <v>530.17782168674694</v>
      </c>
      <c r="H75" s="57">
        <f t="shared" si="13"/>
        <v>0.59451024096385541</v>
      </c>
      <c r="I75" s="57">
        <f t="shared" si="13"/>
        <v>0.66811024096385541</v>
      </c>
      <c r="J75" s="57">
        <f t="shared" si="13"/>
        <v>40.587448192771078</v>
      </c>
      <c r="K75" s="57">
        <f t="shared" si="13"/>
        <v>0.17100000000000001</v>
      </c>
      <c r="L75" s="57">
        <f t="shared" si="13"/>
        <v>15.107452409638553</v>
      </c>
      <c r="M75" s="57">
        <f t="shared" si="13"/>
        <v>200.14866867469877</v>
      </c>
      <c r="N75" s="57">
        <f t="shared" si="13"/>
        <v>347.07066867469882</v>
      </c>
      <c r="O75" s="57">
        <f t="shared" si="13"/>
        <v>110.12709638554215</v>
      </c>
      <c r="P75" s="57">
        <f t="shared" si="13"/>
        <v>13.260933734939758</v>
      </c>
      <c r="Q75" s="57">
        <f t="shared" si="13"/>
        <v>2.7789999999999995</v>
      </c>
      <c r="R75" s="57">
        <f t="shared" si="13"/>
        <v>0.03</v>
      </c>
      <c r="S75" s="14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48"/>
    </row>
    <row r="76" spans="1:38" ht="15.75" customHeight="1" x14ac:dyDescent="0.25">
      <c r="A76" s="93"/>
      <c r="B76" s="58" t="s">
        <v>98</v>
      </c>
      <c r="C76" s="58"/>
      <c r="D76" s="59">
        <v>19.25</v>
      </c>
      <c r="E76" s="59">
        <v>19.75</v>
      </c>
      <c r="F76" s="59">
        <v>83.75</v>
      </c>
      <c r="G76" s="59">
        <v>587.5</v>
      </c>
      <c r="H76" s="59">
        <v>0.3</v>
      </c>
      <c r="I76" s="59">
        <v>0.35</v>
      </c>
      <c r="J76" s="59">
        <v>15</v>
      </c>
      <c r="K76" s="59">
        <v>0.17499999999999999</v>
      </c>
      <c r="L76" s="59">
        <v>2.5</v>
      </c>
      <c r="M76" s="59">
        <v>275</v>
      </c>
      <c r="N76" s="59">
        <v>412.5</v>
      </c>
      <c r="O76" s="59">
        <v>62.5</v>
      </c>
      <c r="P76" s="59">
        <v>3</v>
      </c>
      <c r="Q76" s="59">
        <v>2.5</v>
      </c>
      <c r="R76" s="59">
        <v>2.5000000000000001E-2</v>
      </c>
      <c r="S76" s="144"/>
    </row>
    <row r="77" spans="1:38" ht="15.75" customHeight="1" x14ac:dyDescent="0.25">
      <c r="A77" s="181" t="s">
        <v>116</v>
      </c>
      <c r="B77" s="182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144"/>
    </row>
    <row r="78" spans="1:38" s="52" customFormat="1" ht="15.75" customHeight="1" x14ac:dyDescent="0.25">
      <c r="A78" s="91"/>
      <c r="B78" s="51" t="s">
        <v>131</v>
      </c>
      <c r="C78" s="51">
        <v>80</v>
      </c>
      <c r="D78" s="52">
        <v>0.55859999999999999</v>
      </c>
      <c r="E78" s="52">
        <v>7.9799999999999996E-2</v>
      </c>
      <c r="F78" s="52">
        <v>1.5162</v>
      </c>
      <c r="G78" s="52">
        <f>F78*4+E78*9+D78*4</f>
        <v>9.0173999999999985</v>
      </c>
      <c r="H78" s="52">
        <v>2.6600000000000002E-2</v>
      </c>
      <c r="I78" s="52">
        <v>1.3300000000000001E-2</v>
      </c>
      <c r="J78" s="52">
        <v>3.9102000000000001</v>
      </c>
      <c r="K78" s="52">
        <v>0</v>
      </c>
      <c r="L78" s="52">
        <v>7.9799999999999996E-2</v>
      </c>
      <c r="M78" s="52">
        <v>13.565999999999999</v>
      </c>
      <c r="N78" s="52">
        <v>23.94</v>
      </c>
      <c r="O78" s="52">
        <v>11.172000000000001</v>
      </c>
      <c r="P78" s="52">
        <v>0.39900000000000002</v>
      </c>
      <c r="Q78" s="48">
        <v>0.13600000000000001</v>
      </c>
      <c r="R78" s="48">
        <v>0</v>
      </c>
      <c r="S78" s="14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49"/>
    </row>
    <row r="79" spans="1:38" s="52" customFormat="1" ht="15.75" customHeight="1" x14ac:dyDescent="0.25">
      <c r="A79" s="91">
        <v>278</v>
      </c>
      <c r="B79" s="51" t="s">
        <v>73</v>
      </c>
      <c r="C79" s="51">
        <v>60</v>
      </c>
      <c r="D79" s="46">
        <v>4.2699999999999996</v>
      </c>
      <c r="E79" s="46">
        <v>4.7699999999999996</v>
      </c>
      <c r="F79" s="46">
        <v>5.59</v>
      </c>
      <c r="G79" s="52">
        <f t="shared" ref="G79:G85" si="14">F79*4+E79*9+D79*4</f>
        <v>82.36999999999999</v>
      </c>
      <c r="H79" s="46">
        <v>0.02</v>
      </c>
      <c r="I79" s="46">
        <v>0.03</v>
      </c>
      <c r="J79" s="46">
        <v>0.39</v>
      </c>
      <c r="K79" s="46">
        <v>0.18</v>
      </c>
      <c r="L79" s="46">
        <v>0</v>
      </c>
      <c r="M79" s="46">
        <v>15.2</v>
      </c>
      <c r="N79" s="46">
        <v>48.2</v>
      </c>
      <c r="O79" s="46">
        <v>9.99</v>
      </c>
      <c r="P79" s="46">
        <v>0.47</v>
      </c>
      <c r="Q79" s="52">
        <v>0.96</v>
      </c>
      <c r="R79" s="52">
        <v>0</v>
      </c>
      <c r="S79" s="14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49"/>
    </row>
    <row r="80" spans="1:38" s="52" customFormat="1" ht="15.75" customHeight="1" x14ac:dyDescent="0.25">
      <c r="A80" s="98">
        <v>330</v>
      </c>
      <c r="B80" s="51" t="s">
        <v>72</v>
      </c>
      <c r="C80" s="51">
        <v>50</v>
      </c>
      <c r="D80" s="46">
        <v>0.7</v>
      </c>
      <c r="E80" s="46">
        <v>2.4900000000000002</v>
      </c>
      <c r="F80" s="46">
        <v>2.93</v>
      </c>
      <c r="G80" s="52">
        <f t="shared" si="14"/>
        <v>36.93</v>
      </c>
      <c r="H80" s="46">
        <v>0.01</v>
      </c>
      <c r="I80" s="46">
        <v>0.01</v>
      </c>
      <c r="J80" s="46">
        <v>1.9E-2</v>
      </c>
      <c r="K80" s="46">
        <v>0.17</v>
      </c>
      <c r="L80" s="46">
        <v>0</v>
      </c>
      <c r="M80" s="46">
        <v>13.65</v>
      </c>
      <c r="N80" s="46">
        <v>11.36</v>
      </c>
      <c r="O80" s="46">
        <v>2.64</v>
      </c>
      <c r="P80" s="46">
        <v>0.1</v>
      </c>
      <c r="Q80" s="52">
        <v>0.13</v>
      </c>
      <c r="R80" s="52">
        <v>0</v>
      </c>
      <c r="S80" s="14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49"/>
    </row>
    <row r="81" spans="1:38" s="52" customFormat="1" ht="15.75" customHeight="1" x14ac:dyDescent="0.25">
      <c r="A81" s="91">
        <v>302</v>
      </c>
      <c r="B81" s="51" t="s">
        <v>132</v>
      </c>
      <c r="C81" s="51">
        <v>150</v>
      </c>
      <c r="D81" s="55">
        <v>7.8</v>
      </c>
      <c r="E81" s="55">
        <v>3.6</v>
      </c>
      <c r="F81" s="55">
        <v>39</v>
      </c>
      <c r="G81" s="52">
        <f t="shared" si="14"/>
        <v>219.6</v>
      </c>
      <c r="H81" s="55">
        <v>0.18</v>
      </c>
      <c r="I81" s="55">
        <v>0.1</v>
      </c>
      <c r="J81" s="55">
        <v>0</v>
      </c>
      <c r="K81" s="55">
        <v>0.35</v>
      </c>
      <c r="L81" s="55">
        <v>0.44</v>
      </c>
      <c r="M81" s="55">
        <v>23.55</v>
      </c>
      <c r="N81" s="55">
        <v>185.6</v>
      </c>
      <c r="O81" s="55">
        <v>123.9</v>
      </c>
      <c r="P81" s="55">
        <v>4.2</v>
      </c>
      <c r="Q81" s="52">
        <v>1.1000000000000001</v>
      </c>
      <c r="R81" s="52">
        <v>0</v>
      </c>
      <c r="S81" s="14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49"/>
    </row>
    <row r="82" spans="1:38" s="52" customFormat="1" ht="15.75" customHeight="1" x14ac:dyDescent="0.25">
      <c r="A82" s="91">
        <v>342</v>
      </c>
      <c r="B82" s="51" t="s">
        <v>92</v>
      </c>
      <c r="C82" s="51">
        <v>200</v>
      </c>
      <c r="D82" s="52">
        <v>0.6</v>
      </c>
      <c r="E82" s="52">
        <v>0.4</v>
      </c>
      <c r="F82" s="52">
        <v>10.4</v>
      </c>
      <c r="G82" s="52">
        <f t="shared" si="14"/>
        <v>47.6</v>
      </c>
      <c r="H82" s="52">
        <v>0.02</v>
      </c>
      <c r="I82" s="52">
        <v>0.04</v>
      </c>
      <c r="J82" s="52">
        <v>3.4</v>
      </c>
      <c r="K82" s="52">
        <v>0</v>
      </c>
      <c r="L82" s="52">
        <v>0.4</v>
      </c>
      <c r="M82" s="52">
        <v>21.2</v>
      </c>
      <c r="N82" s="52">
        <v>22.6</v>
      </c>
      <c r="O82" s="52">
        <v>14.6</v>
      </c>
      <c r="P82" s="52">
        <v>3.2</v>
      </c>
      <c r="Q82" s="52">
        <v>0.12</v>
      </c>
      <c r="R82" s="52">
        <v>0</v>
      </c>
      <c r="S82" s="14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49"/>
    </row>
    <row r="83" spans="1:38" s="52" customFormat="1" ht="15.75" customHeight="1" x14ac:dyDescent="0.25">
      <c r="A83" s="91"/>
      <c r="B83" s="51" t="s">
        <v>128</v>
      </c>
      <c r="C83" s="51">
        <v>25</v>
      </c>
      <c r="D83" s="52">
        <v>1.6625000000000001</v>
      </c>
      <c r="E83" s="52">
        <v>0.3</v>
      </c>
      <c r="F83" s="52">
        <v>10.462499999999999</v>
      </c>
      <c r="G83" s="52">
        <f t="shared" si="14"/>
        <v>51.199999999999996</v>
      </c>
      <c r="H83" s="52">
        <v>0.13124999999999998</v>
      </c>
      <c r="I83" s="52">
        <v>8.7499999999999981E-2</v>
      </c>
      <c r="J83" s="52">
        <v>0.17499999999999996</v>
      </c>
      <c r="K83" s="52">
        <v>0</v>
      </c>
      <c r="L83" s="52">
        <v>0.13124999999999998</v>
      </c>
      <c r="M83" s="52">
        <v>31.937499999999996</v>
      </c>
      <c r="N83" s="52">
        <v>54.6875</v>
      </c>
      <c r="O83" s="52">
        <v>17.5</v>
      </c>
      <c r="P83" s="52">
        <v>1.2249999999999999</v>
      </c>
      <c r="Q83" s="52">
        <v>0.3</v>
      </c>
      <c r="R83" s="52">
        <v>0.02</v>
      </c>
      <c r="S83" s="14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49"/>
    </row>
    <row r="84" spans="1:38" s="52" customFormat="1" ht="15.75" customHeight="1" x14ac:dyDescent="0.25">
      <c r="A84" s="99"/>
      <c r="B84" s="51" t="s">
        <v>4</v>
      </c>
      <c r="C84" s="51">
        <v>40</v>
      </c>
      <c r="D84" s="52">
        <f>1.35*2</f>
        <v>2.7</v>
      </c>
      <c r="E84" s="52">
        <f>0.172*2</f>
        <v>0.34399999999999997</v>
      </c>
      <c r="F84" s="52">
        <f>10.03*2</f>
        <v>20.059999999999999</v>
      </c>
      <c r="G84" s="52">
        <f t="shared" si="14"/>
        <v>94.135999999999996</v>
      </c>
      <c r="H84" s="52">
        <v>2.4E-2</v>
      </c>
      <c r="I84" s="52">
        <v>5.0000000000000001E-3</v>
      </c>
      <c r="J84" s="52">
        <v>0</v>
      </c>
      <c r="K84" s="52">
        <v>0</v>
      </c>
      <c r="L84" s="52">
        <v>0.42</v>
      </c>
      <c r="M84" s="52">
        <v>8</v>
      </c>
      <c r="N84" s="52">
        <v>26</v>
      </c>
      <c r="O84" s="52">
        <v>5.6</v>
      </c>
      <c r="P84" s="52">
        <v>0.4</v>
      </c>
      <c r="Q84" s="52">
        <v>0.3</v>
      </c>
      <c r="R84" s="52">
        <v>0</v>
      </c>
      <c r="S84" s="14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49"/>
    </row>
    <row r="85" spans="1:38" ht="15.75" customHeight="1" x14ac:dyDescent="0.25">
      <c r="A85" s="102"/>
      <c r="B85" s="66" t="s">
        <v>130</v>
      </c>
      <c r="C85" s="66">
        <v>25</v>
      </c>
      <c r="D85" s="46">
        <f>7.5*0.25</f>
        <v>1.875</v>
      </c>
      <c r="E85" s="46">
        <f>18*0.25</f>
        <v>4.5</v>
      </c>
      <c r="F85" s="46">
        <f>67*0.25</f>
        <v>16.75</v>
      </c>
      <c r="G85" s="52">
        <f t="shared" si="14"/>
        <v>115</v>
      </c>
      <c r="H85" s="46">
        <v>0.03</v>
      </c>
      <c r="I85" s="46">
        <v>4.0000000000000001E-3</v>
      </c>
      <c r="J85" s="46">
        <v>0</v>
      </c>
      <c r="K85" s="46">
        <v>0.2</v>
      </c>
      <c r="L85" s="46">
        <v>0</v>
      </c>
      <c r="M85" s="46">
        <v>7.24</v>
      </c>
      <c r="N85" s="46">
        <v>26.87</v>
      </c>
      <c r="O85" s="46">
        <v>5.5</v>
      </c>
      <c r="P85" s="46">
        <v>0.45</v>
      </c>
      <c r="Q85" s="52">
        <v>0</v>
      </c>
      <c r="R85" s="52">
        <v>0</v>
      </c>
      <c r="S85" s="144"/>
    </row>
    <row r="86" spans="1:38" s="53" customFormat="1" ht="15.75" customHeight="1" x14ac:dyDescent="0.25">
      <c r="A86" s="91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14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48"/>
    </row>
    <row r="87" spans="1:38" ht="15.75" customHeight="1" x14ac:dyDescent="0.25">
      <c r="A87" s="94"/>
      <c r="B87" s="65" t="s">
        <v>21</v>
      </c>
      <c r="C87" s="57">
        <f>SUM(C78:C85)</f>
        <v>630</v>
      </c>
      <c r="D87" s="57">
        <f t="shared" ref="D87:R87" si="15">SUM(D78:D85)</f>
        <v>20.1661</v>
      </c>
      <c r="E87" s="57">
        <f t="shared" si="15"/>
        <v>16.483800000000002</v>
      </c>
      <c r="F87" s="57">
        <f t="shared" si="15"/>
        <v>106.70869999999999</v>
      </c>
      <c r="G87" s="57">
        <f t="shared" si="15"/>
        <v>655.85339999999997</v>
      </c>
      <c r="H87" s="57">
        <f t="shared" si="15"/>
        <v>0.44184999999999997</v>
      </c>
      <c r="I87" s="57">
        <f t="shared" si="15"/>
        <v>0.2898</v>
      </c>
      <c r="J87" s="57">
        <f t="shared" si="15"/>
        <v>7.8942000000000005</v>
      </c>
      <c r="K87" s="57">
        <f t="shared" si="15"/>
        <v>0.89999999999999991</v>
      </c>
      <c r="L87" s="57">
        <f t="shared" si="15"/>
        <v>1.47105</v>
      </c>
      <c r="M87" s="57">
        <f t="shared" si="15"/>
        <v>134.34350000000001</v>
      </c>
      <c r="N87" s="57">
        <f t="shared" si="15"/>
        <v>399.25750000000005</v>
      </c>
      <c r="O87" s="57">
        <f t="shared" si="15"/>
        <v>190.90199999999999</v>
      </c>
      <c r="P87" s="57">
        <f t="shared" si="15"/>
        <v>10.443999999999999</v>
      </c>
      <c r="Q87" s="57">
        <f t="shared" si="15"/>
        <v>3.0459999999999998</v>
      </c>
      <c r="R87" s="57">
        <f t="shared" si="15"/>
        <v>0.02</v>
      </c>
      <c r="S87" s="144"/>
    </row>
    <row r="88" spans="1:38" ht="15.75" customHeight="1" x14ac:dyDescent="0.25">
      <c r="A88" s="97"/>
      <c r="B88" s="58" t="s">
        <v>98</v>
      </c>
      <c r="C88" s="58"/>
      <c r="D88" s="59">
        <v>19.25</v>
      </c>
      <c r="E88" s="59">
        <v>19.75</v>
      </c>
      <c r="F88" s="59">
        <v>83.75</v>
      </c>
      <c r="G88" s="59">
        <v>587.5</v>
      </c>
      <c r="H88" s="59">
        <v>0.3</v>
      </c>
      <c r="I88" s="59">
        <v>0.35</v>
      </c>
      <c r="J88" s="59">
        <v>15</v>
      </c>
      <c r="K88" s="59">
        <v>0.17499999999999999</v>
      </c>
      <c r="L88" s="59">
        <v>2.5</v>
      </c>
      <c r="M88" s="59">
        <v>275</v>
      </c>
      <c r="N88" s="59">
        <v>412.5</v>
      </c>
      <c r="O88" s="59">
        <v>62.5</v>
      </c>
      <c r="P88" s="59">
        <v>3</v>
      </c>
      <c r="Q88" s="59">
        <v>2.5</v>
      </c>
      <c r="R88" s="59">
        <v>2.5000000000000001E-2</v>
      </c>
      <c r="S88" s="144"/>
    </row>
    <row r="89" spans="1:38" s="52" customFormat="1" ht="15.75" customHeight="1" x14ac:dyDescent="0.25">
      <c r="A89" s="181" t="s">
        <v>117</v>
      </c>
      <c r="B89" s="182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14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49"/>
    </row>
    <row r="90" spans="1:38" s="52" customFormat="1" ht="15.75" customHeight="1" x14ac:dyDescent="0.25">
      <c r="A90" s="91">
        <v>222</v>
      </c>
      <c r="B90" s="51" t="s">
        <v>69</v>
      </c>
      <c r="C90" s="51">
        <v>160</v>
      </c>
      <c r="D90" s="46">
        <v>16.48</v>
      </c>
      <c r="E90" s="46">
        <v>13.92</v>
      </c>
      <c r="F90" s="46">
        <v>33.479999999999997</v>
      </c>
      <c r="G90" s="46">
        <f>F90*4+E90*9+D90*4</f>
        <v>325.12</v>
      </c>
      <c r="H90" s="46">
        <v>0.1</v>
      </c>
      <c r="I90" s="46">
        <v>0.26</v>
      </c>
      <c r="J90" s="46">
        <v>0.42</v>
      </c>
      <c r="K90" s="46">
        <v>0.83</v>
      </c>
      <c r="L90" s="46">
        <v>0</v>
      </c>
      <c r="M90" s="46">
        <v>170.72</v>
      </c>
      <c r="N90" s="46">
        <v>224.08</v>
      </c>
      <c r="O90" s="46">
        <v>29.82</v>
      </c>
      <c r="P90" s="46">
        <v>1.18</v>
      </c>
      <c r="Q90" s="52">
        <v>0.59</v>
      </c>
      <c r="R90" s="52">
        <v>0</v>
      </c>
      <c r="S90" s="14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49"/>
    </row>
    <row r="91" spans="1:38" s="52" customFormat="1" ht="15.75" customHeight="1" x14ac:dyDescent="0.25">
      <c r="A91" s="93">
        <v>327</v>
      </c>
      <c r="B91" s="67" t="s">
        <v>91</v>
      </c>
      <c r="C91" s="67">
        <v>15</v>
      </c>
      <c r="D91" s="52">
        <v>1.1278195488721805</v>
      </c>
      <c r="E91" s="52">
        <v>3.0075187969924809E-3</v>
      </c>
      <c r="F91" s="52">
        <v>8.5413533834586453</v>
      </c>
      <c r="G91" s="46">
        <f t="shared" ref="G91:G94" si="16">F91*4+E91*9+D91*4</f>
        <v>38.703759398496231</v>
      </c>
      <c r="H91" s="52">
        <v>7.5187969924812026E-3</v>
      </c>
      <c r="I91" s="52">
        <v>2.2556390977443608E-2</v>
      </c>
      <c r="J91" s="52">
        <v>0.15037593984962405</v>
      </c>
      <c r="K91" s="52">
        <v>0</v>
      </c>
      <c r="L91" s="52">
        <v>0</v>
      </c>
      <c r="M91" s="52">
        <v>47.669172932330824</v>
      </c>
      <c r="N91" s="52">
        <v>34.436090225563909</v>
      </c>
      <c r="O91" s="52">
        <v>5.1127819548872173</v>
      </c>
      <c r="P91" s="52">
        <v>3.007518796992481E-2</v>
      </c>
      <c r="Q91" s="52">
        <v>0.15</v>
      </c>
      <c r="R91" s="52">
        <v>0</v>
      </c>
      <c r="S91" s="14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49"/>
    </row>
    <row r="92" spans="1:38" s="52" customFormat="1" ht="15.75" customHeight="1" x14ac:dyDescent="0.25">
      <c r="A92" s="91">
        <v>397</v>
      </c>
      <c r="B92" s="51" t="s">
        <v>6</v>
      </c>
      <c r="C92" s="51">
        <v>200</v>
      </c>
      <c r="D92" s="55">
        <v>4.07</v>
      </c>
      <c r="E92" s="55">
        <v>3.5</v>
      </c>
      <c r="F92" s="55">
        <v>17.5</v>
      </c>
      <c r="G92" s="46">
        <f t="shared" si="16"/>
        <v>117.78</v>
      </c>
      <c r="H92" s="55">
        <f>0.28*0.18</f>
        <v>5.04E-2</v>
      </c>
      <c r="I92" s="55">
        <v>0.18</v>
      </c>
      <c r="J92" s="55">
        <v>1.57</v>
      </c>
      <c r="K92" s="55">
        <v>0.24</v>
      </c>
      <c r="L92" s="55">
        <v>0</v>
      </c>
      <c r="M92" s="55">
        <v>152.19999999999999</v>
      </c>
      <c r="N92" s="55">
        <v>124.5</v>
      </c>
      <c r="O92" s="55">
        <v>21.34</v>
      </c>
      <c r="P92" s="55">
        <v>0.47</v>
      </c>
      <c r="Q92" s="52">
        <v>0.5</v>
      </c>
      <c r="R92" s="52">
        <v>0</v>
      </c>
      <c r="S92" s="14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49"/>
    </row>
    <row r="93" spans="1:38" s="52" customFormat="1" ht="15.75" customHeight="1" x14ac:dyDescent="0.25">
      <c r="A93" s="99"/>
      <c r="B93" s="51" t="s">
        <v>4</v>
      </c>
      <c r="C93" s="51">
        <v>40</v>
      </c>
      <c r="D93" s="52">
        <f>1.35*2</f>
        <v>2.7</v>
      </c>
      <c r="E93" s="52">
        <f>0.172*2</f>
        <v>0.34399999999999997</v>
      </c>
      <c r="F93" s="52">
        <f>10.03*2</f>
        <v>20.059999999999999</v>
      </c>
      <c r="G93" s="52">
        <f t="shared" si="16"/>
        <v>94.135999999999996</v>
      </c>
      <c r="H93" s="52">
        <v>2.4E-2</v>
      </c>
      <c r="I93" s="52">
        <v>5.0000000000000001E-3</v>
      </c>
      <c r="J93" s="52">
        <v>0</v>
      </c>
      <c r="K93" s="52">
        <v>0</v>
      </c>
      <c r="L93" s="52">
        <v>0.42</v>
      </c>
      <c r="M93" s="52">
        <v>8</v>
      </c>
      <c r="N93" s="52">
        <v>26</v>
      </c>
      <c r="O93" s="52">
        <v>5.6</v>
      </c>
      <c r="P93" s="52">
        <v>0.4</v>
      </c>
      <c r="Q93" s="52">
        <v>0.3</v>
      </c>
      <c r="R93" s="52">
        <v>0</v>
      </c>
      <c r="S93" s="14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49"/>
    </row>
    <row r="94" spans="1:38" s="52" customFormat="1" ht="15.75" customHeight="1" x14ac:dyDescent="0.25">
      <c r="A94" s="99"/>
      <c r="B94" s="51" t="s">
        <v>133</v>
      </c>
      <c r="C94" s="51">
        <v>180</v>
      </c>
      <c r="D94" s="55">
        <f>5*1.8</f>
        <v>9</v>
      </c>
      <c r="E94" s="55">
        <f>3.2*1.8</f>
        <v>5.7600000000000007</v>
      </c>
      <c r="F94" s="55">
        <f>3.5*1.8</f>
        <v>6.3</v>
      </c>
      <c r="G94" s="46">
        <f t="shared" si="16"/>
        <v>113.04</v>
      </c>
      <c r="H94" s="55">
        <f>0.04*0.75</f>
        <v>0.03</v>
      </c>
      <c r="I94" s="55">
        <v>0.26</v>
      </c>
      <c r="J94" s="55">
        <v>0.54</v>
      </c>
      <c r="K94" s="55">
        <v>0.36</v>
      </c>
      <c r="L94" s="55">
        <v>0</v>
      </c>
      <c r="M94" s="55">
        <v>223.2</v>
      </c>
      <c r="N94" s="55">
        <v>165.6</v>
      </c>
      <c r="O94" s="55">
        <v>25.2</v>
      </c>
      <c r="P94" s="55">
        <v>0.18</v>
      </c>
      <c r="Q94" s="52">
        <v>0.72</v>
      </c>
      <c r="R94" s="52">
        <v>0</v>
      </c>
      <c r="S94" s="14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49"/>
    </row>
    <row r="95" spans="1:38" ht="15.75" customHeight="1" x14ac:dyDescent="0.25">
      <c r="A95" s="91"/>
      <c r="B95" s="58"/>
      <c r="C95" s="58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144"/>
    </row>
    <row r="96" spans="1:38" ht="15.75" customHeight="1" x14ac:dyDescent="0.25">
      <c r="A96" s="94"/>
      <c r="B96" s="65" t="s">
        <v>21</v>
      </c>
      <c r="C96" s="57">
        <f>SUM(C90:C95)</f>
        <v>595</v>
      </c>
      <c r="D96" s="57">
        <f t="shared" ref="D96:R96" si="17">SUM(D90:D95)</f>
        <v>33.377819548872182</v>
      </c>
      <c r="E96" s="57">
        <f t="shared" si="17"/>
        <v>23.527007518796996</v>
      </c>
      <c r="F96" s="57">
        <f t="shared" si="17"/>
        <v>85.881353383458645</v>
      </c>
      <c r="G96" s="57">
        <f t="shared" si="17"/>
        <v>688.77975939849614</v>
      </c>
      <c r="H96" s="57">
        <f t="shared" si="17"/>
        <v>0.2119187969924812</v>
      </c>
      <c r="I96" s="57">
        <f t="shared" si="17"/>
        <v>0.72755639097744362</v>
      </c>
      <c r="J96" s="57">
        <f t="shared" si="17"/>
        <v>2.6803759398496241</v>
      </c>
      <c r="K96" s="57">
        <f t="shared" si="17"/>
        <v>1.4299999999999997</v>
      </c>
      <c r="L96" s="57">
        <f t="shared" si="17"/>
        <v>0.42</v>
      </c>
      <c r="M96" s="57">
        <f t="shared" si="17"/>
        <v>601.78917293233076</v>
      </c>
      <c r="N96" s="57">
        <f t="shared" si="17"/>
        <v>574.61609022556388</v>
      </c>
      <c r="O96" s="57">
        <f t="shared" si="17"/>
        <v>87.072781954887219</v>
      </c>
      <c r="P96" s="57">
        <f t="shared" si="17"/>
        <v>2.260075187969925</v>
      </c>
      <c r="Q96" s="57">
        <f t="shared" si="17"/>
        <v>2.2599999999999998</v>
      </c>
      <c r="R96" s="57">
        <f t="shared" si="17"/>
        <v>0</v>
      </c>
      <c r="S96" s="144"/>
    </row>
    <row r="97" spans="1:38" ht="15.75" customHeight="1" x14ac:dyDescent="0.25">
      <c r="A97" s="97"/>
      <c r="B97" s="58" t="s">
        <v>98</v>
      </c>
      <c r="C97" s="58"/>
      <c r="D97" s="59">
        <v>19.25</v>
      </c>
      <c r="E97" s="59">
        <v>19.75</v>
      </c>
      <c r="F97" s="59">
        <v>83.75</v>
      </c>
      <c r="G97" s="59">
        <v>587.5</v>
      </c>
      <c r="H97" s="59">
        <v>0.3</v>
      </c>
      <c r="I97" s="59">
        <v>0.35</v>
      </c>
      <c r="J97" s="59">
        <v>15</v>
      </c>
      <c r="K97" s="59">
        <v>0.17499999999999999</v>
      </c>
      <c r="L97" s="59">
        <v>2.5</v>
      </c>
      <c r="M97" s="59">
        <v>275</v>
      </c>
      <c r="N97" s="59">
        <v>412.5</v>
      </c>
      <c r="O97" s="59">
        <v>62.5</v>
      </c>
      <c r="P97" s="59">
        <v>3</v>
      </c>
      <c r="Q97" s="59">
        <v>2.5</v>
      </c>
      <c r="R97" s="59">
        <v>2.5000000000000001E-2</v>
      </c>
      <c r="S97" s="144"/>
    </row>
    <row r="98" spans="1:38" s="68" customFormat="1" ht="15.75" customHeight="1" x14ac:dyDescent="0.25">
      <c r="A98" s="181" t="s">
        <v>118</v>
      </c>
      <c r="B98" s="182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14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2"/>
    </row>
    <row r="99" spans="1:38" ht="15.75" customHeight="1" x14ac:dyDescent="0.25">
      <c r="A99" s="91"/>
      <c r="B99" s="51" t="s">
        <v>120</v>
      </c>
      <c r="C99" s="51">
        <v>70</v>
      </c>
      <c r="D99" s="52">
        <v>0.48719999999999997</v>
      </c>
      <c r="E99" s="52">
        <v>6.9599999999999995E-2</v>
      </c>
      <c r="F99" s="52">
        <v>1.3223999999999998</v>
      </c>
      <c r="G99" s="52">
        <f>F99*4+E99*9+D99*4</f>
        <v>7.8647999999999989</v>
      </c>
      <c r="H99" s="52">
        <v>2.3199999999999998E-2</v>
      </c>
      <c r="I99" s="52">
        <v>1.1599999999999999E-2</v>
      </c>
      <c r="J99" s="52">
        <v>3.4103999999999997</v>
      </c>
      <c r="K99" s="52">
        <v>0</v>
      </c>
      <c r="L99" s="52">
        <v>6.9599999999999995E-2</v>
      </c>
      <c r="M99" s="52">
        <v>11.831999999999999</v>
      </c>
      <c r="N99" s="52">
        <v>20.88</v>
      </c>
      <c r="O99" s="52">
        <v>9.7439999999999998</v>
      </c>
      <c r="P99" s="52">
        <v>0.34799999999999998</v>
      </c>
      <c r="Q99" s="52">
        <v>0.11899999999999999</v>
      </c>
      <c r="R99" s="52">
        <v>0</v>
      </c>
      <c r="S99" s="144"/>
    </row>
    <row r="100" spans="1:38" s="52" customFormat="1" ht="15.75" customHeight="1" x14ac:dyDescent="0.25">
      <c r="A100" s="91">
        <v>297</v>
      </c>
      <c r="B100" s="51" t="s">
        <v>87</v>
      </c>
      <c r="C100" s="51">
        <f>65</f>
        <v>65</v>
      </c>
      <c r="D100" s="52">
        <v>6.86</v>
      </c>
      <c r="E100" s="52">
        <v>10.24</v>
      </c>
      <c r="F100" s="52">
        <v>4.05</v>
      </c>
      <c r="G100" s="52">
        <f t="shared" ref="G100:G105" si="18">F100*4+E100*9+D100*4</f>
        <v>135.80000000000001</v>
      </c>
      <c r="H100" s="52">
        <v>0.02</v>
      </c>
      <c r="I100" s="52">
        <v>0.06</v>
      </c>
      <c r="J100" s="52">
        <v>0.51</v>
      </c>
      <c r="K100" s="52">
        <v>0.39</v>
      </c>
      <c r="L100" s="52">
        <v>2.4049999999999998</v>
      </c>
      <c r="M100" s="52">
        <v>24.21</v>
      </c>
      <c r="N100" s="52">
        <v>53.55</v>
      </c>
      <c r="O100" s="52">
        <v>7.21</v>
      </c>
      <c r="P100" s="52">
        <v>0.56999999999999995</v>
      </c>
      <c r="Q100" s="52">
        <v>1.99</v>
      </c>
      <c r="R100" s="52">
        <v>0.02</v>
      </c>
      <c r="S100" s="14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49"/>
    </row>
    <row r="101" spans="1:38" s="52" customFormat="1" ht="15.75" customHeight="1" x14ac:dyDescent="0.25">
      <c r="A101" s="98">
        <v>203</v>
      </c>
      <c r="B101" s="61" t="s">
        <v>36</v>
      </c>
      <c r="C101" s="61">
        <v>110</v>
      </c>
      <c r="D101" s="55">
        <v>4.1399999999999997</v>
      </c>
      <c r="E101" s="55">
        <v>5</v>
      </c>
      <c r="F101" s="55">
        <v>23.4</v>
      </c>
      <c r="G101" s="52">
        <f t="shared" si="18"/>
        <v>155.16</v>
      </c>
      <c r="H101" s="55">
        <v>0.04</v>
      </c>
      <c r="I101" s="55">
        <v>8.0000000000000002E-3</v>
      </c>
      <c r="J101" s="55">
        <v>0</v>
      </c>
      <c r="K101" s="55">
        <v>0</v>
      </c>
      <c r="L101" s="55">
        <v>0.56999999999999995</v>
      </c>
      <c r="M101" s="55">
        <v>8.1999999999999993</v>
      </c>
      <c r="N101" s="55">
        <v>27.2</v>
      </c>
      <c r="O101" s="55">
        <v>6.32</v>
      </c>
      <c r="P101" s="55">
        <v>0.62</v>
      </c>
      <c r="Q101" s="52">
        <v>0</v>
      </c>
      <c r="R101" s="52">
        <v>0</v>
      </c>
      <c r="S101" s="14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  <c r="AL101" s="149"/>
    </row>
    <row r="102" spans="1:38" s="52" customFormat="1" ht="15.75" customHeight="1" x14ac:dyDescent="0.25">
      <c r="A102" s="91">
        <v>379</v>
      </c>
      <c r="B102" s="51" t="s">
        <v>66</v>
      </c>
      <c r="C102" s="51">
        <v>200</v>
      </c>
      <c r="D102" s="52">
        <v>2.9</v>
      </c>
      <c r="E102" s="52">
        <v>2.5</v>
      </c>
      <c r="F102" s="52">
        <v>14.7</v>
      </c>
      <c r="G102" s="52">
        <f t="shared" si="18"/>
        <v>92.899999999999991</v>
      </c>
      <c r="H102" s="52">
        <v>0.02</v>
      </c>
      <c r="I102" s="52">
        <v>0.13</v>
      </c>
      <c r="J102" s="52">
        <v>0.6</v>
      </c>
      <c r="K102" s="52">
        <v>0.1</v>
      </c>
      <c r="L102" s="52">
        <v>0.1</v>
      </c>
      <c r="M102" s="52">
        <v>120.3</v>
      </c>
      <c r="N102" s="52">
        <v>90</v>
      </c>
      <c r="O102" s="52">
        <v>14</v>
      </c>
      <c r="P102" s="52">
        <v>0.13</v>
      </c>
      <c r="Q102" s="52">
        <v>0.4</v>
      </c>
      <c r="R102" s="52">
        <v>0</v>
      </c>
      <c r="S102" s="14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49"/>
    </row>
    <row r="103" spans="1:38" s="52" customFormat="1" ht="15.75" customHeight="1" x14ac:dyDescent="0.25">
      <c r="A103" s="91"/>
      <c r="B103" s="51" t="s">
        <v>128</v>
      </c>
      <c r="C103" s="51">
        <v>25</v>
      </c>
      <c r="D103" s="52">
        <v>1.6625000000000001</v>
      </c>
      <c r="E103" s="52">
        <v>0.3</v>
      </c>
      <c r="F103" s="52">
        <v>10.462499999999999</v>
      </c>
      <c r="G103" s="52">
        <f t="shared" si="18"/>
        <v>51.199999999999996</v>
      </c>
      <c r="H103" s="52">
        <v>0.13124999999999998</v>
      </c>
      <c r="I103" s="52">
        <v>8.7499999999999981E-2</v>
      </c>
      <c r="J103" s="52">
        <v>0.17499999999999996</v>
      </c>
      <c r="K103" s="52">
        <v>0</v>
      </c>
      <c r="L103" s="52">
        <v>0.13124999999999998</v>
      </c>
      <c r="M103" s="52">
        <v>31.937499999999996</v>
      </c>
      <c r="N103" s="52">
        <v>54.6875</v>
      </c>
      <c r="O103" s="52">
        <v>17.5</v>
      </c>
      <c r="P103" s="52">
        <v>1.2249999999999999</v>
      </c>
      <c r="Q103" s="52">
        <v>0.3</v>
      </c>
      <c r="R103" s="52">
        <v>0.02</v>
      </c>
      <c r="S103" s="14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  <c r="AI103" s="154"/>
      <c r="AJ103" s="154"/>
      <c r="AK103" s="154"/>
      <c r="AL103" s="149"/>
    </row>
    <row r="104" spans="1:38" s="52" customFormat="1" ht="15.75" customHeight="1" x14ac:dyDescent="0.25">
      <c r="A104" s="99"/>
      <c r="B104" s="51" t="s">
        <v>4</v>
      </c>
      <c r="C104" s="51">
        <v>40</v>
      </c>
      <c r="D104" s="52">
        <f>1.35*2</f>
        <v>2.7</v>
      </c>
      <c r="E104" s="52">
        <f>0.172*2</f>
        <v>0.34399999999999997</v>
      </c>
      <c r="F104" s="52">
        <f>10.03*2</f>
        <v>20.059999999999999</v>
      </c>
      <c r="G104" s="52">
        <f t="shared" si="18"/>
        <v>94.135999999999996</v>
      </c>
      <c r="H104" s="52">
        <v>2.4E-2</v>
      </c>
      <c r="I104" s="52">
        <v>5.0000000000000001E-3</v>
      </c>
      <c r="J104" s="52">
        <v>0</v>
      </c>
      <c r="K104" s="52">
        <v>0</v>
      </c>
      <c r="L104" s="52">
        <v>0.42</v>
      </c>
      <c r="M104" s="52">
        <v>8</v>
      </c>
      <c r="N104" s="52">
        <v>26</v>
      </c>
      <c r="O104" s="52">
        <v>5.6</v>
      </c>
      <c r="P104" s="52">
        <v>0.4</v>
      </c>
      <c r="Q104" s="52">
        <v>0.3</v>
      </c>
      <c r="R104" s="52">
        <v>0</v>
      </c>
      <c r="S104" s="14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  <c r="AI104" s="154"/>
      <c r="AJ104" s="154"/>
      <c r="AK104" s="154"/>
      <c r="AL104" s="149"/>
    </row>
    <row r="105" spans="1:38" s="52" customFormat="1" ht="15.75" customHeight="1" x14ac:dyDescent="0.25">
      <c r="A105" s="91">
        <v>368</v>
      </c>
      <c r="B105" s="51" t="s">
        <v>134</v>
      </c>
      <c r="C105" s="51">
        <v>120</v>
      </c>
      <c r="D105" s="55">
        <f>0.9*1.2</f>
        <v>1.08</v>
      </c>
      <c r="E105" s="55">
        <f>0.1*1.2</f>
        <v>0.12</v>
      </c>
      <c r="F105" s="55">
        <f>9.5*1.2</f>
        <v>11.4</v>
      </c>
      <c r="G105" s="52">
        <f t="shared" si="18"/>
        <v>51</v>
      </c>
      <c r="H105" s="55">
        <v>0.04</v>
      </c>
      <c r="I105" s="55">
        <v>0.01</v>
      </c>
      <c r="J105" s="55">
        <v>5</v>
      </c>
      <c r="K105" s="55">
        <v>0</v>
      </c>
      <c r="L105" s="55">
        <v>0.33</v>
      </c>
      <c r="M105" s="55">
        <v>25</v>
      </c>
      <c r="N105" s="55">
        <v>18.3</v>
      </c>
      <c r="O105" s="55">
        <v>14.16</v>
      </c>
      <c r="P105" s="55">
        <v>0.5</v>
      </c>
      <c r="Q105" s="52">
        <v>0.48</v>
      </c>
      <c r="R105" s="52">
        <v>1.0000000000000001E-5</v>
      </c>
      <c r="S105" s="14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4"/>
      <c r="AL105" s="149"/>
    </row>
    <row r="106" spans="1:38" ht="15.75" customHeight="1" x14ac:dyDescent="0.25">
      <c r="A106" s="91"/>
      <c r="B106" s="51"/>
      <c r="C106" s="51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144"/>
    </row>
    <row r="107" spans="1:38" s="68" customFormat="1" ht="15.75" customHeight="1" x14ac:dyDescent="0.25">
      <c r="A107" s="94"/>
      <c r="B107" s="56" t="s">
        <v>21</v>
      </c>
      <c r="C107" s="57">
        <f>SUM(C99:C105)</f>
        <v>630</v>
      </c>
      <c r="D107" s="57">
        <f t="shared" ref="D107:R107" si="19">SUM(D99:D105)</f>
        <v>19.829700000000003</v>
      </c>
      <c r="E107" s="57">
        <f t="shared" si="19"/>
        <v>18.573600000000003</v>
      </c>
      <c r="F107" s="57">
        <f t="shared" si="19"/>
        <v>85.394899999999993</v>
      </c>
      <c r="G107" s="57">
        <f t="shared" si="19"/>
        <v>588.06079999999997</v>
      </c>
      <c r="H107" s="57">
        <f t="shared" si="19"/>
        <v>0.29844999999999999</v>
      </c>
      <c r="I107" s="57">
        <f t="shared" si="19"/>
        <v>0.31209999999999999</v>
      </c>
      <c r="J107" s="57">
        <f t="shared" si="19"/>
        <v>9.6953999999999994</v>
      </c>
      <c r="K107" s="57">
        <f t="shared" si="19"/>
        <v>0.49</v>
      </c>
      <c r="L107" s="57">
        <f t="shared" si="19"/>
        <v>4.0258499999999993</v>
      </c>
      <c r="M107" s="57">
        <f t="shared" si="19"/>
        <v>229.4795</v>
      </c>
      <c r="N107" s="57">
        <f t="shared" si="19"/>
        <v>290.61750000000001</v>
      </c>
      <c r="O107" s="57">
        <f t="shared" si="19"/>
        <v>74.534000000000006</v>
      </c>
      <c r="P107" s="57">
        <f t="shared" si="19"/>
        <v>3.7929999999999997</v>
      </c>
      <c r="Q107" s="57">
        <f t="shared" si="19"/>
        <v>3.5889999999999995</v>
      </c>
      <c r="R107" s="57">
        <f t="shared" si="19"/>
        <v>4.0010000000000004E-2</v>
      </c>
      <c r="S107" s="14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  <c r="AI107" s="154"/>
      <c r="AJ107" s="154"/>
      <c r="AK107" s="154"/>
      <c r="AL107" s="152"/>
    </row>
    <row r="108" spans="1:38" ht="15.75" customHeight="1" x14ac:dyDescent="0.25">
      <c r="B108" s="58" t="s">
        <v>98</v>
      </c>
      <c r="C108" s="58"/>
      <c r="D108" s="59">
        <v>19.25</v>
      </c>
      <c r="E108" s="59">
        <v>19.75</v>
      </c>
      <c r="F108" s="59">
        <v>83.75</v>
      </c>
      <c r="G108" s="59">
        <v>587.5</v>
      </c>
      <c r="H108" s="59">
        <v>0.3</v>
      </c>
      <c r="I108" s="59">
        <v>0.35</v>
      </c>
      <c r="J108" s="59">
        <v>15</v>
      </c>
      <c r="K108" s="59">
        <v>0.17499999999999999</v>
      </c>
      <c r="L108" s="59">
        <v>2.5</v>
      </c>
      <c r="M108" s="59">
        <v>275</v>
      </c>
      <c r="N108" s="59">
        <v>412.5</v>
      </c>
      <c r="O108" s="59">
        <v>62.5</v>
      </c>
      <c r="P108" s="59">
        <v>3</v>
      </c>
      <c r="Q108" s="59">
        <v>2.5</v>
      </c>
      <c r="R108" s="59">
        <v>2.5000000000000001E-2</v>
      </c>
      <c r="S108" s="144"/>
    </row>
    <row r="109" spans="1:38" ht="35.25" customHeight="1" x14ac:dyDescent="0.25">
      <c r="B109" s="58"/>
      <c r="C109" s="58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144"/>
    </row>
    <row r="110" spans="1:38" s="46" customFormat="1" ht="15.75" customHeight="1" x14ac:dyDescent="0.25">
      <c r="A110" s="90"/>
      <c r="B110" s="47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S110" s="14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4"/>
      <c r="AL110" s="153"/>
    </row>
    <row r="111" spans="1:38" ht="15.75" customHeight="1" x14ac:dyDescent="0.25">
      <c r="A111" s="103"/>
      <c r="B111" s="68"/>
      <c r="D111" s="180" t="s">
        <v>150</v>
      </c>
      <c r="E111" s="180"/>
      <c r="F111" s="180"/>
      <c r="G111" s="177" t="s">
        <v>151</v>
      </c>
      <c r="H111" s="179" t="s">
        <v>152</v>
      </c>
      <c r="I111" s="179"/>
      <c r="J111" s="179"/>
      <c r="K111" s="179"/>
      <c r="L111" s="179"/>
      <c r="M111" s="179" t="s">
        <v>149</v>
      </c>
      <c r="N111" s="179"/>
      <c r="O111" s="179"/>
      <c r="P111" s="179"/>
      <c r="Q111" s="176"/>
      <c r="R111" s="90"/>
      <c r="S111" s="107"/>
    </row>
    <row r="112" spans="1:38" s="46" customFormat="1" ht="43.5" customHeight="1" x14ac:dyDescent="0.25">
      <c r="A112" s="103"/>
      <c r="D112" s="105" t="s">
        <v>0</v>
      </c>
      <c r="E112" s="105" t="s">
        <v>1</v>
      </c>
      <c r="F112" s="105" t="s">
        <v>2</v>
      </c>
      <c r="G112" s="178"/>
      <c r="H112" s="176" t="s">
        <v>41</v>
      </c>
      <c r="I112" s="176" t="s">
        <v>45</v>
      </c>
      <c r="J112" s="176" t="s">
        <v>42</v>
      </c>
      <c r="K112" s="176" t="s">
        <v>43</v>
      </c>
      <c r="L112" s="176" t="s">
        <v>44</v>
      </c>
      <c r="M112" s="105" t="s">
        <v>46</v>
      </c>
      <c r="N112" s="105" t="s">
        <v>47</v>
      </c>
      <c r="O112" s="105" t="s">
        <v>48</v>
      </c>
      <c r="P112" s="105" t="s">
        <v>49</v>
      </c>
      <c r="Q112" s="105" t="s">
        <v>100</v>
      </c>
      <c r="R112" s="105" t="s">
        <v>99</v>
      </c>
      <c r="S112" s="147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3"/>
    </row>
    <row r="113" spans="1:38" s="52" customFormat="1" ht="15.75" customHeight="1" x14ac:dyDescent="0.25">
      <c r="A113" s="103"/>
      <c r="B113" s="46" t="s">
        <v>104</v>
      </c>
      <c r="D113" s="46">
        <v>77</v>
      </c>
      <c r="E113" s="46">
        <v>79</v>
      </c>
      <c r="F113" s="46">
        <v>335</v>
      </c>
      <c r="G113" s="46">
        <v>2350</v>
      </c>
      <c r="H113" s="46">
        <v>1.2</v>
      </c>
      <c r="I113" s="46">
        <v>1.4</v>
      </c>
      <c r="J113" s="46">
        <v>60</v>
      </c>
      <c r="K113" s="46">
        <v>0.7</v>
      </c>
      <c r="L113" s="46">
        <v>10</v>
      </c>
      <c r="M113" s="46">
        <v>1100</v>
      </c>
      <c r="N113" s="46">
        <v>1650</v>
      </c>
      <c r="O113" s="46">
        <v>250</v>
      </c>
      <c r="P113" s="46">
        <v>12</v>
      </c>
      <c r="Q113" s="46">
        <v>10</v>
      </c>
      <c r="R113" s="46">
        <v>0.1</v>
      </c>
      <c r="S113" s="107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49"/>
    </row>
    <row r="114" spans="1:38" s="52" customFormat="1" ht="15.75" customHeight="1" x14ac:dyDescent="0.25">
      <c r="A114" s="103"/>
      <c r="B114" s="72" t="s">
        <v>97</v>
      </c>
      <c r="C114" s="72"/>
      <c r="D114" s="72">
        <f>D113*0.25</f>
        <v>19.25</v>
      </c>
      <c r="E114" s="72">
        <f t="shared" ref="E114:R114" si="20">E113*0.25</f>
        <v>19.75</v>
      </c>
      <c r="F114" s="72">
        <f t="shared" si="20"/>
        <v>83.75</v>
      </c>
      <c r="G114" s="72">
        <f t="shared" si="20"/>
        <v>587.5</v>
      </c>
      <c r="H114" s="72">
        <f t="shared" si="20"/>
        <v>0.3</v>
      </c>
      <c r="I114" s="72">
        <f t="shared" si="20"/>
        <v>0.35</v>
      </c>
      <c r="J114" s="72">
        <f t="shared" si="20"/>
        <v>15</v>
      </c>
      <c r="K114" s="72">
        <f t="shared" si="20"/>
        <v>0.17499999999999999</v>
      </c>
      <c r="L114" s="72">
        <f t="shared" si="20"/>
        <v>2.5</v>
      </c>
      <c r="M114" s="72">
        <f t="shared" si="20"/>
        <v>275</v>
      </c>
      <c r="N114" s="72">
        <f t="shared" si="20"/>
        <v>412.5</v>
      </c>
      <c r="O114" s="72">
        <f t="shared" si="20"/>
        <v>62.5</v>
      </c>
      <c r="P114" s="72">
        <f t="shared" si="20"/>
        <v>3</v>
      </c>
      <c r="Q114" s="72">
        <f t="shared" si="20"/>
        <v>2.5</v>
      </c>
      <c r="R114" s="72">
        <f t="shared" si="20"/>
        <v>2.5000000000000001E-2</v>
      </c>
      <c r="S114" s="14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49"/>
    </row>
    <row r="115" spans="1:38" s="52" customFormat="1" ht="15.75" customHeight="1" x14ac:dyDescent="0.25">
      <c r="A115" s="103"/>
      <c r="B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14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49"/>
    </row>
    <row r="116" spans="1:38" s="62" customFormat="1" ht="15.75" customHeight="1" x14ac:dyDescent="0.25">
      <c r="A116" s="104"/>
      <c r="B116" s="70" t="s">
        <v>101</v>
      </c>
      <c r="C116" s="71"/>
      <c r="D116" s="71">
        <f t="shared" ref="D116:R116" si="21">(D107+D96+D87+D75+D64+D53+D43+D33+D22+D12)/10</f>
        <v>21.660979111749857</v>
      </c>
      <c r="E116" s="71">
        <f t="shared" si="21"/>
        <v>19.649528253376843</v>
      </c>
      <c r="F116" s="71">
        <f t="shared" si="21"/>
        <v>84.85084443469097</v>
      </c>
      <c r="G116" s="71">
        <f t="shared" si="21"/>
        <v>613.05564846615482</v>
      </c>
      <c r="H116" s="71">
        <f t="shared" si="21"/>
        <v>0.38727173741775484</v>
      </c>
      <c r="I116" s="71">
        <f t="shared" si="21"/>
        <v>0.51103673953469764</v>
      </c>
      <c r="J116" s="71">
        <f t="shared" si="21"/>
        <v>19.687315202471716</v>
      </c>
      <c r="K116" s="71">
        <f t="shared" si="21"/>
        <v>1.0261</v>
      </c>
      <c r="L116" s="71">
        <f t="shared" si="21"/>
        <v>4.9329027936808485</v>
      </c>
      <c r="M116" s="71">
        <f t="shared" si="21"/>
        <v>266.29441882403461</v>
      </c>
      <c r="N116" s="71">
        <f t="shared" si="21"/>
        <v>382.36664532697193</v>
      </c>
      <c r="O116" s="71">
        <f t="shared" si="21"/>
        <v>112.31448757270178</v>
      </c>
      <c r="P116" s="71">
        <f t="shared" si="21"/>
        <v>11.179941463647076</v>
      </c>
      <c r="Q116" s="71">
        <f t="shared" si="21"/>
        <v>3.2841800000000001</v>
      </c>
      <c r="R116" s="71">
        <f t="shared" si="21"/>
        <v>3.9103000000000006E-2</v>
      </c>
      <c r="S116" s="146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1"/>
    </row>
    <row r="117" spans="1:38" s="68" customFormat="1" ht="15.75" customHeight="1" x14ac:dyDescent="0.25">
      <c r="A117" s="90"/>
      <c r="B117" s="69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14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2"/>
    </row>
    <row r="118" spans="1:38" s="164" customFormat="1" ht="15.75" customHeight="1" x14ac:dyDescent="0.25">
      <c r="A118" s="159"/>
      <c r="B118" s="160"/>
      <c r="C118" s="106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2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63"/>
    </row>
    <row r="119" spans="1:38" s="154" customFormat="1" ht="15.75" customHeight="1" x14ac:dyDescent="0.25">
      <c r="A119" s="172"/>
      <c r="B119" s="173"/>
    </row>
    <row r="120" spans="1:38" s="154" customFormat="1" ht="15.75" customHeight="1" x14ac:dyDescent="0.25">
      <c r="A120" s="172"/>
      <c r="B120" s="173"/>
    </row>
    <row r="121" spans="1:38" s="154" customFormat="1" ht="15.75" customHeight="1" x14ac:dyDescent="0.25">
      <c r="A121" s="172"/>
      <c r="B121" s="173"/>
    </row>
    <row r="122" spans="1:38" s="154" customFormat="1" ht="15.75" customHeight="1" x14ac:dyDescent="0.25">
      <c r="A122" s="172"/>
      <c r="B122" s="173"/>
    </row>
    <row r="123" spans="1:38" s="154" customFormat="1" ht="15.75" customHeight="1" x14ac:dyDescent="0.25">
      <c r="A123" s="172"/>
      <c r="B123" s="173"/>
    </row>
    <row r="124" spans="1:38" s="154" customFormat="1" ht="15.75" customHeight="1" x14ac:dyDescent="0.25">
      <c r="A124" s="172"/>
      <c r="B124" s="173"/>
    </row>
    <row r="125" spans="1:38" s="154" customFormat="1" ht="15.75" customHeight="1" x14ac:dyDescent="0.25">
      <c r="A125" s="172"/>
      <c r="B125" s="173"/>
    </row>
    <row r="126" spans="1:38" s="154" customFormat="1" ht="15.75" customHeight="1" x14ac:dyDescent="0.25">
      <c r="A126" s="172"/>
      <c r="B126" s="173"/>
    </row>
    <row r="127" spans="1:38" s="154" customFormat="1" ht="15.75" customHeight="1" x14ac:dyDescent="0.25">
      <c r="A127" s="172"/>
      <c r="B127" s="173"/>
    </row>
    <row r="128" spans="1:38" s="154" customFormat="1" ht="15.75" customHeight="1" x14ac:dyDescent="0.25">
      <c r="A128" s="172"/>
      <c r="B128" s="173"/>
    </row>
    <row r="129" spans="1:2" s="154" customFormat="1" ht="15.75" customHeight="1" x14ac:dyDescent="0.25">
      <c r="A129" s="172"/>
      <c r="B129" s="173"/>
    </row>
    <row r="130" spans="1:2" s="154" customFormat="1" ht="15.75" customHeight="1" x14ac:dyDescent="0.25">
      <c r="A130" s="172"/>
      <c r="B130" s="173"/>
    </row>
    <row r="131" spans="1:2" s="154" customFormat="1" ht="15.75" customHeight="1" x14ac:dyDescent="0.25">
      <c r="A131" s="172"/>
      <c r="B131" s="173"/>
    </row>
    <row r="132" spans="1:2" s="154" customFormat="1" ht="15.75" customHeight="1" x14ac:dyDescent="0.25">
      <c r="A132" s="172"/>
      <c r="B132" s="173"/>
    </row>
    <row r="133" spans="1:2" s="154" customFormat="1" ht="15.75" customHeight="1" x14ac:dyDescent="0.25">
      <c r="A133" s="172"/>
      <c r="B133" s="173"/>
    </row>
    <row r="134" spans="1:2" s="154" customFormat="1" ht="15.75" customHeight="1" x14ac:dyDescent="0.25">
      <c r="A134" s="172"/>
      <c r="B134" s="173"/>
    </row>
    <row r="135" spans="1:2" s="154" customFormat="1" ht="15.75" customHeight="1" x14ac:dyDescent="0.25">
      <c r="A135" s="172"/>
      <c r="B135" s="173"/>
    </row>
    <row r="136" spans="1:2" s="154" customFormat="1" ht="15.75" customHeight="1" x14ac:dyDescent="0.25">
      <c r="A136" s="172"/>
      <c r="B136" s="173"/>
    </row>
    <row r="137" spans="1:2" s="154" customFormat="1" ht="15.75" customHeight="1" x14ac:dyDescent="0.25">
      <c r="A137" s="172"/>
      <c r="B137" s="173"/>
    </row>
    <row r="138" spans="1:2" s="154" customFormat="1" ht="15.75" customHeight="1" x14ac:dyDescent="0.25">
      <c r="A138" s="172"/>
      <c r="B138" s="173"/>
    </row>
    <row r="139" spans="1:2" s="154" customFormat="1" ht="15.75" customHeight="1" x14ac:dyDescent="0.25">
      <c r="A139" s="172"/>
      <c r="B139" s="173"/>
    </row>
    <row r="140" spans="1:2" s="154" customFormat="1" ht="15.75" customHeight="1" x14ac:dyDescent="0.25">
      <c r="A140" s="172"/>
      <c r="B140" s="173"/>
    </row>
    <row r="141" spans="1:2" s="154" customFormat="1" ht="15.75" customHeight="1" x14ac:dyDescent="0.25">
      <c r="A141" s="172"/>
      <c r="B141" s="173"/>
    </row>
    <row r="142" spans="1:2" s="154" customFormat="1" ht="15.75" customHeight="1" x14ac:dyDescent="0.25">
      <c r="A142" s="172"/>
      <c r="B142" s="173"/>
    </row>
    <row r="143" spans="1:2" s="154" customFormat="1" ht="15.75" customHeight="1" x14ac:dyDescent="0.25">
      <c r="A143" s="172"/>
      <c r="B143" s="173"/>
    </row>
    <row r="144" spans="1:2" s="154" customFormat="1" ht="15.75" customHeight="1" x14ac:dyDescent="0.25">
      <c r="A144" s="172"/>
      <c r="B144" s="173"/>
    </row>
    <row r="145" spans="1:38" s="154" customFormat="1" ht="15.75" customHeight="1" x14ac:dyDescent="0.25">
      <c r="A145" s="172"/>
      <c r="B145" s="173"/>
    </row>
    <row r="146" spans="1:38" s="154" customFormat="1" ht="15.75" customHeight="1" x14ac:dyDescent="0.25">
      <c r="A146" s="172"/>
      <c r="B146" s="173"/>
    </row>
    <row r="147" spans="1:38" s="154" customFormat="1" ht="15.75" customHeight="1" x14ac:dyDescent="0.25">
      <c r="A147" s="172"/>
      <c r="B147" s="173"/>
    </row>
    <row r="148" spans="1:38" s="154" customFormat="1" ht="15.75" customHeight="1" x14ac:dyDescent="0.25">
      <c r="A148" s="172"/>
      <c r="B148" s="173"/>
    </row>
    <row r="149" spans="1:38" s="171" customFormat="1" ht="15.75" customHeight="1" x14ac:dyDescent="0.25">
      <c r="A149" s="165"/>
      <c r="B149" s="166"/>
      <c r="C149" s="167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9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54"/>
      <c r="AI149" s="154"/>
      <c r="AJ149" s="154"/>
      <c r="AK149" s="154"/>
      <c r="AL149" s="170"/>
    </row>
  </sheetData>
  <mergeCells count="18">
    <mergeCell ref="A55:B55"/>
    <mergeCell ref="A66:B66"/>
    <mergeCell ref="A45:B45"/>
    <mergeCell ref="M4:R4"/>
    <mergeCell ref="D4:F4"/>
    <mergeCell ref="G4:G5"/>
    <mergeCell ref="H4:L4"/>
    <mergeCell ref="A5:B5"/>
    <mergeCell ref="A14:B14"/>
    <mergeCell ref="A24:B24"/>
    <mergeCell ref="A35:B35"/>
    <mergeCell ref="G111:G112"/>
    <mergeCell ref="H111:L111"/>
    <mergeCell ref="M111:P111"/>
    <mergeCell ref="D111:F111"/>
    <mergeCell ref="A77:B77"/>
    <mergeCell ref="A89:B89"/>
    <mergeCell ref="A98:B98"/>
  </mergeCells>
  <pageMargins left="0.62992125984251968" right="0.23622047244094491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33"/>
  <sheetViews>
    <sheetView zoomScaleNormal="100" workbookViewId="0">
      <pane ySplit="5" topLeftCell="A81" activePane="bottomLeft" state="frozen"/>
      <selection pane="bottomLeft" activeCell="B112" sqref="B112"/>
    </sheetView>
  </sheetViews>
  <sheetFormatPr defaultColWidth="4.28515625" defaultRowHeight="10.5" customHeight="1" x14ac:dyDescent="0.2"/>
  <cols>
    <col min="1" max="1" width="8.85546875" style="88" customWidth="1"/>
    <col min="2" max="2" width="49.5703125" style="1" customWidth="1"/>
    <col min="3" max="3" width="7" style="1" customWidth="1"/>
    <col min="4" max="4" width="6.5703125" style="1" customWidth="1"/>
    <col min="5" max="5" width="10.140625" style="1" customWidth="1"/>
    <col min="6" max="6" width="9" style="1" customWidth="1"/>
    <col min="7" max="7" width="7.28515625" style="1" customWidth="1"/>
    <col min="8" max="8" width="7.85546875" style="1" customWidth="1"/>
    <col min="9" max="9" width="5.42578125" style="1" customWidth="1"/>
    <col min="10" max="10" width="7.140625" style="1" customWidth="1"/>
    <col min="11" max="11" width="7.42578125" style="1" customWidth="1"/>
    <col min="12" max="12" width="6.42578125" style="1" customWidth="1"/>
    <col min="13" max="13" width="6.28515625" style="1" customWidth="1"/>
    <col min="14" max="14" width="6.140625" style="1" customWidth="1"/>
    <col min="15" max="15" width="6.42578125" style="1" customWidth="1"/>
    <col min="16" max="17" width="6" style="1" customWidth="1"/>
    <col min="18" max="18" width="5.85546875" style="1" customWidth="1"/>
    <col min="19" max="19" width="8.28515625" style="1" customWidth="1"/>
    <col min="20" max="20" width="6.85546875" style="1" customWidth="1"/>
    <col min="21" max="22" width="5.28515625" style="1" customWidth="1"/>
    <col min="23" max="23" width="6.5703125" style="1" customWidth="1"/>
    <col min="24" max="24" width="7.5703125" style="1" customWidth="1"/>
    <col min="25" max="25" width="6.42578125" style="1" customWidth="1"/>
    <col min="26" max="26" width="6.5703125" style="1" customWidth="1"/>
    <col min="27" max="27" width="7.28515625" style="1" customWidth="1"/>
    <col min="28" max="28" width="5" style="1" customWidth="1"/>
    <col min="29" max="30" width="6.42578125" style="1" customWidth="1"/>
    <col min="31" max="31" width="7.140625" style="1" customWidth="1"/>
    <col min="32" max="33" width="7.28515625" style="1" customWidth="1"/>
    <col min="34" max="37" width="4.28515625" style="9"/>
    <col min="38" max="38" width="22.7109375" style="9" customWidth="1"/>
    <col min="39" max="39" width="5.28515625" style="9" customWidth="1"/>
    <col min="40" max="16384" width="4.28515625" style="9"/>
  </cols>
  <sheetData>
    <row r="1" spans="1:97" s="136" customFormat="1" ht="10.5" customHeight="1" x14ac:dyDescent="0.2">
      <c r="A1" s="134"/>
      <c r="B1" s="135" t="s">
        <v>108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</row>
    <row r="2" spans="1:97" s="136" customFormat="1" ht="10.5" customHeight="1" x14ac:dyDescent="0.2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</row>
    <row r="3" spans="1:97" s="15" customFormat="1" ht="10.5" customHeight="1" x14ac:dyDescent="0.2">
      <c r="A3" s="132"/>
      <c r="B3" s="133" t="s">
        <v>138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</row>
    <row r="5" spans="1:97" s="140" customFormat="1" ht="38.25" customHeight="1" x14ac:dyDescent="0.2">
      <c r="A5" s="137" t="s">
        <v>76</v>
      </c>
      <c r="B5" s="138" t="s">
        <v>140</v>
      </c>
      <c r="C5" s="141" t="s">
        <v>77</v>
      </c>
      <c r="D5" s="141" t="s">
        <v>12</v>
      </c>
      <c r="E5" s="141" t="s">
        <v>13</v>
      </c>
      <c r="F5" s="141" t="s">
        <v>15</v>
      </c>
      <c r="G5" s="141" t="s">
        <v>14</v>
      </c>
      <c r="H5" s="141" t="s">
        <v>141</v>
      </c>
      <c r="I5" s="141" t="s">
        <v>11</v>
      </c>
      <c r="J5" s="141" t="s">
        <v>64</v>
      </c>
      <c r="K5" s="141" t="s">
        <v>5</v>
      </c>
      <c r="L5" s="141" t="s">
        <v>139</v>
      </c>
      <c r="M5" s="141" t="s">
        <v>142</v>
      </c>
      <c r="N5" s="141" t="s">
        <v>7</v>
      </c>
      <c r="O5" s="141" t="s">
        <v>93</v>
      </c>
      <c r="P5" s="141" t="s">
        <v>8</v>
      </c>
      <c r="Q5" s="141" t="s">
        <v>9</v>
      </c>
      <c r="R5" s="141" t="s">
        <v>67</v>
      </c>
      <c r="S5" s="141" t="s">
        <v>143</v>
      </c>
      <c r="T5" s="141" t="s">
        <v>68</v>
      </c>
      <c r="U5" s="141" t="s">
        <v>40</v>
      </c>
      <c r="V5" s="141" t="s">
        <v>37</v>
      </c>
      <c r="W5" s="141" t="s">
        <v>20</v>
      </c>
      <c r="X5" s="141" t="s">
        <v>144</v>
      </c>
      <c r="Y5" s="141" t="s">
        <v>10</v>
      </c>
      <c r="Z5" s="141" t="s">
        <v>18</v>
      </c>
      <c r="AA5" s="141" t="s">
        <v>145</v>
      </c>
      <c r="AB5" s="141" t="s">
        <v>16</v>
      </c>
      <c r="AC5" s="141" t="s">
        <v>17</v>
      </c>
      <c r="AD5" s="141" t="s">
        <v>57</v>
      </c>
      <c r="AE5" s="141" t="s">
        <v>19</v>
      </c>
      <c r="AF5" s="141" t="s">
        <v>146</v>
      </c>
      <c r="AG5" s="138" t="s">
        <v>59</v>
      </c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</row>
    <row r="6" spans="1:97" s="5" customFormat="1" ht="12" customHeight="1" x14ac:dyDescent="0.2">
      <c r="A6" s="73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</row>
    <row r="7" spans="1:97" s="10" customFormat="1" ht="10.5" customHeight="1" x14ac:dyDescent="0.2">
      <c r="A7" s="189" t="s">
        <v>109</v>
      </c>
      <c r="B7" s="19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</row>
    <row r="8" spans="1:97" s="11" customFormat="1" ht="10.5" customHeight="1" x14ac:dyDescent="0.2">
      <c r="A8" s="110">
        <v>3</v>
      </c>
      <c r="B8" s="111" t="s">
        <v>122</v>
      </c>
      <c r="C8" s="2">
        <v>40</v>
      </c>
      <c r="D8" s="2"/>
      <c r="E8" s="2">
        <v>20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15</v>
      </c>
      <c r="V8" s="2"/>
      <c r="W8" s="2">
        <v>5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</row>
    <row r="9" spans="1:97" ht="10.5" customHeight="1" x14ac:dyDescent="0.2">
      <c r="A9" s="112"/>
      <c r="B9" s="113" t="s">
        <v>121</v>
      </c>
      <c r="C9" s="12">
        <v>230</v>
      </c>
      <c r="G9" s="1">
        <f>15.4*2.3</f>
        <v>35.419999999999995</v>
      </c>
      <c r="R9" s="1">
        <f>88*2.3</f>
        <v>202.39999999999998</v>
      </c>
      <c r="W9" s="1">
        <v>5</v>
      </c>
    </row>
    <row r="10" spans="1:97" s="11" customFormat="1" ht="10.5" customHeight="1" x14ac:dyDescent="0.2">
      <c r="A10" s="110">
        <v>382</v>
      </c>
      <c r="B10" s="111" t="s">
        <v>6</v>
      </c>
      <c r="C10" s="2">
        <v>200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100</v>
      </c>
      <c r="S10" s="2"/>
      <c r="T10" s="2"/>
      <c r="U10" s="2"/>
      <c r="V10" s="2"/>
      <c r="W10" s="2"/>
      <c r="X10" s="2"/>
      <c r="Y10" s="2"/>
      <c r="Z10" s="2">
        <v>10</v>
      </c>
      <c r="AA10" s="2"/>
      <c r="AB10" s="2"/>
      <c r="AC10" s="2">
        <v>1.5</v>
      </c>
      <c r="AD10" s="2"/>
      <c r="AE10" s="2"/>
      <c r="AF10" s="2"/>
      <c r="AG10" s="2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</row>
    <row r="11" spans="1:97" s="11" customFormat="1" ht="10.5" customHeight="1" x14ac:dyDescent="0.2">
      <c r="A11" s="110"/>
      <c r="B11" s="111" t="s">
        <v>4</v>
      </c>
      <c r="C11" s="2">
        <v>20</v>
      </c>
      <c r="D11" s="2"/>
      <c r="E11" s="2">
        <v>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</row>
    <row r="12" spans="1:97" s="11" customFormat="1" ht="10.5" customHeight="1" x14ac:dyDescent="0.2">
      <c r="A12" s="110">
        <v>368</v>
      </c>
      <c r="B12" s="111" t="s">
        <v>119</v>
      </c>
      <c r="C12" s="2">
        <v>120</v>
      </c>
      <c r="D12" s="2"/>
      <c r="E12" s="2"/>
      <c r="F12" s="2"/>
      <c r="G12" s="2"/>
      <c r="H12" s="2"/>
      <c r="I12" s="2"/>
      <c r="J12" s="2"/>
      <c r="K12" s="2">
        <v>120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</row>
    <row r="13" spans="1:97" ht="10.5" customHeight="1" x14ac:dyDescent="0.2">
      <c r="A13" s="7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97" s="16" customFormat="1" ht="10.5" customHeight="1" x14ac:dyDescent="0.2">
      <c r="A14" s="77"/>
      <c r="B14" s="13" t="s">
        <v>157</v>
      </c>
      <c r="C14" s="14">
        <f t="shared" ref="C14:AG14" si="0">SUM(C8:C13)</f>
        <v>610</v>
      </c>
      <c r="D14" s="14">
        <f t="shared" si="0"/>
        <v>0</v>
      </c>
      <c r="E14" s="14">
        <f t="shared" si="0"/>
        <v>40</v>
      </c>
      <c r="F14" s="14">
        <f t="shared" si="0"/>
        <v>0</v>
      </c>
      <c r="G14" s="14">
        <f t="shared" si="0"/>
        <v>35.419999999999995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120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302.39999999999998</v>
      </c>
      <c r="S14" s="14">
        <f t="shared" si="0"/>
        <v>0</v>
      </c>
      <c r="T14" s="14">
        <f t="shared" si="0"/>
        <v>0</v>
      </c>
      <c r="U14" s="14">
        <f t="shared" si="0"/>
        <v>15</v>
      </c>
      <c r="V14" s="14">
        <f t="shared" si="0"/>
        <v>0</v>
      </c>
      <c r="W14" s="14">
        <f t="shared" si="0"/>
        <v>10</v>
      </c>
      <c r="X14" s="14">
        <f t="shared" si="0"/>
        <v>0</v>
      </c>
      <c r="Y14" s="14">
        <f t="shared" si="0"/>
        <v>0</v>
      </c>
      <c r="Z14" s="14">
        <f t="shared" si="0"/>
        <v>10</v>
      </c>
      <c r="AA14" s="14">
        <f t="shared" si="0"/>
        <v>0</v>
      </c>
      <c r="AB14" s="14">
        <f t="shared" si="0"/>
        <v>0</v>
      </c>
      <c r="AC14" s="14">
        <f t="shared" si="0"/>
        <v>1.5</v>
      </c>
      <c r="AD14" s="14">
        <f t="shared" si="0"/>
        <v>0</v>
      </c>
      <c r="AE14" s="14">
        <f t="shared" si="0"/>
        <v>0</v>
      </c>
      <c r="AF14" s="14">
        <f t="shared" si="0"/>
        <v>0</v>
      </c>
      <c r="AG14" s="14">
        <f t="shared" si="0"/>
        <v>0</v>
      </c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</row>
    <row r="15" spans="1:97" s="15" customFormat="1" ht="10.5" customHeight="1" x14ac:dyDescent="0.2">
      <c r="A15" s="78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97" s="10" customFormat="1" ht="10.5" customHeight="1" x14ac:dyDescent="0.2">
      <c r="A16" s="188" t="s">
        <v>110</v>
      </c>
      <c r="B16" s="18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</row>
    <row r="17" spans="1:97" s="11" customFormat="1" ht="10.5" customHeight="1" x14ac:dyDescent="0.2">
      <c r="A17" s="114"/>
      <c r="B17" s="115" t="s">
        <v>120</v>
      </c>
      <c r="C17" s="20">
        <v>60</v>
      </c>
      <c r="D17" s="20"/>
      <c r="E17" s="20"/>
      <c r="F17" s="20"/>
      <c r="G17" s="20"/>
      <c r="H17" s="20"/>
      <c r="I17" s="20"/>
      <c r="J17" s="20">
        <v>60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</row>
    <row r="18" spans="1:97" s="3" customFormat="1" ht="10.5" customHeight="1" x14ac:dyDescent="0.2">
      <c r="A18" s="110">
        <v>259</v>
      </c>
      <c r="B18" s="111" t="s">
        <v>22</v>
      </c>
      <c r="C18" s="2">
        <v>175</v>
      </c>
      <c r="D18" s="2"/>
      <c r="E18" s="2"/>
      <c r="F18" s="2"/>
      <c r="G18" s="2"/>
      <c r="H18" s="2"/>
      <c r="I18" s="2">
        <v>100</v>
      </c>
      <c r="J18" s="2">
        <f>(10+6)</f>
        <v>16</v>
      </c>
      <c r="K18" s="2"/>
      <c r="L18" s="2"/>
      <c r="M18" s="2"/>
      <c r="N18" s="2">
        <v>79</v>
      </c>
      <c r="O18" s="2"/>
      <c r="P18" s="2"/>
      <c r="Q18" s="2"/>
      <c r="R18" s="2"/>
      <c r="S18" s="2"/>
      <c r="T18" s="2"/>
      <c r="U18" s="2"/>
      <c r="V18" s="2"/>
      <c r="W18" s="2"/>
      <c r="X18" s="2">
        <v>6</v>
      </c>
      <c r="Y18" s="2"/>
      <c r="Z18" s="2"/>
      <c r="AA18" s="2"/>
      <c r="AB18" s="2"/>
      <c r="AC18" s="2"/>
      <c r="AD18" s="2"/>
      <c r="AE18" s="2"/>
      <c r="AF18" s="2"/>
      <c r="AG18" s="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s="11" customFormat="1" ht="10.5" customHeight="1" x14ac:dyDescent="0.2">
      <c r="A19" s="110" t="s">
        <v>39</v>
      </c>
      <c r="B19" s="111" t="s">
        <v>92</v>
      </c>
      <c r="C19" s="2">
        <v>200</v>
      </c>
      <c r="D19" s="2"/>
      <c r="E19" s="2"/>
      <c r="F19" s="2"/>
      <c r="G19" s="2"/>
      <c r="H19" s="2"/>
      <c r="I19" s="2"/>
      <c r="J19" s="2"/>
      <c r="K19" s="2">
        <v>40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>
        <v>5</v>
      </c>
      <c r="AA19" s="2"/>
      <c r="AB19" s="2">
        <v>0.1</v>
      </c>
      <c r="AC19" s="2"/>
      <c r="AD19" s="2"/>
      <c r="AE19" s="2"/>
      <c r="AF19" s="2"/>
      <c r="AG19" s="2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s="11" customFormat="1" ht="10.5" customHeight="1" x14ac:dyDescent="0.2">
      <c r="A20" s="110"/>
      <c r="B20" s="111" t="s">
        <v>4</v>
      </c>
      <c r="C20" s="2">
        <v>25</v>
      </c>
      <c r="D20" s="2"/>
      <c r="E20" s="2">
        <v>25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s="11" customFormat="1" ht="10.5" customHeight="1" x14ac:dyDescent="0.2">
      <c r="A21" s="110"/>
      <c r="B21" s="111" t="s">
        <v>3</v>
      </c>
      <c r="C21" s="2">
        <v>25</v>
      </c>
      <c r="D21" s="2">
        <v>25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0.5" customHeight="1" x14ac:dyDescent="0.2">
      <c r="A22" s="116"/>
      <c r="B22" s="111" t="s">
        <v>123</v>
      </c>
      <c r="C22" s="2">
        <v>200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200</v>
      </c>
    </row>
    <row r="23" spans="1:97" ht="10.5" customHeight="1" x14ac:dyDescent="0.2">
      <c r="A23" s="7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97" s="16" customFormat="1" ht="10.5" customHeight="1" x14ac:dyDescent="0.2">
      <c r="A24" s="77"/>
      <c r="B24" s="13" t="s">
        <v>157</v>
      </c>
      <c r="C24" s="14">
        <f t="shared" ref="C24:AG24" si="1">SUM(C17:C22)</f>
        <v>685</v>
      </c>
      <c r="D24" s="14">
        <f t="shared" si="1"/>
        <v>25</v>
      </c>
      <c r="E24" s="14">
        <f t="shared" si="1"/>
        <v>25</v>
      </c>
      <c r="F24" s="14">
        <f t="shared" si="1"/>
        <v>0</v>
      </c>
      <c r="G24" s="14">
        <f t="shared" si="1"/>
        <v>0</v>
      </c>
      <c r="H24" s="14">
        <f t="shared" si="1"/>
        <v>0</v>
      </c>
      <c r="I24" s="14">
        <f t="shared" si="1"/>
        <v>100</v>
      </c>
      <c r="J24" s="14">
        <f t="shared" si="1"/>
        <v>76</v>
      </c>
      <c r="K24" s="14">
        <f t="shared" si="1"/>
        <v>40</v>
      </c>
      <c r="L24" s="14">
        <f t="shared" si="1"/>
        <v>0</v>
      </c>
      <c r="M24" s="14">
        <f t="shared" si="1"/>
        <v>0</v>
      </c>
      <c r="N24" s="14">
        <f t="shared" si="1"/>
        <v>79</v>
      </c>
      <c r="O24" s="14">
        <f t="shared" si="1"/>
        <v>0</v>
      </c>
      <c r="P24" s="14">
        <f t="shared" si="1"/>
        <v>0</v>
      </c>
      <c r="Q24" s="14">
        <f t="shared" si="1"/>
        <v>0</v>
      </c>
      <c r="R24" s="14">
        <f t="shared" si="1"/>
        <v>0</v>
      </c>
      <c r="S24" s="14">
        <f t="shared" si="1"/>
        <v>200</v>
      </c>
      <c r="T24" s="14">
        <f t="shared" si="1"/>
        <v>0</v>
      </c>
      <c r="U24" s="14">
        <f t="shared" si="1"/>
        <v>0</v>
      </c>
      <c r="V24" s="14">
        <f t="shared" si="1"/>
        <v>0</v>
      </c>
      <c r="W24" s="14">
        <f t="shared" si="1"/>
        <v>0</v>
      </c>
      <c r="X24" s="14">
        <f t="shared" si="1"/>
        <v>6</v>
      </c>
      <c r="Y24" s="14">
        <f t="shared" si="1"/>
        <v>0</v>
      </c>
      <c r="Z24" s="14">
        <f t="shared" si="1"/>
        <v>5</v>
      </c>
      <c r="AA24" s="14">
        <f t="shared" si="1"/>
        <v>0</v>
      </c>
      <c r="AB24" s="14">
        <f t="shared" si="1"/>
        <v>0.1</v>
      </c>
      <c r="AC24" s="14">
        <f t="shared" si="1"/>
        <v>0</v>
      </c>
      <c r="AD24" s="14">
        <f t="shared" si="1"/>
        <v>0</v>
      </c>
      <c r="AE24" s="14">
        <f t="shared" si="1"/>
        <v>0</v>
      </c>
      <c r="AF24" s="14">
        <f t="shared" si="1"/>
        <v>0</v>
      </c>
      <c r="AG24" s="14">
        <f t="shared" si="1"/>
        <v>0</v>
      </c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97" s="15" customFormat="1" ht="10.5" customHeight="1" x14ac:dyDescent="0.2">
      <c r="A25" s="79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97" s="10" customFormat="1" ht="10.5" customHeight="1" x14ac:dyDescent="0.2">
      <c r="A26" s="189" t="s">
        <v>111</v>
      </c>
      <c r="B26" s="19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</row>
    <row r="27" spans="1:97" s="11" customFormat="1" ht="10.5" customHeight="1" x14ac:dyDescent="0.2">
      <c r="A27" s="110"/>
      <c r="B27" s="111" t="s">
        <v>124</v>
      </c>
      <c r="C27" s="2">
        <v>80</v>
      </c>
      <c r="D27" s="2"/>
      <c r="E27" s="2"/>
      <c r="F27" s="2"/>
      <c r="G27" s="2"/>
      <c r="H27" s="2"/>
      <c r="I27" s="2"/>
      <c r="J27" s="2">
        <v>77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4.8</v>
      </c>
      <c r="Y27" s="2"/>
      <c r="Z27" s="2"/>
      <c r="AA27" s="2"/>
      <c r="AB27" s="2"/>
      <c r="AC27" s="2"/>
      <c r="AD27" s="2"/>
      <c r="AE27" s="2"/>
      <c r="AF27" s="2"/>
      <c r="AG27" s="2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</row>
    <row r="28" spans="1:97" s="11" customFormat="1" ht="10.5" customHeight="1" x14ac:dyDescent="0.2">
      <c r="A28" s="110">
        <v>296</v>
      </c>
      <c r="B28" s="111" t="s">
        <v>86</v>
      </c>
      <c r="C28" s="2">
        <v>75</v>
      </c>
      <c r="D28" s="2"/>
      <c r="E28" s="2">
        <v>9</v>
      </c>
      <c r="F28" s="2">
        <v>2.25</v>
      </c>
      <c r="G28" s="2"/>
      <c r="H28" s="2"/>
      <c r="I28" s="2"/>
      <c r="J28" s="2"/>
      <c r="K28" s="2"/>
      <c r="L28" s="2"/>
      <c r="M28" s="2"/>
      <c r="N28" s="2"/>
      <c r="O28" s="2"/>
      <c r="P28" s="2">
        <v>41</v>
      </c>
      <c r="Q28" s="2"/>
      <c r="R28" s="2">
        <v>13</v>
      </c>
      <c r="S28" s="2"/>
      <c r="T28" s="2"/>
      <c r="U28" s="2">
        <v>5</v>
      </c>
      <c r="V28" s="2">
        <v>7.5</v>
      </c>
      <c r="W28" s="2">
        <v>5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</row>
    <row r="29" spans="1:97" s="11" customFormat="1" ht="10.5" customHeight="1" x14ac:dyDescent="0.2">
      <c r="A29" s="117">
        <v>302</v>
      </c>
      <c r="B29" s="111" t="s">
        <v>125</v>
      </c>
      <c r="C29" s="2">
        <v>130</v>
      </c>
      <c r="D29" s="2"/>
      <c r="E29" s="2"/>
      <c r="F29" s="2"/>
      <c r="G29" s="2">
        <f>22*1.3</f>
        <v>28.6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>
        <v>5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</row>
    <row r="30" spans="1:97" s="11" customFormat="1" ht="10.5" customHeight="1" x14ac:dyDescent="0.2">
      <c r="A30" s="110" t="s">
        <v>95</v>
      </c>
      <c r="B30" s="111" t="s">
        <v>66</v>
      </c>
      <c r="C30" s="2">
        <v>200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100</v>
      </c>
      <c r="S30" s="2"/>
      <c r="T30" s="2"/>
      <c r="U30" s="2"/>
      <c r="V30" s="2"/>
      <c r="W30" s="2"/>
      <c r="X30" s="2"/>
      <c r="Y30" s="2"/>
      <c r="Z30" s="2">
        <v>10</v>
      </c>
      <c r="AA30" s="2"/>
      <c r="AB30" s="2"/>
      <c r="AC30" s="2"/>
      <c r="AD30" s="2">
        <v>2.5</v>
      </c>
      <c r="AE30" s="2"/>
      <c r="AF30" s="2"/>
      <c r="AG30" s="2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</row>
    <row r="31" spans="1:97" s="11" customFormat="1" ht="10.5" customHeight="1" x14ac:dyDescent="0.2">
      <c r="A31" s="110"/>
      <c r="B31" s="111" t="s">
        <v>4</v>
      </c>
      <c r="C31" s="2">
        <v>25</v>
      </c>
      <c r="D31" s="2"/>
      <c r="E31" s="2">
        <v>25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</row>
    <row r="32" spans="1:97" s="11" customFormat="1" ht="10.5" customHeight="1" x14ac:dyDescent="0.2">
      <c r="A32" s="110"/>
      <c r="B32" s="111" t="s">
        <v>128</v>
      </c>
      <c r="C32" s="2">
        <v>25</v>
      </c>
      <c r="D32" s="2">
        <v>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</row>
    <row r="33" spans="1:97" s="11" customFormat="1" ht="10.5" customHeight="1" x14ac:dyDescent="0.2">
      <c r="A33" s="110"/>
      <c r="B33" s="111" t="s">
        <v>126</v>
      </c>
      <c r="C33" s="2">
        <v>150</v>
      </c>
      <c r="D33" s="2"/>
      <c r="E33" s="2"/>
      <c r="F33" s="2"/>
      <c r="G33" s="2"/>
      <c r="H33" s="2"/>
      <c r="I33" s="2"/>
      <c r="J33" s="2"/>
      <c r="K33" s="2"/>
      <c r="L33" s="2"/>
      <c r="M33" s="2">
        <v>150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</row>
    <row r="34" spans="1:97" s="11" customFormat="1" ht="10.5" customHeight="1" x14ac:dyDescent="0.2">
      <c r="A34" s="7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</row>
    <row r="35" spans="1:97" s="16" customFormat="1" ht="10.5" customHeight="1" x14ac:dyDescent="0.2">
      <c r="A35" s="77"/>
      <c r="B35" s="13" t="s">
        <v>157</v>
      </c>
      <c r="C35" s="14">
        <f t="shared" ref="C35:J35" si="2">SUM(C27:C33)</f>
        <v>685</v>
      </c>
      <c r="D35" s="14">
        <f t="shared" si="2"/>
        <v>25</v>
      </c>
      <c r="E35" s="14">
        <f t="shared" si="2"/>
        <v>34</v>
      </c>
      <c r="F35" s="14">
        <f t="shared" si="2"/>
        <v>2.25</v>
      </c>
      <c r="G35" s="14">
        <f t="shared" si="2"/>
        <v>28.6</v>
      </c>
      <c r="H35" s="14">
        <f t="shared" si="2"/>
        <v>0</v>
      </c>
      <c r="I35" s="14">
        <f t="shared" si="2"/>
        <v>0</v>
      </c>
      <c r="J35" s="14">
        <f t="shared" si="2"/>
        <v>77</v>
      </c>
      <c r="K35" s="14"/>
      <c r="L35" s="14">
        <f t="shared" ref="L35:AG35" si="3">SUM(L27:L33)</f>
        <v>0</v>
      </c>
      <c r="M35" s="14">
        <f t="shared" si="3"/>
        <v>150</v>
      </c>
      <c r="N35" s="14">
        <f t="shared" si="3"/>
        <v>0</v>
      </c>
      <c r="O35" s="14">
        <f t="shared" si="3"/>
        <v>0</v>
      </c>
      <c r="P35" s="14">
        <f t="shared" si="3"/>
        <v>41</v>
      </c>
      <c r="Q35" s="14">
        <f t="shared" si="3"/>
        <v>0</v>
      </c>
      <c r="R35" s="14">
        <f t="shared" si="3"/>
        <v>113</v>
      </c>
      <c r="S35" s="14">
        <f t="shared" si="3"/>
        <v>0</v>
      </c>
      <c r="T35" s="14">
        <f t="shared" si="3"/>
        <v>0</v>
      </c>
      <c r="U35" s="14">
        <f t="shared" si="3"/>
        <v>5</v>
      </c>
      <c r="V35" s="14">
        <f t="shared" si="3"/>
        <v>7.5</v>
      </c>
      <c r="W35" s="14">
        <f t="shared" si="3"/>
        <v>10</v>
      </c>
      <c r="X35" s="14">
        <f t="shared" si="3"/>
        <v>4.8</v>
      </c>
      <c r="Y35" s="14">
        <f t="shared" si="3"/>
        <v>0</v>
      </c>
      <c r="Z35" s="14">
        <f t="shared" si="3"/>
        <v>10</v>
      </c>
      <c r="AA35" s="14">
        <f t="shared" si="3"/>
        <v>0</v>
      </c>
      <c r="AB35" s="14">
        <f t="shared" si="3"/>
        <v>0</v>
      </c>
      <c r="AC35" s="14">
        <f t="shared" si="3"/>
        <v>0</v>
      </c>
      <c r="AD35" s="14">
        <f t="shared" si="3"/>
        <v>2.5</v>
      </c>
      <c r="AE35" s="14">
        <f t="shared" si="3"/>
        <v>0</v>
      </c>
      <c r="AF35" s="14">
        <f t="shared" si="3"/>
        <v>0</v>
      </c>
      <c r="AG35" s="14">
        <f t="shared" si="3"/>
        <v>0</v>
      </c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</row>
    <row r="36" spans="1:97" s="15" customFormat="1" ht="10.5" customHeight="1" x14ac:dyDescent="0.2">
      <c r="A36" s="79"/>
      <c r="B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97" s="10" customFormat="1" ht="10.5" customHeight="1" x14ac:dyDescent="0.2">
      <c r="A37" s="189" t="s">
        <v>112</v>
      </c>
      <c r="B37" s="19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</row>
    <row r="38" spans="1:97" s="11" customFormat="1" ht="10.5" customHeight="1" x14ac:dyDescent="0.2">
      <c r="A38" s="110"/>
      <c r="B38" s="111" t="s">
        <v>127</v>
      </c>
      <c r="C38" s="2">
        <v>80</v>
      </c>
      <c r="D38" s="2"/>
      <c r="E38" s="2"/>
      <c r="F38" s="2"/>
      <c r="G38" s="2"/>
      <c r="H38" s="2"/>
      <c r="I38" s="2"/>
      <c r="J38" s="2">
        <v>80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>
        <v>4</v>
      </c>
      <c r="Y38" s="2"/>
      <c r="Z38" s="2">
        <v>3</v>
      </c>
      <c r="AA38" s="2"/>
      <c r="AB38" s="2"/>
      <c r="AC38" s="2"/>
      <c r="AD38" s="2"/>
      <c r="AE38" s="2"/>
      <c r="AF38" s="2"/>
      <c r="AG38" s="2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</row>
    <row r="39" spans="1:97" s="11" customFormat="1" ht="10.5" customHeight="1" x14ac:dyDescent="0.2">
      <c r="A39" s="110" t="s">
        <v>106</v>
      </c>
      <c r="B39" s="111" t="s">
        <v>105</v>
      </c>
      <c r="C39" s="2">
        <v>110</v>
      </c>
      <c r="D39" s="2"/>
      <c r="E39" s="2"/>
      <c r="F39" s="2">
        <v>2.5</v>
      </c>
      <c r="G39" s="2"/>
      <c r="H39" s="2"/>
      <c r="I39" s="2"/>
      <c r="J39" s="2">
        <v>6</v>
      </c>
      <c r="K39" s="2"/>
      <c r="L39" s="2"/>
      <c r="M39" s="2"/>
      <c r="N39" s="2"/>
      <c r="O39" s="2"/>
      <c r="P39" s="2"/>
      <c r="Q39" s="1">
        <f>37*2</f>
        <v>74</v>
      </c>
      <c r="R39" s="2">
        <v>25</v>
      </c>
      <c r="S39" s="2"/>
      <c r="T39" s="2"/>
      <c r="U39" s="2">
        <v>4</v>
      </c>
      <c r="V39" s="2"/>
      <c r="W39" s="2">
        <v>5</v>
      </c>
      <c r="X39" s="2">
        <v>4</v>
      </c>
      <c r="Y39" s="2"/>
      <c r="Z39" s="2"/>
      <c r="AA39" s="2"/>
      <c r="AB39" s="2"/>
      <c r="AC39" s="2"/>
      <c r="AD39" s="2"/>
      <c r="AE39" s="2"/>
      <c r="AF39" s="2"/>
      <c r="AG39" s="2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</row>
    <row r="40" spans="1:97" s="11" customFormat="1" ht="10.5" customHeight="1" x14ac:dyDescent="0.2">
      <c r="A40" s="110">
        <v>312</v>
      </c>
      <c r="B40" s="111" t="s">
        <v>75</v>
      </c>
      <c r="C40" s="2">
        <v>150</v>
      </c>
      <c r="D40" s="2"/>
      <c r="E40" s="2"/>
      <c r="F40" s="2"/>
      <c r="G40" s="2"/>
      <c r="H40" s="2"/>
      <c r="I40" s="2">
        <f>85.5*1.5</f>
        <v>128.25</v>
      </c>
      <c r="J40" s="2"/>
      <c r="K40" s="2"/>
      <c r="L40" s="2"/>
      <c r="M40" s="2"/>
      <c r="N40" s="2"/>
      <c r="O40" s="2"/>
      <c r="P40" s="2"/>
      <c r="Q40" s="1"/>
      <c r="R40" s="2">
        <f>15*1.5</f>
        <v>22.5</v>
      </c>
      <c r="S40" s="2"/>
      <c r="T40" s="2"/>
      <c r="U40" s="2"/>
      <c r="V40" s="2"/>
      <c r="W40" s="2">
        <f>3.5*1.5</f>
        <v>5.25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</row>
    <row r="41" spans="1:97" s="11" customFormat="1" ht="10.5" customHeight="1" x14ac:dyDescent="0.2">
      <c r="A41" s="110">
        <v>377</v>
      </c>
      <c r="B41" s="111" t="s">
        <v>38</v>
      </c>
      <c r="C41" s="2">
        <v>200</v>
      </c>
      <c r="D41" s="2"/>
      <c r="E41" s="2"/>
      <c r="F41" s="2"/>
      <c r="G41" s="2"/>
      <c r="H41" s="2"/>
      <c r="I41" s="2"/>
      <c r="J41" s="2"/>
      <c r="K41" s="2">
        <v>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>
        <v>10</v>
      </c>
      <c r="AA41" s="2"/>
      <c r="AB41" s="2">
        <v>0.4</v>
      </c>
      <c r="AC41" s="2"/>
      <c r="AD41" s="2"/>
      <c r="AE41" s="2"/>
      <c r="AF41" s="2"/>
      <c r="AG41" s="2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</row>
    <row r="42" spans="1:97" s="11" customFormat="1" ht="10.5" customHeight="1" x14ac:dyDescent="0.2">
      <c r="A42" s="110"/>
      <c r="B42" s="111" t="s">
        <v>128</v>
      </c>
      <c r="C42" s="2">
        <v>25</v>
      </c>
      <c r="D42" s="2">
        <v>25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</row>
    <row r="43" spans="1:97" ht="10.5" customHeight="1" x14ac:dyDescent="0.2">
      <c r="A43" s="116" t="s">
        <v>39</v>
      </c>
      <c r="B43" s="111" t="s">
        <v>94</v>
      </c>
      <c r="C43" s="1">
        <v>50</v>
      </c>
      <c r="F43" s="1">
        <v>25.5</v>
      </c>
      <c r="K43" s="1">
        <v>15</v>
      </c>
      <c r="R43" s="1">
        <v>15</v>
      </c>
      <c r="W43" s="1">
        <v>5</v>
      </c>
      <c r="Z43" s="1">
        <v>4</v>
      </c>
      <c r="AE43" s="1">
        <v>1</v>
      </c>
    </row>
    <row r="44" spans="1:97" s="11" customFormat="1" ht="10.5" customHeight="1" x14ac:dyDescent="0.2">
      <c r="A44" s="7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</row>
    <row r="45" spans="1:97" s="16" customFormat="1" ht="10.5" customHeight="1" x14ac:dyDescent="0.2">
      <c r="A45" s="77"/>
      <c r="B45" s="13" t="s">
        <v>157</v>
      </c>
      <c r="C45" s="14">
        <f t="shared" ref="C45:AG45" si="4">SUM(C38:C44)</f>
        <v>615</v>
      </c>
      <c r="D45" s="14">
        <f t="shared" si="4"/>
        <v>25</v>
      </c>
      <c r="E45" s="14">
        <f t="shared" si="4"/>
        <v>0</v>
      </c>
      <c r="F45" s="14">
        <f t="shared" si="4"/>
        <v>28</v>
      </c>
      <c r="G45" s="14">
        <f t="shared" si="4"/>
        <v>0</v>
      </c>
      <c r="H45" s="14">
        <f t="shared" si="4"/>
        <v>0</v>
      </c>
      <c r="I45" s="14">
        <f t="shared" si="4"/>
        <v>128.25</v>
      </c>
      <c r="J45" s="14">
        <f t="shared" si="4"/>
        <v>86</v>
      </c>
      <c r="K45" s="14">
        <f t="shared" si="4"/>
        <v>22</v>
      </c>
      <c r="L45" s="14">
        <f t="shared" si="4"/>
        <v>0</v>
      </c>
      <c r="M45" s="14">
        <f t="shared" si="4"/>
        <v>0</v>
      </c>
      <c r="N45" s="14">
        <f t="shared" si="4"/>
        <v>0</v>
      </c>
      <c r="O45" s="14">
        <f t="shared" si="4"/>
        <v>0</v>
      </c>
      <c r="P45" s="14">
        <f t="shared" si="4"/>
        <v>0</v>
      </c>
      <c r="Q45" s="14">
        <f t="shared" si="4"/>
        <v>74</v>
      </c>
      <c r="R45" s="14">
        <f t="shared" si="4"/>
        <v>62.5</v>
      </c>
      <c r="S45" s="14">
        <f t="shared" si="4"/>
        <v>0</v>
      </c>
      <c r="T45" s="14">
        <f t="shared" si="4"/>
        <v>0</v>
      </c>
      <c r="U45" s="14">
        <f t="shared" si="4"/>
        <v>4</v>
      </c>
      <c r="V45" s="14">
        <f t="shared" si="4"/>
        <v>0</v>
      </c>
      <c r="W45" s="14">
        <f t="shared" si="4"/>
        <v>15.25</v>
      </c>
      <c r="X45" s="14">
        <f t="shared" si="4"/>
        <v>8</v>
      </c>
      <c r="Y45" s="14">
        <f t="shared" si="4"/>
        <v>0</v>
      </c>
      <c r="Z45" s="14">
        <f t="shared" si="4"/>
        <v>17</v>
      </c>
      <c r="AA45" s="14">
        <f t="shared" si="4"/>
        <v>0</v>
      </c>
      <c r="AB45" s="14">
        <f t="shared" si="4"/>
        <v>0.4</v>
      </c>
      <c r="AC45" s="14">
        <f t="shared" si="4"/>
        <v>0</v>
      </c>
      <c r="AD45" s="14">
        <f t="shared" si="4"/>
        <v>0</v>
      </c>
      <c r="AE45" s="14">
        <f t="shared" si="4"/>
        <v>1</v>
      </c>
      <c r="AF45" s="14">
        <f t="shared" si="4"/>
        <v>0</v>
      </c>
      <c r="AG45" s="14">
        <f t="shared" si="4"/>
        <v>0</v>
      </c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</row>
    <row r="46" spans="1:97" s="15" customFormat="1" ht="10.5" customHeight="1" x14ac:dyDescent="0.2">
      <c r="A46" s="79"/>
      <c r="B46" s="2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97" s="10" customFormat="1" ht="10.5" customHeight="1" x14ac:dyDescent="0.2">
      <c r="A47" s="189" t="s">
        <v>113</v>
      </c>
      <c r="B47" s="190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</row>
    <row r="48" spans="1:97" s="11" customFormat="1" ht="10.5" customHeight="1" x14ac:dyDescent="0.2">
      <c r="A48" s="117"/>
      <c r="B48" s="115" t="s">
        <v>129</v>
      </c>
      <c r="C48" s="20">
        <v>70</v>
      </c>
      <c r="D48" s="2"/>
      <c r="E48" s="2"/>
      <c r="F48" s="2"/>
      <c r="G48" s="2"/>
      <c r="H48" s="2"/>
      <c r="I48" s="2"/>
      <c r="J48" s="2">
        <v>70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</row>
    <row r="49" spans="1:97" s="11" customFormat="1" ht="10.5" customHeight="1" x14ac:dyDescent="0.2">
      <c r="A49" s="110">
        <v>212</v>
      </c>
      <c r="B49" s="111" t="s">
        <v>96</v>
      </c>
      <c r="C49" s="2">
        <v>150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v>37.5</v>
      </c>
      <c r="P49" s="2"/>
      <c r="Q49" s="2"/>
      <c r="R49" s="2">
        <v>32.6</v>
      </c>
      <c r="S49" s="2"/>
      <c r="T49" s="2"/>
      <c r="U49" s="2"/>
      <c r="V49" s="2"/>
      <c r="W49" s="2">
        <v>9.1999999999999993</v>
      </c>
      <c r="X49" s="2"/>
      <c r="Y49" s="2">
        <v>92.4</v>
      </c>
      <c r="Z49" s="2"/>
      <c r="AA49" s="2"/>
      <c r="AB49" s="2"/>
      <c r="AC49" s="2"/>
      <c r="AD49" s="2"/>
      <c r="AE49" s="2"/>
      <c r="AF49" s="2"/>
      <c r="AG49" s="2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</row>
    <row r="50" spans="1:97" s="11" customFormat="1" ht="10.5" customHeight="1" x14ac:dyDescent="0.2">
      <c r="A50" s="110"/>
      <c r="B50" s="111" t="s">
        <v>92</v>
      </c>
      <c r="C50" s="2">
        <v>200</v>
      </c>
      <c r="D50" s="2"/>
      <c r="E50" s="2"/>
      <c r="F50" s="2"/>
      <c r="G50" s="2"/>
      <c r="H50" s="2"/>
      <c r="I50" s="2"/>
      <c r="J50" s="2"/>
      <c r="K50" s="2">
        <v>40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>
        <v>5</v>
      </c>
      <c r="AA50" s="2"/>
      <c r="AB50" s="2">
        <v>0.1</v>
      </c>
      <c r="AC50" s="2"/>
      <c r="AD50" s="2"/>
      <c r="AE50" s="2"/>
      <c r="AF50" s="2"/>
      <c r="AG50" s="2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</row>
    <row r="51" spans="1:97" s="11" customFormat="1" ht="10.5" customHeight="1" x14ac:dyDescent="0.2">
      <c r="A51" s="118"/>
      <c r="B51" s="111" t="s">
        <v>4</v>
      </c>
      <c r="C51" s="2">
        <v>40</v>
      </c>
      <c r="D51" s="2"/>
      <c r="E51" s="2">
        <v>40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</row>
    <row r="52" spans="1:97" ht="10.5" customHeight="1" x14ac:dyDescent="0.2">
      <c r="A52" s="119"/>
      <c r="B52" s="111" t="s">
        <v>128</v>
      </c>
      <c r="C52" s="2">
        <v>25</v>
      </c>
      <c r="D52" s="2">
        <v>25</v>
      </c>
    </row>
    <row r="53" spans="1:97" s="11" customFormat="1" ht="10.5" customHeight="1" x14ac:dyDescent="0.2">
      <c r="A53" s="110">
        <v>368</v>
      </c>
      <c r="B53" s="111" t="s">
        <v>136</v>
      </c>
      <c r="C53" s="2">
        <v>120</v>
      </c>
      <c r="D53" s="2"/>
      <c r="E53" s="2"/>
      <c r="F53" s="2"/>
      <c r="G53" s="2"/>
      <c r="H53" s="2"/>
      <c r="I53" s="2"/>
      <c r="J53" s="2"/>
      <c r="K53" s="2">
        <v>120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</row>
    <row r="54" spans="1:97" s="11" customFormat="1" ht="10.5" customHeight="1" x14ac:dyDescent="0.2">
      <c r="A54" s="7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</row>
    <row r="55" spans="1:97" s="16" customFormat="1" ht="10.5" customHeight="1" x14ac:dyDescent="0.2">
      <c r="A55" s="77"/>
      <c r="B55" s="13" t="s">
        <v>157</v>
      </c>
      <c r="C55" s="14">
        <f t="shared" ref="C55:J55" si="5">SUM(C48:C53)</f>
        <v>605</v>
      </c>
      <c r="D55" s="14">
        <f t="shared" si="5"/>
        <v>25</v>
      </c>
      <c r="E55" s="14">
        <f t="shared" si="5"/>
        <v>40</v>
      </c>
      <c r="F55" s="14">
        <f t="shared" si="5"/>
        <v>0</v>
      </c>
      <c r="G55" s="14">
        <f t="shared" si="5"/>
        <v>0</v>
      </c>
      <c r="H55" s="14">
        <f t="shared" si="5"/>
        <v>0</v>
      </c>
      <c r="I55" s="14">
        <f t="shared" si="5"/>
        <v>0</v>
      </c>
      <c r="J55" s="14">
        <f t="shared" si="5"/>
        <v>70</v>
      </c>
      <c r="K55" s="14">
        <f>K48+K49+K50+K51+K53+K52</f>
        <v>160</v>
      </c>
      <c r="L55" s="14">
        <f t="shared" ref="L55:AG55" si="6">SUM(L48:L53)</f>
        <v>0</v>
      </c>
      <c r="M55" s="14">
        <f t="shared" si="6"/>
        <v>0</v>
      </c>
      <c r="N55" s="14">
        <f t="shared" si="6"/>
        <v>0</v>
      </c>
      <c r="O55" s="14">
        <f t="shared" si="6"/>
        <v>37.5</v>
      </c>
      <c r="P55" s="14">
        <f t="shared" si="6"/>
        <v>0</v>
      </c>
      <c r="Q55" s="14">
        <f t="shared" si="6"/>
        <v>0</v>
      </c>
      <c r="R55" s="14">
        <f t="shared" si="6"/>
        <v>32.6</v>
      </c>
      <c r="S55" s="14">
        <f t="shared" si="6"/>
        <v>0</v>
      </c>
      <c r="T55" s="14">
        <f t="shared" si="6"/>
        <v>0</v>
      </c>
      <c r="U55" s="14">
        <f t="shared" si="6"/>
        <v>0</v>
      </c>
      <c r="V55" s="14">
        <f t="shared" si="6"/>
        <v>0</v>
      </c>
      <c r="W55" s="14">
        <f t="shared" si="6"/>
        <v>9.1999999999999993</v>
      </c>
      <c r="X55" s="14">
        <f t="shared" si="6"/>
        <v>0</v>
      </c>
      <c r="Y55" s="14">
        <f t="shared" si="6"/>
        <v>92.4</v>
      </c>
      <c r="Z55" s="14">
        <f t="shared" si="6"/>
        <v>5</v>
      </c>
      <c r="AA55" s="14">
        <f t="shared" si="6"/>
        <v>0</v>
      </c>
      <c r="AB55" s="14">
        <f t="shared" si="6"/>
        <v>0.1</v>
      </c>
      <c r="AC55" s="14">
        <f t="shared" si="6"/>
        <v>0</v>
      </c>
      <c r="AD55" s="14">
        <f t="shared" si="6"/>
        <v>0</v>
      </c>
      <c r="AE55" s="14">
        <f t="shared" si="6"/>
        <v>0</v>
      </c>
      <c r="AF55" s="14">
        <f t="shared" si="6"/>
        <v>0</v>
      </c>
      <c r="AG55" s="14">
        <f t="shared" si="6"/>
        <v>0</v>
      </c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</row>
    <row r="56" spans="1:97" ht="10.5" customHeight="1" x14ac:dyDescent="0.2">
      <c r="A56" s="76"/>
    </row>
    <row r="57" spans="1:97" s="10" customFormat="1" ht="10.5" customHeight="1" x14ac:dyDescent="0.2">
      <c r="A57" s="189" t="s">
        <v>114</v>
      </c>
      <c r="B57" s="190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</row>
    <row r="58" spans="1:97" s="11" customFormat="1" ht="10.5" customHeight="1" x14ac:dyDescent="0.2">
      <c r="A58" s="110"/>
      <c r="B58" s="111" t="s">
        <v>120</v>
      </c>
      <c r="C58" s="2">
        <v>60</v>
      </c>
      <c r="D58" s="2"/>
      <c r="E58" s="2"/>
      <c r="F58" s="2"/>
      <c r="G58" s="2"/>
      <c r="H58" s="2"/>
      <c r="I58" s="2"/>
      <c r="J58" s="2">
        <v>60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</row>
    <row r="59" spans="1:97" s="11" customFormat="1" ht="10.5" customHeight="1" x14ac:dyDescent="0.2">
      <c r="A59" s="110">
        <v>269</v>
      </c>
      <c r="B59" s="111" t="s">
        <v>88</v>
      </c>
      <c r="C59" s="2">
        <f>50*1.4</f>
        <v>70</v>
      </c>
      <c r="D59" s="2"/>
      <c r="E59" s="2">
        <v>18</v>
      </c>
      <c r="F59" s="2"/>
      <c r="G59" s="2"/>
      <c r="H59" s="2"/>
      <c r="I59" s="2"/>
      <c r="J59" s="2"/>
      <c r="K59" s="2"/>
      <c r="L59" s="2"/>
      <c r="M59" s="2"/>
      <c r="N59" s="2">
        <f>(28+12)*1.4</f>
        <v>56</v>
      </c>
      <c r="O59" s="2"/>
      <c r="P59" s="2"/>
      <c r="Q59" s="2"/>
      <c r="R59" s="2">
        <f>10*1.4</f>
        <v>14</v>
      </c>
      <c r="S59" s="2"/>
      <c r="T59" s="2"/>
      <c r="U59" s="2"/>
      <c r="V59" s="2"/>
      <c r="W59" s="2"/>
      <c r="X59" s="2">
        <v>3</v>
      </c>
      <c r="Y59" s="2"/>
      <c r="Z59" s="2"/>
      <c r="AA59" s="2"/>
      <c r="AB59" s="2"/>
      <c r="AC59" s="2"/>
      <c r="AD59" s="2"/>
      <c r="AE59" s="2"/>
      <c r="AF59" s="2"/>
      <c r="AG59" s="2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</row>
    <row r="60" spans="1:97" s="11" customFormat="1" ht="10.5" customHeight="1" x14ac:dyDescent="0.2">
      <c r="A60" s="117" t="s">
        <v>70</v>
      </c>
      <c r="B60" s="115" t="s">
        <v>71</v>
      </c>
      <c r="C60" s="20">
        <v>160</v>
      </c>
      <c r="D60" s="2"/>
      <c r="E60" s="2"/>
      <c r="F60" s="2">
        <v>1.5</v>
      </c>
      <c r="G60" s="2"/>
      <c r="H60" s="2"/>
      <c r="I60" s="2">
        <v>50</v>
      </c>
      <c r="J60" s="2">
        <f>14+5+16+23+10</f>
        <v>68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>
        <v>5</v>
      </c>
      <c r="X60" s="2"/>
      <c r="Y60" s="2"/>
      <c r="Z60" s="2"/>
      <c r="AA60" s="2"/>
      <c r="AB60" s="2"/>
      <c r="AC60" s="2"/>
      <c r="AD60" s="2"/>
      <c r="AE60" s="2"/>
      <c r="AF60" s="2"/>
      <c r="AG60" s="2">
        <v>0.3</v>
      </c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</row>
    <row r="61" spans="1:97" s="11" customFormat="1" ht="10.5" customHeight="1" x14ac:dyDescent="0.2">
      <c r="A61" s="110"/>
      <c r="B61" s="111" t="s">
        <v>90</v>
      </c>
      <c r="C61" s="2">
        <v>200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>
        <v>10</v>
      </c>
      <c r="AA61" s="2"/>
      <c r="AB61" s="2">
        <v>0.4</v>
      </c>
      <c r="AC61" s="2"/>
      <c r="AD61" s="2"/>
      <c r="AE61" s="2"/>
      <c r="AF61" s="2"/>
      <c r="AG61" s="2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</row>
    <row r="62" spans="1:97" s="11" customFormat="1" ht="10.5" customHeight="1" x14ac:dyDescent="0.2">
      <c r="A62" s="110"/>
      <c r="B62" s="111" t="s">
        <v>128</v>
      </c>
      <c r="C62" s="2">
        <v>25</v>
      </c>
      <c r="D62" s="2">
        <v>25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</row>
    <row r="63" spans="1:97" s="11" customFormat="1" ht="10.5" customHeight="1" x14ac:dyDescent="0.2">
      <c r="A63" s="110"/>
      <c r="B63" s="111" t="s">
        <v>4</v>
      </c>
      <c r="C63" s="2">
        <v>25</v>
      </c>
      <c r="D63" s="2"/>
      <c r="E63" s="2">
        <v>25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</row>
    <row r="64" spans="1:97" s="11" customFormat="1" ht="10.5" customHeight="1" x14ac:dyDescent="0.2">
      <c r="A64" s="110"/>
      <c r="B64" s="111" t="s">
        <v>137</v>
      </c>
      <c r="C64" s="2">
        <v>200</v>
      </c>
      <c r="D64" s="2"/>
      <c r="E64" s="2"/>
      <c r="F64" s="2"/>
      <c r="G64" s="2"/>
      <c r="H64" s="2"/>
      <c r="I64" s="2"/>
      <c r="J64" s="2"/>
      <c r="K64" s="2"/>
      <c r="L64" s="2"/>
      <c r="M64" s="2">
        <v>200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</row>
    <row r="65" spans="1:97" s="11" customFormat="1" ht="10.5" customHeight="1" x14ac:dyDescent="0.2">
      <c r="A65" s="7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</row>
    <row r="66" spans="1:97" s="16" customFormat="1" ht="10.5" customHeight="1" x14ac:dyDescent="0.2">
      <c r="A66" s="77"/>
      <c r="B66" s="13" t="s">
        <v>157</v>
      </c>
      <c r="C66" s="14">
        <f t="shared" ref="C66:AF66" si="7">SUM(C58:C65)</f>
        <v>740</v>
      </c>
      <c r="D66" s="14">
        <f t="shared" si="7"/>
        <v>25</v>
      </c>
      <c r="E66" s="14">
        <f t="shared" si="7"/>
        <v>43</v>
      </c>
      <c r="F66" s="14">
        <f t="shared" si="7"/>
        <v>1.5</v>
      </c>
      <c r="G66" s="14">
        <f t="shared" si="7"/>
        <v>0</v>
      </c>
      <c r="H66" s="14">
        <f t="shared" si="7"/>
        <v>0</v>
      </c>
      <c r="I66" s="14">
        <f t="shared" si="7"/>
        <v>50</v>
      </c>
      <c r="J66" s="14">
        <f t="shared" si="7"/>
        <v>128</v>
      </c>
      <c r="K66" s="14">
        <f t="shared" si="7"/>
        <v>0</v>
      </c>
      <c r="L66" s="14">
        <f t="shared" si="7"/>
        <v>0</v>
      </c>
      <c r="M66" s="14">
        <f t="shared" si="7"/>
        <v>200</v>
      </c>
      <c r="N66" s="14">
        <f t="shared" si="7"/>
        <v>56</v>
      </c>
      <c r="O66" s="14">
        <f t="shared" si="7"/>
        <v>0</v>
      </c>
      <c r="P66" s="14">
        <f t="shared" si="7"/>
        <v>0</v>
      </c>
      <c r="Q66" s="14">
        <f t="shared" si="7"/>
        <v>0</v>
      </c>
      <c r="R66" s="14">
        <f t="shared" si="7"/>
        <v>14</v>
      </c>
      <c r="S66" s="14">
        <f t="shared" si="7"/>
        <v>0</v>
      </c>
      <c r="T66" s="14">
        <f t="shared" si="7"/>
        <v>0</v>
      </c>
      <c r="U66" s="14">
        <f t="shared" si="7"/>
        <v>0</v>
      </c>
      <c r="V66" s="14">
        <f t="shared" si="7"/>
        <v>0</v>
      </c>
      <c r="W66" s="14">
        <f t="shared" si="7"/>
        <v>5</v>
      </c>
      <c r="X66" s="14">
        <f t="shared" si="7"/>
        <v>3</v>
      </c>
      <c r="Y66" s="14">
        <f t="shared" si="7"/>
        <v>0</v>
      </c>
      <c r="Z66" s="14">
        <f t="shared" si="7"/>
        <v>10</v>
      </c>
      <c r="AA66" s="14">
        <f t="shared" si="7"/>
        <v>0</v>
      </c>
      <c r="AB66" s="14">
        <f t="shared" si="7"/>
        <v>0.4</v>
      </c>
      <c r="AC66" s="14">
        <f t="shared" si="7"/>
        <v>0</v>
      </c>
      <c r="AD66" s="14">
        <f t="shared" si="7"/>
        <v>0</v>
      </c>
      <c r="AE66" s="14">
        <f t="shared" si="7"/>
        <v>0</v>
      </c>
      <c r="AF66" s="14">
        <f t="shared" si="7"/>
        <v>0</v>
      </c>
      <c r="AG66" s="14">
        <f>SUM(AG59:AG64)</f>
        <v>0.3</v>
      </c>
      <c r="AH66" s="24">
        <f>SUM(AH59:AH64)</f>
        <v>0</v>
      </c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</row>
    <row r="67" spans="1:97" s="11" customFormat="1" ht="10.5" customHeight="1" x14ac:dyDescent="0.2">
      <c r="A67" s="7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</row>
    <row r="68" spans="1:97" s="25" customFormat="1" ht="10.5" customHeight="1" x14ac:dyDescent="0.2">
      <c r="A68" s="189" t="s">
        <v>115</v>
      </c>
      <c r="B68" s="19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</row>
    <row r="69" spans="1:97" s="11" customFormat="1" ht="10.5" customHeight="1" x14ac:dyDescent="0.2">
      <c r="A69" s="110"/>
      <c r="B69" s="111" t="s">
        <v>129</v>
      </c>
      <c r="C69" s="2">
        <v>70</v>
      </c>
      <c r="D69" s="2"/>
      <c r="E69" s="2"/>
      <c r="F69" s="2"/>
      <c r="G69" s="2"/>
      <c r="H69" s="2"/>
      <c r="I69" s="2"/>
      <c r="J69" s="2">
        <v>70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</row>
    <row r="70" spans="1:97" s="11" customFormat="1" ht="10.5" customHeight="1" x14ac:dyDescent="0.2">
      <c r="A70" s="110">
        <v>235</v>
      </c>
      <c r="B70" s="111" t="s">
        <v>85</v>
      </c>
      <c r="C70" s="2">
        <v>75</v>
      </c>
      <c r="D70" s="2"/>
      <c r="E70" s="2">
        <f>6*1.5</f>
        <v>9</v>
      </c>
      <c r="F70" s="2"/>
      <c r="G70" s="2"/>
      <c r="H70" s="2"/>
      <c r="I70" s="2"/>
      <c r="J70" s="2">
        <f>(9+1)*1.5</f>
        <v>15</v>
      </c>
      <c r="K70" s="2"/>
      <c r="L70" s="2"/>
      <c r="M70" s="2"/>
      <c r="N70" s="2"/>
      <c r="O70" s="2"/>
      <c r="P70" s="2"/>
      <c r="Q70" s="2">
        <f>43*1.5</f>
        <v>64.5</v>
      </c>
      <c r="R70" s="2"/>
      <c r="S70" s="2"/>
      <c r="T70" s="2"/>
      <c r="U70" s="2"/>
      <c r="V70" s="2"/>
      <c r="W70" s="2"/>
      <c r="X70" s="2">
        <v>6</v>
      </c>
      <c r="Y70" s="2">
        <f>2*1.5</f>
        <v>3</v>
      </c>
      <c r="Z70" s="2"/>
      <c r="AA70" s="2"/>
      <c r="AB70" s="2"/>
      <c r="AC70" s="2"/>
      <c r="AD70" s="2"/>
      <c r="AE70" s="2"/>
      <c r="AF70" s="2"/>
      <c r="AG70" s="2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</row>
    <row r="71" spans="1:97" s="11" customFormat="1" ht="10.5" customHeight="1" x14ac:dyDescent="0.2">
      <c r="A71" s="110">
        <v>310</v>
      </c>
      <c r="B71" s="111" t="s">
        <v>84</v>
      </c>
      <c r="C71" s="2">
        <v>170</v>
      </c>
      <c r="D71" s="2"/>
      <c r="E71" s="2"/>
      <c r="F71" s="2"/>
      <c r="G71" s="2"/>
      <c r="H71" s="2"/>
      <c r="I71" s="2">
        <v>170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>
        <v>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</row>
    <row r="72" spans="1:97" s="11" customFormat="1" ht="10.5" customHeight="1" x14ac:dyDescent="0.2">
      <c r="A72" s="110" t="s">
        <v>39</v>
      </c>
      <c r="B72" s="111" t="s">
        <v>89</v>
      </c>
      <c r="C72" s="2">
        <v>200</v>
      </c>
      <c r="D72" s="2"/>
      <c r="E72" s="2"/>
      <c r="F72" s="2"/>
      <c r="G72" s="2"/>
      <c r="H72" s="2"/>
      <c r="I72" s="2"/>
      <c r="J72" s="2"/>
      <c r="K72" s="2"/>
      <c r="L72" s="2">
        <v>20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>
        <v>5</v>
      </c>
      <c r="AA72" s="2"/>
      <c r="AB72" s="2"/>
      <c r="AC72" s="2"/>
      <c r="AD72" s="2"/>
      <c r="AE72" s="2"/>
      <c r="AF72" s="2"/>
      <c r="AG72" s="2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</row>
    <row r="73" spans="1:97" s="11" customFormat="1" ht="10.5" customHeight="1" x14ac:dyDescent="0.2">
      <c r="A73" s="110"/>
      <c r="B73" s="111" t="s">
        <v>4</v>
      </c>
      <c r="C73" s="2">
        <v>40</v>
      </c>
      <c r="D73" s="2"/>
      <c r="E73" s="2">
        <v>40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</row>
    <row r="74" spans="1:97" s="11" customFormat="1" ht="10.5" customHeight="1" x14ac:dyDescent="0.2">
      <c r="A74" s="110"/>
      <c r="B74" s="111" t="s">
        <v>128</v>
      </c>
      <c r="C74" s="2">
        <v>25</v>
      </c>
      <c r="D74" s="2">
        <v>25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</row>
    <row r="75" spans="1:97" s="11" customFormat="1" ht="10.5" customHeight="1" x14ac:dyDescent="0.2">
      <c r="A75" s="110"/>
      <c r="B75" s="111" t="s">
        <v>135</v>
      </c>
      <c r="C75" s="2">
        <v>150</v>
      </c>
      <c r="D75" s="2"/>
      <c r="E75" s="2"/>
      <c r="F75" s="2"/>
      <c r="G75" s="2"/>
      <c r="H75" s="2"/>
      <c r="I75" s="2"/>
      <c r="J75" s="2"/>
      <c r="K75" s="2"/>
      <c r="L75" s="2"/>
      <c r="M75" s="2">
        <v>150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</row>
    <row r="76" spans="1:97" ht="10.5" customHeight="1" x14ac:dyDescent="0.2">
      <c r="A76" s="75"/>
      <c r="B76" s="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97" s="16" customFormat="1" ht="10.5" customHeight="1" x14ac:dyDescent="0.2">
      <c r="A77" s="77"/>
      <c r="B77" s="13" t="s">
        <v>157</v>
      </c>
      <c r="C77" s="14">
        <f t="shared" ref="C77:AG77" si="8">SUM(C69:C76)</f>
        <v>730</v>
      </c>
      <c r="D77" s="14">
        <f t="shared" si="8"/>
        <v>25</v>
      </c>
      <c r="E77" s="14">
        <f t="shared" si="8"/>
        <v>49</v>
      </c>
      <c r="F77" s="14">
        <f t="shared" si="8"/>
        <v>0</v>
      </c>
      <c r="G77" s="14">
        <f t="shared" si="8"/>
        <v>0</v>
      </c>
      <c r="H77" s="14">
        <f t="shared" si="8"/>
        <v>0</v>
      </c>
      <c r="I77" s="14">
        <f t="shared" si="8"/>
        <v>170</v>
      </c>
      <c r="J77" s="14">
        <f t="shared" si="8"/>
        <v>85</v>
      </c>
      <c r="K77" s="14">
        <f t="shared" si="8"/>
        <v>0</v>
      </c>
      <c r="L77" s="14">
        <f t="shared" si="8"/>
        <v>20</v>
      </c>
      <c r="M77" s="14">
        <f t="shared" si="8"/>
        <v>150</v>
      </c>
      <c r="N77" s="14">
        <f t="shared" si="8"/>
        <v>0</v>
      </c>
      <c r="O77" s="14">
        <f t="shared" si="8"/>
        <v>0</v>
      </c>
      <c r="P77" s="14">
        <f t="shared" si="8"/>
        <v>0</v>
      </c>
      <c r="Q77" s="14">
        <f t="shared" si="8"/>
        <v>64.5</v>
      </c>
      <c r="R77" s="14">
        <f t="shared" si="8"/>
        <v>0</v>
      </c>
      <c r="S77" s="14">
        <f t="shared" si="8"/>
        <v>0</v>
      </c>
      <c r="T77" s="14">
        <f t="shared" si="8"/>
        <v>0</v>
      </c>
      <c r="U77" s="14">
        <f t="shared" si="8"/>
        <v>0</v>
      </c>
      <c r="V77" s="14">
        <f t="shared" si="8"/>
        <v>0</v>
      </c>
      <c r="W77" s="14">
        <f t="shared" si="8"/>
        <v>6</v>
      </c>
      <c r="X77" s="14">
        <f t="shared" si="8"/>
        <v>6</v>
      </c>
      <c r="Y77" s="14">
        <f t="shared" si="8"/>
        <v>3</v>
      </c>
      <c r="Z77" s="14">
        <f t="shared" si="8"/>
        <v>5</v>
      </c>
      <c r="AA77" s="14">
        <f t="shared" si="8"/>
        <v>0</v>
      </c>
      <c r="AB77" s="14">
        <f t="shared" si="8"/>
        <v>0</v>
      </c>
      <c r="AC77" s="14">
        <f t="shared" si="8"/>
        <v>0</v>
      </c>
      <c r="AD77" s="14">
        <f t="shared" si="8"/>
        <v>0</v>
      </c>
      <c r="AE77" s="14">
        <f t="shared" si="8"/>
        <v>0</v>
      </c>
      <c r="AF77" s="14">
        <f t="shared" si="8"/>
        <v>0</v>
      </c>
      <c r="AG77" s="14">
        <f t="shared" si="8"/>
        <v>0</v>
      </c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</row>
    <row r="78" spans="1:97" ht="10.5" customHeight="1" x14ac:dyDescent="0.2">
      <c r="A78" s="76"/>
      <c r="B78" s="26"/>
    </row>
    <row r="79" spans="1:97" s="10" customFormat="1" ht="10.5" customHeight="1" x14ac:dyDescent="0.2">
      <c r="A79" s="189" t="s">
        <v>116</v>
      </c>
      <c r="B79" s="190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</row>
    <row r="80" spans="1:97" s="11" customFormat="1" ht="10.5" customHeight="1" x14ac:dyDescent="0.2">
      <c r="A80" s="110"/>
      <c r="B80" s="111" t="s">
        <v>131</v>
      </c>
      <c r="C80" s="2">
        <v>80</v>
      </c>
      <c r="D80" s="2"/>
      <c r="E80" s="2"/>
      <c r="F80" s="2"/>
      <c r="G80" s="2"/>
      <c r="H80" s="2"/>
      <c r="I80" s="2"/>
      <c r="J80" s="2">
        <v>77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>
        <v>4.8</v>
      </c>
      <c r="Y80" s="2"/>
      <c r="Z80" s="2"/>
      <c r="AA80" s="2"/>
      <c r="AB80" s="2"/>
      <c r="AC80" s="2"/>
      <c r="AD80" s="2"/>
      <c r="AE80" s="2"/>
      <c r="AF80" s="2"/>
      <c r="AG80" s="2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</row>
    <row r="81" spans="1:97" s="11" customFormat="1" ht="10.5" customHeight="1" x14ac:dyDescent="0.2">
      <c r="A81" s="110">
        <v>278</v>
      </c>
      <c r="B81" s="111" t="s">
        <v>73</v>
      </c>
      <c r="C81" s="2">
        <v>60</v>
      </c>
      <c r="D81" s="2"/>
      <c r="E81" s="2">
        <v>8</v>
      </c>
      <c r="F81" s="2">
        <v>2</v>
      </c>
      <c r="G81" s="2"/>
      <c r="H81" s="2"/>
      <c r="I81" s="2"/>
      <c r="J81" s="2">
        <v>20</v>
      </c>
      <c r="K81" s="2"/>
      <c r="L81" s="2"/>
      <c r="M81" s="2"/>
      <c r="N81" s="2">
        <v>38</v>
      </c>
      <c r="O81" s="2"/>
      <c r="P81" s="2"/>
      <c r="Q81" s="2"/>
      <c r="R81" s="2">
        <v>12</v>
      </c>
      <c r="S81" s="2"/>
      <c r="T81" s="2"/>
      <c r="U81" s="2"/>
      <c r="V81" s="2"/>
      <c r="W81" s="2"/>
      <c r="X81" s="2">
        <v>4</v>
      </c>
      <c r="Y81" s="2"/>
      <c r="Z81" s="2"/>
      <c r="AA81" s="2"/>
      <c r="AB81" s="2"/>
      <c r="AC81" s="2"/>
      <c r="AD81" s="2"/>
      <c r="AE81" s="2"/>
      <c r="AF81" s="2"/>
      <c r="AG81" s="2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</row>
    <row r="82" spans="1:97" s="11" customFormat="1" ht="10.5" customHeight="1" x14ac:dyDescent="0.2">
      <c r="A82" s="117">
        <v>330</v>
      </c>
      <c r="B82" s="111" t="s">
        <v>72</v>
      </c>
      <c r="C82" s="2">
        <v>50</v>
      </c>
      <c r="D82" s="2"/>
      <c r="E82" s="2"/>
      <c r="F82" s="2">
        <v>3.75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12.5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</row>
    <row r="83" spans="1:97" s="11" customFormat="1" ht="10.5" customHeight="1" x14ac:dyDescent="0.2">
      <c r="A83" s="110">
        <v>302</v>
      </c>
      <c r="B83" s="111" t="s">
        <v>132</v>
      </c>
      <c r="C83" s="2">
        <v>150</v>
      </c>
      <c r="D83" s="2"/>
      <c r="E83" s="2"/>
      <c r="F83" s="2"/>
      <c r="G83" s="2">
        <f>25*1.5</f>
        <v>37.5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>
        <v>6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</row>
    <row r="84" spans="1:97" s="11" customFormat="1" ht="10.5" customHeight="1" x14ac:dyDescent="0.2">
      <c r="A84" s="110">
        <v>342</v>
      </c>
      <c r="B84" s="111" t="s">
        <v>92</v>
      </c>
      <c r="C84" s="2">
        <v>200</v>
      </c>
      <c r="D84" s="2"/>
      <c r="E84" s="2"/>
      <c r="F84" s="2"/>
      <c r="G84" s="2"/>
      <c r="H84" s="2"/>
      <c r="I84" s="2"/>
      <c r="J84" s="2"/>
      <c r="K84" s="2">
        <v>40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>
        <v>5</v>
      </c>
      <c r="AA84" s="2"/>
      <c r="AB84" s="2"/>
      <c r="AC84" s="2"/>
      <c r="AD84" s="2"/>
      <c r="AE84" s="2"/>
      <c r="AF84" s="2"/>
      <c r="AG84" s="2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</row>
    <row r="85" spans="1:97" s="11" customFormat="1" ht="10.5" customHeight="1" x14ac:dyDescent="0.2">
      <c r="A85" s="110"/>
      <c r="B85" s="111" t="s">
        <v>128</v>
      </c>
      <c r="C85" s="2">
        <v>25</v>
      </c>
      <c r="D85" s="2">
        <v>25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</row>
    <row r="86" spans="1:97" s="11" customFormat="1" ht="10.5" customHeight="1" x14ac:dyDescent="0.2">
      <c r="A86" s="110"/>
      <c r="B86" s="111" t="s">
        <v>4</v>
      </c>
      <c r="C86" s="2">
        <v>40</v>
      </c>
      <c r="D86" s="2"/>
      <c r="E86" s="2">
        <v>40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</row>
    <row r="87" spans="1:97" s="11" customFormat="1" ht="10.5" customHeight="1" x14ac:dyDescent="0.2">
      <c r="A87" s="120"/>
      <c r="B87" s="121" t="s">
        <v>130</v>
      </c>
      <c r="C87" s="27">
        <v>25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>
        <v>25</v>
      </c>
      <c r="AB87" s="27"/>
      <c r="AC87" s="27"/>
      <c r="AD87" s="27"/>
      <c r="AE87" s="27"/>
      <c r="AF87" s="27"/>
      <c r="AG87" s="27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</row>
    <row r="88" spans="1:97" s="11" customFormat="1" ht="10.5" customHeight="1" x14ac:dyDescent="0.2">
      <c r="A88" s="7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</row>
    <row r="89" spans="1:97" s="16" customFormat="1" ht="10.5" customHeight="1" x14ac:dyDescent="0.2">
      <c r="A89" s="77"/>
      <c r="B89" s="13" t="s">
        <v>157</v>
      </c>
      <c r="C89" s="14">
        <f t="shared" ref="C89:AG89" si="9">SUM(C80:C88)</f>
        <v>630</v>
      </c>
      <c r="D89" s="14">
        <f t="shared" si="9"/>
        <v>25</v>
      </c>
      <c r="E89" s="14">
        <f t="shared" si="9"/>
        <v>48</v>
      </c>
      <c r="F89" s="14">
        <f t="shared" si="9"/>
        <v>5.75</v>
      </c>
      <c r="G89" s="14">
        <f t="shared" si="9"/>
        <v>37.5</v>
      </c>
      <c r="H89" s="14">
        <f t="shared" si="9"/>
        <v>0</v>
      </c>
      <c r="I89" s="14">
        <f t="shared" si="9"/>
        <v>0</v>
      </c>
      <c r="J89" s="14">
        <f t="shared" si="9"/>
        <v>97</v>
      </c>
      <c r="K89" s="14">
        <f t="shared" si="9"/>
        <v>40</v>
      </c>
      <c r="L89" s="14">
        <f t="shared" si="9"/>
        <v>0</v>
      </c>
      <c r="M89" s="14">
        <f t="shared" si="9"/>
        <v>0</v>
      </c>
      <c r="N89" s="14">
        <f t="shared" si="9"/>
        <v>38</v>
      </c>
      <c r="O89" s="14">
        <f t="shared" si="9"/>
        <v>0</v>
      </c>
      <c r="P89" s="14">
        <f t="shared" si="9"/>
        <v>0</v>
      </c>
      <c r="Q89" s="14">
        <f t="shared" si="9"/>
        <v>0</v>
      </c>
      <c r="R89" s="14">
        <f t="shared" si="9"/>
        <v>12</v>
      </c>
      <c r="S89" s="14">
        <f t="shared" si="9"/>
        <v>0</v>
      </c>
      <c r="T89" s="14">
        <f t="shared" si="9"/>
        <v>0</v>
      </c>
      <c r="U89" s="14">
        <f t="shared" si="9"/>
        <v>0</v>
      </c>
      <c r="V89" s="14">
        <f t="shared" si="9"/>
        <v>12.5</v>
      </c>
      <c r="W89" s="14">
        <f t="shared" si="9"/>
        <v>6</v>
      </c>
      <c r="X89" s="14">
        <f t="shared" si="9"/>
        <v>8.8000000000000007</v>
      </c>
      <c r="Y89" s="14">
        <f t="shared" si="9"/>
        <v>0</v>
      </c>
      <c r="Z89" s="14">
        <f t="shared" si="9"/>
        <v>5</v>
      </c>
      <c r="AA89" s="14">
        <f t="shared" si="9"/>
        <v>25</v>
      </c>
      <c r="AB89" s="14">
        <f t="shared" si="9"/>
        <v>0</v>
      </c>
      <c r="AC89" s="14">
        <f t="shared" si="9"/>
        <v>0</v>
      </c>
      <c r="AD89" s="14">
        <f t="shared" si="9"/>
        <v>0</v>
      </c>
      <c r="AE89" s="14">
        <f t="shared" si="9"/>
        <v>0</v>
      </c>
      <c r="AF89" s="14">
        <f t="shared" si="9"/>
        <v>0</v>
      </c>
      <c r="AG89" s="14">
        <f t="shared" si="9"/>
        <v>0</v>
      </c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</row>
    <row r="90" spans="1:97" s="15" customFormat="1" ht="10.5" customHeight="1" x14ac:dyDescent="0.2">
      <c r="A90" s="79"/>
      <c r="B90" s="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97" s="25" customFormat="1" ht="10.5" customHeight="1" x14ac:dyDescent="0.2">
      <c r="A91" s="189" t="s">
        <v>117</v>
      </c>
      <c r="B91" s="190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</row>
    <row r="92" spans="1:97" s="11" customFormat="1" ht="10.5" customHeight="1" x14ac:dyDescent="0.2">
      <c r="A92" s="110">
        <v>222</v>
      </c>
      <c r="B92" s="111" t="s">
        <v>69</v>
      </c>
      <c r="C92" s="2">
        <v>160</v>
      </c>
      <c r="D92" s="2"/>
      <c r="E92" s="2">
        <f>2*3</f>
        <v>6</v>
      </c>
      <c r="F92" s="2"/>
      <c r="G92" s="2">
        <v>12</v>
      </c>
      <c r="H92" s="2"/>
      <c r="I92" s="2"/>
      <c r="J92" s="2"/>
      <c r="K92" s="2"/>
      <c r="L92" s="2">
        <v>16</v>
      </c>
      <c r="M92" s="2"/>
      <c r="N92" s="2"/>
      <c r="O92" s="2"/>
      <c r="P92" s="2"/>
      <c r="Q92" s="2"/>
      <c r="R92" s="2"/>
      <c r="S92" s="2"/>
      <c r="T92" s="2">
        <v>125</v>
      </c>
      <c r="U92" s="2"/>
      <c r="V92" s="2">
        <v>5</v>
      </c>
      <c r="W92" s="2">
        <f>2*3</f>
        <v>6</v>
      </c>
      <c r="X92" s="2"/>
      <c r="Y92" s="2">
        <v>4</v>
      </c>
      <c r="Z92" s="2">
        <v>5</v>
      </c>
      <c r="AA92" s="2"/>
      <c r="AB92" s="2"/>
      <c r="AC92" s="2"/>
      <c r="AD92" s="2"/>
      <c r="AE92" s="2"/>
      <c r="AF92" s="2"/>
      <c r="AG92" s="2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</row>
    <row r="93" spans="1:97" ht="10.5" customHeight="1" x14ac:dyDescent="0.2">
      <c r="A93" s="116">
        <v>327</v>
      </c>
      <c r="B93" s="4" t="s">
        <v>91</v>
      </c>
      <c r="C93" s="1">
        <v>15</v>
      </c>
      <c r="R93" s="1">
        <f>15/0.46</f>
        <v>32.608695652173914</v>
      </c>
      <c r="Z93" s="1">
        <f>15*41/100</f>
        <v>6.15</v>
      </c>
    </row>
    <row r="94" spans="1:97" s="11" customFormat="1" ht="10.5" customHeight="1" x14ac:dyDescent="0.2">
      <c r="A94" s="110">
        <v>397</v>
      </c>
      <c r="B94" s="111" t="s">
        <v>6</v>
      </c>
      <c r="C94" s="2">
        <v>200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>
        <v>100</v>
      </c>
      <c r="S94" s="2"/>
      <c r="T94" s="2"/>
      <c r="U94" s="2"/>
      <c r="V94" s="2"/>
      <c r="W94" s="2"/>
      <c r="X94" s="2"/>
      <c r="Y94" s="2"/>
      <c r="Z94" s="2">
        <v>10</v>
      </c>
      <c r="AA94" s="2"/>
      <c r="AB94" s="2"/>
      <c r="AC94" s="2">
        <v>1.5</v>
      </c>
      <c r="AD94" s="2"/>
      <c r="AE94" s="2"/>
      <c r="AF94" s="2"/>
      <c r="AG94" s="2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</row>
    <row r="95" spans="1:97" s="11" customFormat="1" ht="10.5" customHeight="1" x14ac:dyDescent="0.2">
      <c r="A95" s="110"/>
      <c r="B95" s="111" t="s">
        <v>4</v>
      </c>
      <c r="C95" s="2">
        <v>40</v>
      </c>
      <c r="D95" s="2"/>
      <c r="E95" s="2">
        <v>40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</row>
    <row r="96" spans="1:97" s="11" customFormat="1" ht="10.5" customHeight="1" x14ac:dyDescent="0.2">
      <c r="A96" s="118"/>
      <c r="B96" s="111" t="s">
        <v>133</v>
      </c>
      <c r="C96" s="2">
        <v>180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v>180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</row>
    <row r="97" spans="1:97" s="11" customFormat="1" ht="10.5" customHeight="1" x14ac:dyDescent="0.2">
      <c r="A97" s="74"/>
      <c r="B97" s="2"/>
      <c r="C97" s="28"/>
      <c r="D97" s="20"/>
      <c r="E97" s="20"/>
      <c r="F97" s="20"/>
      <c r="G97" s="20"/>
      <c r="H97" s="20"/>
      <c r="I97" s="2"/>
      <c r="J97" s="2"/>
      <c r="K97" s="2"/>
      <c r="L97" s="20"/>
      <c r="M97" s="20"/>
      <c r="N97" s="2"/>
      <c r="O97" s="2"/>
      <c r="P97" s="2"/>
      <c r="Q97" s="2"/>
      <c r="R97" s="2"/>
      <c r="S97" s="2"/>
      <c r="T97" s="2"/>
      <c r="U97" s="2"/>
      <c r="V97" s="2"/>
      <c r="W97" s="20"/>
      <c r="X97" s="20"/>
      <c r="Y97" s="2"/>
      <c r="Z97" s="20"/>
      <c r="AA97" s="20"/>
      <c r="AB97" s="20"/>
      <c r="AC97" s="20"/>
      <c r="AD97" s="20"/>
      <c r="AE97" s="20"/>
      <c r="AF97" s="20"/>
      <c r="AG97" s="2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</row>
    <row r="98" spans="1:97" s="16" customFormat="1" ht="10.5" customHeight="1" x14ac:dyDescent="0.2">
      <c r="A98" s="77"/>
      <c r="B98" s="13" t="s">
        <v>157</v>
      </c>
      <c r="C98" s="14">
        <f>SUM(C92:C97)</f>
        <v>595</v>
      </c>
      <c r="D98" s="14">
        <f t="shared" ref="D98:AG98" si="10">SUM(D92:D97)</f>
        <v>0</v>
      </c>
      <c r="E98" s="14">
        <f t="shared" si="10"/>
        <v>46</v>
      </c>
      <c r="F98" s="14">
        <f t="shared" si="10"/>
        <v>0</v>
      </c>
      <c r="G98" s="14">
        <f t="shared" si="10"/>
        <v>12</v>
      </c>
      <c r="H98" s="14">
        <f t="shared" si="10"/>
        <v>0</v>
      </c>
      <c r="I98" s="14">
        <f t="shared" si="10"/>
        <v>0</v>
      </c>
      <c r="J98" s="14">
        <f t="shared" si="10"/>
        <v>0</v>
      </c>
      <c r="K98" s="14">
        <f t="shared" si="10"/>
        <v>0</v>
      </c>
      <c r="L98" s="14">
        <f t="shared" si="10"/>
        <v>16</v>
      </c>
      <c r="M98" s="14">
        <f t="shared" si="10"/>
        <v>0</v>
      </c>
      <c r="N98" s="14">
        <f t="shared" si="10"/>
        <v>0</v>
      </c>
      <c r="O98" s="14">
        <f t="shared" si="10"/>
        <v>0</v>
      </c>
      <c r="P98" s="14">
        <f t="shared" si="10"/>
        <v>0</v>
      </c>
      <c r="Q98" s="14">
        <f t="shared" si="10"/>
        <v>0</v>
      </c>
      <c r="R98" s="14">
        <f t="shared" si="10"/>
        <v>132.60869565217391</v>
      </c>
      <c r="S98" s="14">
        <f t="shared" si="10"/>
        <v>180</v>
      </c>
      <c r="T98" s="14">
        <f t="shared" si="10"/>
        <v>125</v>
      </c>
      <c r="U98" s="14">
        <f t="shared" si="10"/>
        <v>0</v>
      </c>
      <c r="V98" s="14">
        <f t="shared" si="10"/>
        <v>5</v>
      </c>
      <c r="W98" s="14">
        <f t="shared" si="10"/>
        <v>6</v>
      </c>
      <c r="X98" s="14">
        <f t="shared" si="10"/>
        <v>0</v>
      </c>
      <c r="Y98" s="14">
        <f t="shared" si="10"/>
        <v>4</v>
      </c>
      <c r="Z98" s="14">
        <f t="shared" si="10"/>
        <v>21.15</v>
      </c>
      <c r="AA98" s="14">
        <f t="shared" si="10"/>
        <v>0</v>
      </c>
      <c r="AB98" s="14">
        <f t="shared" si="10"/>
        <v>0</v>
      </c>
      <c r="AC98" s="14">
        <f t="shared" si="10"/>
        <v>1.5</v>
      </c>
      <c r="AD98" s="14">
        <f t="shared" si="10"/>
        <v>0</v>
      </c>
      <c r="AE98" s="14">
        <f t="shared" si="10"/>
        <v>0</v>
      </c>
      <c r="AF98" s="14">
        <f t="shared" si="10"/>
        <v>0</v>
      </c>
      <c r="AG98" s="14">
        <f t="shared" si="10"/>
        <v>0</v>
      </c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</row>
    <row r="99" spans="1:97" s="15" customFormat="1" ht="10.5" customHeight="1" x14ac:dyDescent="0.2">
      <c r="A99" s="79"/>
      <c r="B99" s="2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97" s="25" customFormat="1" ht="10.5" customHeight="1" x14ac:dyDescent="0.2">
      <c r="A100" s="189" t="s">
        <v>118</v>
      </c>
      <c r="B100" s="190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</row>
    <row r="101" spans="1:97" s="11" customFormat="1" ht="10.5" customHeight="1" x14ac:dyDescent="0.2">
      <c r="A101" s="110"/>
      <c r="B101" s="111" t="s">
        <v>120</v>
      </c>
      <c r="C101" s="2">
        <v>70</v>
      </c>
      <c r="D101" s="2"/>
      <c r="E101" s="2"/>
      <c r="F101" s="2"/>
      <c r="G101" s="2"/>
      <c r="H101" s="2"/>
      <c r="I101" s="2"/>
      <c r="J101" s="2">
        <v>70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</row>
    <row r="102" spans="1:97" s="11" customFormat="1" ht="10.5" customHeight="1" x14ac:dyDescent="0.2">
      <c r="A102" s="110">
        <v>297</v>
      </c>
      <c r="B102" s="111" t="s">
        <v>87</v>
      </c>
      <c r="C102" s="2">
        <v>63</v>
      </c>
      <c r="D102" s="2"/>
      <c r="E102" s="2">
        <v>10.6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f>37*1.2</f>
        <v>44.4</v>
      </c>
      <c r="Q102" s="2"/>
      <c r="R102" s="2">
        <v>14</v>
      </c>
      <c r="S102" s="2"/>
      <c r="T102" s="2"/>
      <c r="U102" s="2"/>
      <c r="V102" s="2"/>
      <c r="W102" s="2">
        <v>3</v>
      </c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</row>
    <row r="103" spans="1:97" s="11" customFormat="1" ht="10.5" customHeight="1" x14ac:dyDescent="0.2">
      <c r="A103" s="117">
        <v>203</v>
      </c>
      <c r="B103" s="115" t="s">
        <v>36</v>
      </c>
      <c r="C103" s="20">
        <v>110</v>
      </c>
      <c r="D103" s="2"/>
      <c r="E103" s="2"/>
      <c r="F103" s="2"/>
      <c r="G103" s="2"/>
      <c r="H103" s="2">
        <v>37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>
        <v>5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</row>
    <row r="104" spans="1:97" s="11" customFormat="1" ht="10.5" customHeight="1" x14ac:dyDescent="0.2">
      <c r="A104" s="110">
        <v>379</v>
      </c>
      <c r="B104" s="111" t="s">
        <v>66</v>
      </c>
      <c r="C104" s="2">
        <v>200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v>100</v>
      </c>
      <c r="S104" s="2"/>
      <c r="T104" s="2"/>
      <c r="U104" s="2"/>
      <c r="V104" s="2"/>
      <c r="W104" s="2"/>
      <c r="X104" s="2"/>
      <c r="Y104" s="2"/>
      <c r="Z104" s="2">
        <v>10</v>
      </c>
      <c r="AA104" s="2"/>
      <c r="AB104" s="2"/>
      <c r="AC104" s="2"/>
      <c r="AD104" s="2">
        <v>2.5</v>
      </c>
      <c r="AE104" s="2"/>
      <c r="AF104" s="2"/>
      <c r="AG104" s="2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</row>
    <row r="105" spans="1:97" s="11" customFormat="1" ht="10.5" customHeight="1" x14ac:dyDescent="0.2">
      <c r="A105" s="110"/>
      <c r="B105" s="111" t="s">
        <v>128</v>
      </c>
      <c r="C105" s="2">
        <v>25</v>
      </c>
      <c r="D105" s="2">
        <v>25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</row>
    <row r="106" spans="1:97" s="11" customFormat="1" ht="10.5" customHeight="1" x14ac:dyDescent="0.2">
      <c r="A106" s="110"/>
      <c r="B106" s="111" t="s">
        <v>4</v>
      </c>
      <c r="C106" s="2">
        <v>40</v>
      </c>
      <c r="D106" s="2"/>
      <c r="E106" s="2">
        <v>40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</row>
    <row r="107" spans="1:97" s="11" customFormat="1" ht="10.5" customHeight="1" x14ac:dyDescent="0.2">
      <c r="A107" s="110">
        <v>368</v>
      </c>
      <c r="B107" s="111" t="s">
        <v>134</v>
      </c>
      <c r="C107" s="2">
        <v>120</v>
      </c>
      <c r="D107" s="2"/>
      <c r="E107" s="2"/>
      <c r="F107" s="2"/>
      <c r="G107" s="2"/>
      <c r="H107" s="2"/>
      <c r="I107" s="2"/>
      <c r="J107" s="2"/>
      <c r="K107" s="2">
        <v>120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</row>
    <row r="108" spans="1:97" s="11" customFormat="1" ht="10.5" customHeight="1" x14ac:dyDescent="0.2">
      <c r="A108" s="7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</row>
    <row r="109" spans="1:97" s="16" customFormat="1" ht="10.5" customHeight="1" x14ac:dyDescent="0.2">
      <c r="A109" s="77"/>
      <c r="B109" s="13" t="s">
        <v>157</v>
      </c>
      <c r="C109" s="14">
        <f t="shared" ref="C109:AG109" si="11">SUM(C101:C107)</f>
        <v>628</v>
      </c>
      <c r="D109" s="14">
        <f t="shared" si="11"/>
        <v>25</v>
      </c>
      <c r="E109" s="14">
        <f t="shared" si="11"/>
        <v>50.6</v>
      </c>
      <c r="F109" s="14">
        <f t="shared" si="11"/>
        <v>0</v>
      </c>
      <c r="G109" s="14">
        <f t="shared" si="11"/>
        <v>0</v>
      </c>
      <c r="H109" s="14">
        <f t="shared" si="11"/>
        <v>37</v>
      </c>
      <c r="I109" s="14">
        <f t="shared" si="11"/>
        <v>0</v>
      </c>
      <c r="J109" s="14">
        <f t="shared" si="11"/>
        <v>70</v>
      </c>
      <c r="K109" s="14">
        <f t="shared" si="11"/>
        <v>120</v>
      </c>
      <c r="L109" s="14">
        <f t="shared" si="11"/>
        <v>0</v>
      </c>
      <c r="M109" s="14">
        <f t="shared" si="11"/>
        <v>0</v>
      </c>
      <c r="N109" s="14">
        <f t="shared" si="11"/>
        <v>0</v>
      </c>
      <c r="O109" s="14">
        <f t="shared" si="11"/>
        <v>0</v>
      </c>
      <c r="P109" s="14">
        <f t="shared" si="11"/>
        <v>44.4</v>
      </c>
      <c r="Q109" s="14">
        <f t="shared" si="11"/>
        <v>0</v>
      </c>
      <c r="R109" s="14">
        <f t="shared" si="11"/>
        <v>114</v>
      </c>
      <c r="S109" s="14">
        <f t="shared" si="11"/>
        <v>0</v>
      </c>
      <c r="T109" s="14">
        <f t="shared" si="11"/>
        <v>0</v>
      </c>
      <c r="U109" s="14">
        <f t="shared" si="11"/>
        <v>0</v>
      </c>
      <c r="V109" s="14">
        <f t="shared" si="11"/>
        <v>0</v>
      </c>
      <c r="W109" s="14">
        <f t="shared" si="11"/>
        <v>8</v>
      </c>
      <c r="X109" s="14">
        <f t="shared" si="11"/>
        <v>0</v>
      </c>
      <c r="Y109" s="14">
        <f t="shared" si="11"/>
        <v>0</v>
      </c>
      <c r="Z109" s="14">
        <f t="shared" si="11"/>
        <v>10</v>
      </c>
      <c r="AA109" s="14">
        <f t="shared" si="11"/>
        <v>0</v>
      </c>
      <c r="AB109" s="14">
        <f t="shared" si="11"/>
        <v>0</v>
      </c>
      <c r="AC109" s="14">
        <f t="shared" si="11"/>
        <v>0</v>
      </c>
      <c r="AD109" s="14">
        <f t="shared" si="11"/>
        <v>2.5</v>
      </c>
      <c r="AE109" s="14">
        <f t="shared" si="11"/>
        <v>0</v>
      </c>
      <c r="AF109" s="14">
        <f t="shared" si="11"/>
        <v>0</v>
      </c>
      <c r="AG109" s="14">
        <f t="shared" si="11"/>
        <v>0</v>
      </c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</row>
    <row r="110" spans="1:97" s="15" customFormat="1" ht="29.25" customHeight="1" x14ac:dyDescent="0.2">
      <c r="A110" s="79"/>
      <c r="B110" s="2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97" s="140" customFormat="1" ht="38.25" customHeight="1" x14ac:dyDescent="0.2">
      <c r="A111" s="137"/>
      <c r="B111" s="138" t="s">
        <v>147</v>
      </c>
      <c r="C111" s="141" t="s">
        <v>77</v>
      </c>
      <c r="D111" s="141" t="s">
        <v>12</v>
      </c>
      <c r="E111" s="141" t="s">
        <v>13</v>
      </c>
      <c r="F111" s="141" t="s">
        <v>15</v>
      </c>
      <c r="G111" s="141" t="s">
        <v>14</v>
      </c>
      <c r="H111" s="141" t="s">
        <v>141</v>
      </c>
      <c r="I111" s="141" t="s">
        <v>11</v>
      </c>
      <c r="J111" s="141" t="s">
        <v>64</v>
      </c>
      <c r="K111" s="141" t="s">
        <v>5</v>
      </c>
      <c r="L111" s="141" t="s">
        <v>139</v>
      </c>
      <c r="M111" s="141" t="s">
        <v>142</v>
      </c>
      <c r="N111" s="141" t="s">
        <v>7</v>
      </c>
      <c r="O111" s="141" t="s">
        <v>93</v>
      </c>
      <c r="P111" s="141" t="s">
        <v>8</v>
      </c>
      <c r="Q111" s="141" t="s">
        <v>9</v>
      </c>
      <c r="R111" s="141" t="s">
        <v>67</v>
      </c>
      <c r="S111" s="141" t="s">
        <v>143</v>
      </c>
      <c r="T111" s="141" t="s">
        <v>68</v>
      </c>
      <c r="U111" s="141" t="s">
        <v>40</v>
      </c>
      <c r="V111" s="141" t="s">
        <v>37</v>
      </c>
      <c r="W111" s="141" t="s">
        <v>20</v>
      </c>
      <c r="X111" s="141" t="s">
        <v>144</v>
      </c>
      <c r="Y111" s="141" t="s">
        <v>10</v>
      </c>
      <c r="Z111" s="141" t="s">
        <v>18</v>
      </c>
      <c r="AA111" s="141" t="s">
        <v>145</v>
      </c>
      <c r="AB111" s="141" t="s">
        <v>16</v>
      </c>
      <c r="AC111" s="141" t="s">
        <v>17</v>
      </c>
      <c r="AD111" s="141" t="s">
        <v>57</v>
      </c>
      <c r="AE111" s="141" t="s">
        <v>19</v>
      </c>
      <c r="AF111" s="141" t="s">
        <v>146</v>
      </c>
      <c r="AG111" s="138" t="s">
        <v>59</v>
      </c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  <c r="BJ111" s="139"/>
      <c r="BK111" s="139"/>
      <c r="BL111" s="139"/>
      <c r="BM111" s="139"/>
      <c r="BN111" s="139"/>
      <c r="BO111" s="139"/>
      <c r="BP111" s="139"/>
      <c r="BQ111" s="139"/>
      <c r="BR111" s="139"/>
      <c r="BS111" s="139"/>
      <c r="BT111" s="139"/>
      <c r="BU111" s="139"/>
      <c r="BV111" s="139"/>
      <c r="BW111" s="139"/>
      <c r="BX111" s="139"/>
      <c r="BY111" s="139"/>
      <c r="BZ111" s="139"/>
      <c r="CA111" s="139"/>
      <c r="CB111" s="139"/>
      <c r="CC111" s="139"/>
      <c r="CD111" s="139"/>
      <c r="CE111" s="139"/>
      <c r="CF111" s="139"/>
      <c r="CG111" s="139"/>
      <c r="CH111" s="139"/>
      <c r="CI111" s="139"/>
      <c r="CJ111" s="139"/>
      <c r="CK111" s="139"/>
      <c r="CL111" s="139"/>
      <c r="CM111" s="139"/>
      <c r="CN111" s="139"/>
      <c r="CO111" s="139"/>
      <c r="CP111" s="139"/>
      <c r="CQ111" s="139"/>
      <c r="CR111" s="139"/>
      <c r="CS111" s="139"/>
    </row>
    <row r="112" spans="1:97" s="25" customFormat="1" ht="24" customHeight="1" x14ac:dyDescent="0.2">
      <c r="A112" s="81"/>
      <c r="B112" s="29" t="s">
        <v>154</v>
      </c>
      <c r="C112" s="8"/>
      <c r="D112" s="8">
        <f t="shared" ref="D112:J112" si="12">D35+D89+D109+D55+D77+D66+D14+D45+D98+D24</f>
        <v>200</v>
      </c>
      <c r="E112" s="8">
        <f t="shared" si="12"/>
        <v>375.6</v>
      </c>
      <c r="F112" s="8">
        <f t="shared" si="12"/>
        <v>37.5</v>
      </c>
      <c r="G112" s="8">
        <f t="shared" si="12"/>
        <v>113.51999999999998</v>
      </c>
      <c r="H112" s="8">
        <f t="shared" si="12"/>
        <v>37</v>
      </c>
      <c r="I112" s="8">
        <f t="shared" si="12"/>
        <v>448.25</v>
      </c>
      <c r="J112" s="8">
        <f t="shared" si="12"/>
        <v>689</v>
      </c>
      <c r="K112" s="8">
        <f>K107+K53+K84+K50+K41+K12</f>
        <v>447</v>
      </c>
      <c r="L112" s="8">
        <f t="shared" ref="L112:AG112" si="13">L35+L109+L98+L89+L45+L66+L55+L77+L14+L24</f>
        <v>36</v>
      </c>
      <c r="M112" s="8">
        <f t="shared" si="13"/>
        <v>500</v>
      </c>
      <c r="N112" s="8">
        <f t="shared" si="13"/>
        <v>173</v>
      </c>
      <c r="O112" s="8">
        <f t="shared" si="13"/>
        <v>37.5</v>
      </c>
      <c r="P112" s="8">
        <f t="shared" si="13"/>
        <v>85.4</v>
      </c>
      <c r="Q112" s="8">
        <f t="shared" si="13"/>
        <v>138.5</v>
      </c>
      <c r="R112" s="8">
        <f t="shared" si="13"/>
        <v>783.10869565217388</v>
      </c>
      <c r="S112" s="8">
        <f t="shared" si="13"/>
        <v>380</v>
      </c>
      <c r="T112" s="8">
        <f t="shared" si="13"/>
        <v>125</v>
      </c>
      <c r="U112" s="8">
        <f t="shared" si="13"/>
        <v>24</v>
      </c>
      <c r="V112" s="8">
        <f t="shared" si="13"/>
        <v>25</v>
      </c>
      <c r="W112" s="8">
        <f t="shared" si="13"/>
        <v>75.45</v>
      </c>
      <c r="X112" s="8">
        <f t="shared" si="13"/>
        <v>36.6</v>
      </c>
      <c r="Y112" s="8">
        <f t="shared" si="13"/>
        <v>99.4</v>
      </c>
      <c r="Z112" s="8">
        <f t="shared" si="13"/>
        <v>98.15</v>
      </c>
      <c r="AA112" s="8">
        <f t="shared" si="13"/>
        <v>25</v>
      </c>
      <c r="AB112" s="8">
        <f t="shared" si="13"/>
        <v>1</v>
      </c>
      <c r="AC112" s="8">
        <f t="shared" si="13"/>
        <v>3</v>
      </c>
      <c r="AD112" s="8">
        <f t="shared" si="13"/>
        <v>5</v>
      </c>
      <c r="AE112" s="8">
        <f t="shared" si="13"/>
        <v>1</v>
      </c>
      <c r="AF112" s="8">
        <f t="shared" si="13"/>
        <v>0</v>
      </c>
      <c r="AG112" s="8">
        <f t="shared" si="13"/>
        <v>0.3</v>
      </c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</row>
    <row r="113" spans="1:97" s="25" customFormat="1" ht="17.25" customHeight="1" x14ac:dyDescent="0.2">
      <c r="A113" s="82"/>
      <c r="B113" s="30" t="s">
        <v>155</v>
      </c>
      <c r="C113" s="8"/>
      <c r="D113" s="8">
        <f>H122</f>
        <v>200</v>
      </c>
      <c r="E113" s="8">
        <f>H123</f>
        <v>375</v>
      </c>
      <c r="F113" s="8">
        <f>H124</f>
        <v>37.5</v>
      </c>
      <c r="G113" s="8">
        <f>H125</f>
        <v>112.5</v>
      </c>
      <c r="H113" s="8">
        <f>H126</f>
        <v>37.5</v>
      </c>
      <c r="I113" s="8">
        <f>H127</f>
        <v>470</v>
      </c>
      <c r="J113" s="8">
        <f>H128</f>
        <v>700</v>
      </c>
      <c r="K113" s="8">
        <f>H129</f>
        <v>462.5</v>
      </c>
      <c r="L113" s="8">
        <f>H130</f>
        <v>37.5</v>
      </c>
      <c r="M113" s="8">
        <f>H131</f>
        <v>500</v>
      </c>
      <c r="N113" s="8">
        <f>H132</f>
        <v>175</v>
      </c>
      <c r="O113" s="8">
        <f>H133</f>
        <v>37.5</v>
      </c>
      <c r="P113" s="8">
        <f>H134</f>
        <v>87.5</v>
      </c>
      <c r="Q113" s="8">
        <f>H135</f>
        <v>145</v>
      </c>
      <c r="R113" s="8">
        <f>H136</f>
        <v>750</v>
      </c>
      <c r="S113" s="8">
        <f>H137</f>
        <v>375</v>
      </c>
      <c r="T113" s="8">
        <f>H138</f>
        <v>125</v>
      </c>
      <c r="U113" s="8">
        <f>H139</f>
        <v>24.5</v>
      </c>
      <c r="V113" s="8">
        <f>H140</f>
        <v>25</v>
      </c>
      <c r="W113" s="8">
        <f>H141</f>
        <v>75</v>
      </c>
      <c r="X113" s="8">
        <f>H142</f>
        <v>37.5</v>
      </c>
      <c r="Y113" s="8">
        <f>H143</f>
        <v>100</v>
      </c>
      <c r="Z113" s="8">
        <f>H144</f>
        <v>100</v>
      </c>
      <c r="AA113" s="8">
        <f>H145</f>
        <v>25</v>
      </c>
      <c r="AB113" s="8">
        <f>H146</f>
        <v>1</v>
      </c>
      <c r="AC113" s="8">
        <f>H147</f>
        <v>3</v>
      </c>
      <c r="AD113" s="8">
        <f>H148</f>
        <v>5</v>
      </c>
      <c r="AE113" s="8">
        <f>H149</f>
        <v>2.5</v>
      </c>
      <c r="AF113" s="8">
        <f>H150</f>
        <v>7.5</v>
      </c>
      <c r="AG113" s="8">
        <f>H151</f>
        <v>5</v>
      </c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</row>
    <row r="114" spans="1:97" ht="16.5" customHeight="1" x14ac:dyDescent="0.2">
      <c r="A114" s="191"/>
      <c r="B114" s="192"/>
    </row>
    <row r="115" spans="1:97" s="32" customFormat="1" ht="18" customHeight="1" x14ac:dyDescent="0.2">
      <c r="A115" s="83"/>
      <c r="B115" s="31" t="s">
        <v>156</v>
      </c>
      <c r="C115" s="31"/>
      <c r="D115" s="31">
        <f t="shared" ref="D115:AG115" si="14">-(100-(D112*100/D113))</f>
        <v>0</v>
      </c>
      <c r="E115" s="31">
        <f t="shared" si="14"/>
        <v>0.15999999999999659</v>
      </c>
      <c r="F115" s="31">
        <f t="shared" si="14"/>
        <v>0</v>
      </c>
      <c r="G115" s="31">
        <f t="shared" si="14"/>
        <v>0.90666666666665208</v>
      </c>
      <c r="H115" s="31">
        <f t="shared" si="14"/>
        <v>-1.3333333333333286</v>
      </c>
      <c r="I115" s="31">
        <f t="shared" si="14"/>
        <v>-4.6276595744680833</v>
      </c>
      <c r="J115" s="31">
        <f t="shared" si="14"/>
        <v>-1.5714285714285694</v>
      </c>
      <c r="K115" s="31">
        <f t="shared" si="14"/>
        <v>-3.3513513513513544</v>
      </c>
      <c r="L115" s="31">
        <f t="shared" si="14"/>
        <v>-4</v>
      </c>
      <c r="M115" s="31">
        <f t="shared" si="14"/>
        <v>0</v>
      </c>
      <c r="N115" s="31">
        <f t="shared" si="14"/>
        <v>-1.1428571428571388</v>
      </c>
      <c r="O115" s="31">
        <f t="shared" si="14"/>
        <v>0</v>
      </c>
      <c r="P115" s="31">
        <f t="shared" si="14"/>
        <v>-2.4000000000000057</v>
      </c>
      <c r="Q115" s="31">
        <f t="shared" si="14"/>
        <v>-4.4827586206896513</v>
      </c>
      <c r="R115" s="31">
        <f t="shared" si="14"/>
        <v>4.4144927536231933</v>
      </c>
      <c r="S115" s="31">
        <f t="shared" si="14"/>
        <v>1.3333333333333286</v>
      </c>
      <c r="T115" s="31">
        <f t="shared" si="14"/>
        <v>0</v>
      </c>
      <c r="U115" s="31">
        <f t="shared" si="14"/>
        <v>-2.0408163265306172</v>
      </c>
      <c r="V115" s="31">
        <f t="shared" si="14"/>
        <v>0</v>
      </c>
      <c r="W115" s="31">
        <f t="shared" si="14"/>
        <v>0.59999999999999432</v>
      </c>
      <c r="X115" s="31">
        <f t="shared" si="14"/>
        <v>-2.4000000000000057</v>
      </c>
      <c r="Y115" s="31">
        <f t="shared" si="14"/>
        <v>-0.59999999999999432</v>
      </c>
      <c r="Z115" s="31">
        <f t="shared" si="14"/>
        <v>-1.8499999999999943</v>
      </c>
      <c r="AA115" s="31">
        <f t="shared" si="14"/>
        <v>0</v>
      </c>
      <c r="AB115" s="31">
        <f t="shared" si="14"/>
        <v>0</v>
      </c>
      <c r="AC115" s="31">
        <f t="shared" si="14"/>
        <v>0</v>
      </c>
      <c r="AD115" s="31">
        <f t="shared" si="14"/>
        <v>0</v>
      </c>
      <c r="AE115" s="31">
        <f t="shared" si="14"/>
        <v>-60</v>
      </c>
      <c r="AF115" s="31">
        <f t="shared" si="14"/>
        <v>-100</v>
      </c>
      <c r="AG115" s="31">
        <f t="shared" si="14"/>
        <v>-94</v>
      </c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</row>
    <row r="116" spans="1:97" ht="10.5" customHeight="1" x14ac:dyDescent="0.2">
      <c r="A116" s="76"/>
    </row>
    <row r="117" spans="1:97" ht="10.5" customHeight="1" x14ac:dyDescent="0.2">
      <c r="A117" s="76"/>
    </row>
    <row r="118" spans="1:97" ht="10.5" customHeight="1" x14ac:dyDescent="0.2">
      <c r="A118" s="76"/>
    </row>
    <row r="119" spans="1:97" ht="10.5" customHeight="1" x14ac:dyDescent="0.2">
      <c r="A119" s="80"/>
      <c r="B119" s="187" t="s">
        <v>23</v>
      </c>
      <c r="C119" s="33"/>
      <c r="D119" s="33"/>
      <c r="E119" s="33"/>
      <c r="F119" s="33"/>
      <c r="G119" s="33"/>
      <c r="H119" s="33"/>
      <c r="I119" s="33"/>
      <c r="J119" s="34"/>
    </row>
    <row r="120" spans="1:97" ht="10.5" customHeight="1" x14ac:dyDescent="0.2">
      <c r="A120" s="80"/>
      <c r="B120" s="187"/>
      <c r="C120" s="33" t="s">
        <v>52</v>
      </c>
      <c r="D120" s="33"/>
      <c r="E120" s="33"/>
      <c r="F120" s="33" t="s">
        <v>63</v>
      </c>
      <c r="G120" s="33"/>
      <c r="H120" s="33"/>
      <c r="I120" s="33" t="s">
        <v>74</v>
      </c>
      <c r="J120" s="34"/>
    </row>
    <row r="121" spans="1:97" ht="16.5" customHeight="1" x14ac:dyDescent="0.2">
      <c r="A121" s="80"/>
      <c r="B121" s="187"/>
      <c r="C121" s="33" t="s">
        <v>51</v>
      </c>
      <c r="D121" s="33"/>
      <c r="E121" s="174" t="s">
        <v>61</v>
      </c>
      <c r="F121" s="33" t="s">
        <v>60</v>
      </c>
      <c r="G121" s="33"/>
      <c r="H121" s="33" t="s">
        <v>61</v>
      </c>
      <c r="I121" s="33" t="s">
        <v>60</v>
      </c>
      <c r="J121" s="34"/>
    </row>
    <row r="122" spans="1:97" ht="10.5" customHeight="1" x14ac:dyDescent="0.2">
      <c r="A122" s="80"/>
      <c r="B122" s="35" t="s">
        <v>50</v>
      </c>
      <c r="C122" s="33">
        <v>80</v>
      </c>
      <c r="D122" s="33"/>
      <c r="E122" s="174">
        <f t="shared" ref="E122:E151" si="15">C122*25/100</f>
        <v>20</v>
      </c>
      <c r="F122" s="33">
        <f t="shared" ref="F122:F151" si="16">C122*0.35</f>
        <v>28</v>
      </c>
      <c r="G122" s="33"/>
      <c r="H122" s="33">
        <f>E122*10</f>
        <v>200</v>
      </c>
      <c r="I122" s="33">
        <f>F122*10</f>
        <v>280</v>
      </c>
      <c r="J122" s="34"/>
    </row>
    <row r="123" spans="1:97" ht="10.5" customHeight="1" x14ac:dyDescent="0.2">
      <c r="A123" s="80"/>
      <c r="B123" s="35" t="s">
        <v>24</v>
      </c>
      <c r="C123" s="33">
        <v>150</v>
      </c>
      <c r="D123" s="33"/>
      <c r="E123" s="174">
        <f t="shared" si="15"/>
        <v>37.5</v>
      </c>
      <c r="F123" s="33">
        <f t="shared" si="16"/>
        <v>52.5</v>
      </c>
      <c r="G123" s="33"/>
      <c r="H123" s="33">
        <f t="shared" ref="H123:I151" si="17">E123*10</f>
        <v>375</v>
      </c>
      <c r="I123" s="33">
        <f t="shared" si="17"/>
        <v>525</v>
      </c>
      <c r="J123" s="34"/>
    </row>
    <row r="124" spans="1:97" ht="10.5" customHeight="1" x14ac:dyDescent="0.2">
      <c r="A124" s="80"/>
      <c r="B124" s="35" t="s">
        <v>25</v>
      </c>
      <c r="C124" s="33">
        <v>15</v>
      </c>
      <c r="D124" s="33"/>
      <c r="E124" s="174">
        <f t="shared" si="15"/>
        <v>3.75</v>
      </c>
      <c r="F124" s="33">
        <f t="shared" si="16"/>
        <v>5.25</v>
      </c>
      <c r="G124" s="33"/>
      <c r="H124" s="33">
        <f t="shared" si="17"/>
        <v>37.5</v>
      </c>
      <c r="I124" s="33">
        <f t="shared" si="17"/>
        <v>52.5</v>
      </c>
      <c r="J124" s="34"/>
    </row>
    <row r="125" spans="1:97" ht="10.5" customHeight="1" x14ac:dyDescent="0.2">
      <c r="A125" s="80"/>
      <c r="B125" s="35" t="s">
        <v>26</v>
      </c>
      <c r="C125" s="33">
        <v>45</v>
      </c>
      <c r="D125" s="33"/>
      <c r="E125" s="174">
        <f t="shared" si="15"/>
        <v>11.25</v>
      </c>
      <c r="F125" s="33">
        <f t="shared" si="16"/>
        <v>15.749999999999998</v>
      </c>
      <c r="G125" s="33"/>
      <c r="H125" s="33">
        <f t="shared" si="17"/>
        <v>112.5</v>
      </c>
      <c r="I125" s="33">
        <f t="shared" si="17"/>
        <v>157.49999999999997</v>
      </c>
      <c r="J125" s="34"/>
    </row>
    <row r="126" spans="1:97" ht="10.5" customHeight="1" x14ac:dyDescent="0.2">
      <c r="A126" s="80"/>
      <c r="B126" s="35" t="s">
        <v>27</v>
      </c>
      <c r="C126" s="33">
        <v>15</v>
      </c>
      <c r="D126" s="33"/>
      <c r="E126" s="174">
        <f t="shared" si="15"/>
        <v>3.75</v>
      </c>
      <c r="F126" s="33">
        <f t="shared" si="16"/>
        <v>5.25</v>
      </c>
      <c r="G126" s="33"/>
      <c r="H126" s="33">
        <f t="shared" si="17"/>
        <v>37.5</v>
      </c>
      <c r="I126" s="33">
        <f t="shared" si="17"/>
        <v>52.5</v>
      </c>
      <c r="J126" s="34"/>
    </row>
    <row r="127" spans="1:97" ht="10.5" customHeight="1" x14ac:dyDescent="0.2">
      <c r="A127" s="80"/>
      <c r="B127" s="35" t="s">
        <v>28</v>
      </c>
      <c r="C127" s="33">
        <v>188</v>
      </c>
      <c r="D127" s="33"/>
      <c r="E127" s="174">
        <f t="shared" si="15"/>
        <v>47</v>
      </c>
      <c r="F127" s="33">
        <f t="shared" si="16"/>
        <v>65.8</v>
      </c>
      <c r="G127" s="33"/>
      <c r="H127" s="33">
        <f t="shared" si="17"/>
        <v>470</v>
      </c>
      <c r="I127" s="33">
        <f t="shared" si="17"/>
        <v>658</v>
      </c>
      <c r="J127" s="34"/>
    </row>
    <row r="128" spans="1:97" ht="10.5" customHeight="1" x14ac:dyDescent="0.2">
      <c r="A128" s="80"/>
      <c r="B128" s="35" t="s">
        <v>78</v>
      </c>
      <c r="C128" s="33">
        <v>280</v>
      </c>
      <c r="D128" s="33"/>
      <c r="E128" s="174">
        <f t="shared" si="15"/>
        <v>70</v>
      </c>
      <c r="F128" s="33">
        <f t="shared" si="16"/>
        <v>98</v>
      </c>
      <c r="G128" s="33"/>
      <c r="H128" s="33">
        <f t="shared" si="17"/>
        <v>700</v>
      </c>
      <c r="I128" s="33">
        <f t="shared" si="17"/>
        <v>980</v>
      </c>
      <c r="J128" s="34"/>
    </row>
    <row r="129" spans="1:10" ht="10.5" customHeight="1" x14ac:dyDescent="0.2">
      <c r="A129" s="80"/>
      <c r="B129" s="35" t="s">
        <v>79</v>
      </c>
      <c r="C129" s="33">
        <v>185</v>
      </c>
      <c r="D129" s="33"/>
      <c r="E129" s="174">
        <f t="shared" si="15"/>
        <v>46.25</v>
      </c>
      <c r="F129" s="33">
        <f t="shared" si="16"/>
        <v>64.75</v>
      </c>
      <c r="G129" s="33"/>
      <c r="H129" s="33">
        <f t="shared" si="17"/>
        <v>462.5</v>
      </c>
      <c r="I129" s="33">
        <f t="shared" si="17"/>
        <v>647.5</v>
      </c>
      <c r="J129" s="34"/>
    </row>
    <row r="130" spans="1:10" ht="10.5" customHeight="1" x14ac:dyDescent="0.2">
      <c r="A130" s="80"/>
      <c r="B130" s="35" t="s">
        <v>80</v>
      </c>
      <c r="C130" s="33">
        <v>15</v>
      </c>
      <c r="D130" s="33"/>
      <c r="E130" s="174">
        <f t="shared" si="15"/>
        <v>3.75</v>
      </c>
      <c r="F130" s="33">
        <f t="shared" si="16"/>
        <v>5.25</v>
      </c>
      <c r="G130" s="33"/>
      <c r="H130" s="33">
        <f t="shared" si="17"/>
        <v>37.5</v>
      </c>
      <c r="I130" s="33">
        <f t="shared" si="17"/>
        <v>52.5</v>
      </c>
      <c r="J130" s="34"/>
    </row>
    <row r="131" spans="1:10" ht="10.5" customHeight="1" x14ac:dyDescent="0.2">
      <c r="A131" s="80"/>
      <c r="B131" s="35" t="s">
        <v>53</v>
      </c>
      <c r="C131" s="33">
        <v>200</v>
      </c>
      <c r="D131" s="33"/>
      <c r="E131" s="174">
        <f t="shared" si="15"/>
        <v>50</v>
      </c>
      <c r="F131" s="33">
        <f t="shared" si="16"/>
        <v>70</v>
      </c>
      <c r="G131" s="33"/>
      <c r="H131" s="33">
        <f t="shared" si="17"/>
        <v>500</v>
      </c>
      <c r="I131" s="33">
        <f t="shared" si="17"/>
        <v>700</v>
      </c>
      <c r="J131" s="34"/>
    </row>
    <row r="132" spans="1:10" ht="10.5" customHeight="1" x14ac:dyDescent="0.2">
      <c r="A132" s="80"/>
      <c r="B132" s="35" t="s">
        <v>81</v>
      </c>
      <c r="C132" s="33">
        <v>70</v>
      </c>
      <c r="D132" s="33"/>
      <c r="E132" s="174">
        <f t="shared" si="15"/>
        <v>17.5</v>
      </c>
      <c r="F132" s="33">
        <f t="shared" si="16"/>
        <v>24.5</v>
      </c>
      <c r="G132" s="33"/>
      <c r="H132" s="33">
        <f t="shared" si="17"/>
        <v>175</v>
      </c>
      <c r="I132" s="33">
        <f t="shared" si="17"/>
        <v>245</v>
      </c>
      <c r="J132" s="34"/>
    </row>
    <row r="133" spans="1:10" ht="10.5" customHeight="1" x14ac:dyDescent="0.2">
      <c r="A133" s="80"/>
      <c r="B133" s="35" t="s">
        <v>148</v>
      </c>
      <c r="C133" s="33">
        <v>15</v>
      </c>
      <c r="D133" s="33"/>
      <c r="E133" s="174">
        <f t="shared" si="15"/>
        <v>3.75</v>
      </c>
      <c r="F133" s="33">
        <f t="shared" si="16"/>
        <v>5.25</v>
      </c>
      <c r="G133" s="33"/>
      <c r="H133" s="33">
        <f t="shared" si="17"/>
        <v>37.5</v>
      </c>
      <c r="I133" s="33">
        <f t="shared" si="17"/>
        <v>52.5</v>
      </c>
      <c r="J133" s="34"/>
    </row>
    <row r="134" spans="1:10" ht="10.5" customHeight="1" x14ac:dyDescent="0.2">
      <c r="A134" s="80"/>
      <c r="B134" s="35" t="s">
        <v>82</v>
      </c>
      <c r="C134" s="33">
        <v>35</v>
      </c>
      <c r="D134" s="33"/>
      <c r="E134" s="174">
        <f t="shared" si="15"/>
        <v>8.75</v>
      </c>
      <c r="F134" s="33">
        <f t="shared" si="16"/>
        <v>12.25</v>
      </c>
      <c r="G134" s="33"/>
      <c r="H134" s="33">
        <f t="shared" si="17"/>
        <v>87.5</v>
      </c>
      <c r="I134" s="33">
        <f t="shared" si="17"/>
        <v>122.5</v>
      </c>
      <c r="J134" s="34"/>
    </row>
    <row r="135" spans="1:10" ht="10.5" customHeight="1" x14ac:dyDescent="0.2">
      <c r="A135" s="80"/>
      <c r="B135" s="35" t="s">
        <v>83</v>
      </c>
      <c r="C135" s="33">
        <v>58</v>
      </c>
      <c r="D135" s="33"/>
      <c r="E135" s="174">
        <f t="shared" si="15"/>
        <v>14.5</v>
      </c>
      <c r="F135" s="33">
        <f t="shared" si="16"/>
        <v>20.299999999999997</v>
      </c>
      <c r="G135" s="33"/>
      <c r="H135" s="33">
        <f t="shared" si="17"/>
        <v>145</v>
      </c>
      <c r="I135" s="33">
        <f t="shared" si="17"/>
        <v>202.99999999999997</v>
      </c>
      <c r="J135" s="34"/>
    </row>
    <row r="136" spans="1:10" ht="10.5" customHeight="1" x14ac:dyDescent="0.2">
      <c r="A136" s="80"/>
      <c r="B136" s="35" t="s">
        <v>54</v>
      </c>
      <c r="C136" s="33">
        <v>300</v>
      </c>
      <c r="D136" s="33"/>
      <c r="E136" s="174">
        <f t="shared" si="15"/>
        <v>75</v>
      </c>
      <c r="F136" s="33">
        <f t="shared" si="16"/>
        <v>105</v>
      </c>
      <c r="G136" s="33"/>
      <c r="H136" s="33">
        <f t="shared" si="17"/>
        <v>750</v>
      </c>
      <c r="I136" s="33">
        <f t="shared" si="17"/>
        <v>1050</v>
      </c>
      <c r="J136" s="34"/>
    </row>
    <row r="137" spans="1:10" ht="10.5" customHeight="1" x14ac:dyDescent="0.2">
      <c r="A137" s="80"/>
      <c r="B137" s="35" t="s">
        <v>55</v>
      </c>
      <c r="C137" s="33">
        <v>150</v>
      </c>
      <c r="D137" s="33"/>
      <c r="E137" s="174">
        <f t="shared" si="15"/>
        <v>37.5</v>
      </c>
      <c r="F137" s="33">
        <f t="shared" si="16"/>
        <v>52.5</v>
      </c>
      <c r="G137" s="33"/>
      <c r="H137" s="33">
        <f t="shared" si="17"/>
        <v>375</v>
      </c>
      <c r="I137" s="33">
        <f t="shared" si="17"/>
        <v>525</v>
      </c>
      <c r="J137" s="34"/>
    </row>
    <row r="138" spans="1:10" ht="10.5" customHeight="1" x14ac:dyDescent="0.2">
      <c r="A138" s="80"/>
      <c r="B138" s="35" t="s">
        <v>62</v>
      </c>
      <c r="C138" s="33">
        <v>50</v>
      </c>
      <c r="D138" s="33"/>
      <c r="E138" s="174">
        <f t="shared" si="15"/>
        <v>12.5</v>
      </c>
      <c r="F138" s="33">
        <f t="shared" si="16"/>
        <v>17.5</v>
      </c>
      <c r="G138" s="33"/>
      <c r="H138" s="33">
        <f t="shared" si="17"/>
        <v>125</v>
      </c>
      <c r="I138" s="33">
        <f t="shared" si="17"/>
        <v>175</v>
      </c>
      <c r="J138" s="34"/>
    </row>
    <row r="139" spans="1:10" ht="10.5" customHeight="1" x14ac:dyDescent="0.2">
      <c r="A139" s="80"/>
      <c r="B139" s="35" t="s">
        <v>29</v>
      </c>
      <c r="C139" s="33">
        <v>9.8000000000000007</v>
      </c>
      <c r="D139" s="33"/>
      <c r="E139" s="174">
        <f t="shared" si="15"/>
        <v>2.4500000000000002</v>
      </c>
      <c r="F139" s="33">
        <f t="shared" si="16"/>
        <v>3.43</v>
      </c>
      <c r="G139" s="33"/>
      <c r="H139" s="33">
        <f t="shared" si="17"/>
        <v>24.5</v>
      </c>
      <c r="I139" s="33">
        <f t="shared" si="17"/>
        <v>34.300000000000004</v>
      </c>
      <c r="J139" s="34"/>
    </row>
    <row r="140" spans="1:10" ht="10.5" customHeight="1" x14ac:dyDescent="0.2">
      <c r="A140" s="80"/>
      <c r="B140" s="35" t="s">
        <v>35</v>
      </c>
      <c r="C140" s="33">
        <v>10</v>
      </c>
      <c r="D140" s="33"/>
      <c r="E140" s="174">
        <f t="shared" si="15"/>
        <v>2.5</v>
      </c>
      <c r="F140" s="33">
        <f t="shared" si="16"/>
        <v>3.5</v>
      </c>
      <c r="G140" s="33"/>
      <c r="H140" s="33">
        <f t="shared" si="17"/>
        <v>25</v>
      </c>
      <c r="I140" s="33">
        <f t="shared" si="17"/>
        <v>35</v>
      </c>
      <c r="J140" s="34"/>
    </row>
    <row r="141" spans="1:10" ht="10.5" customHeight="1" x14ac:dyDescent="0.2">
      <c r="A141" s="80"/>
      <c r="B141" s="35" t="s">
        <v>30</v>
      </c>
      <c r="C141" s="33">
        <v>30</v>
      </c>
      <c r="D141" s="33"/>
      <c r="E141" s="174">
        <f t="shared" si="15"/>
        <v>7.5</v>
      </c>
      <c r="F141" s="33">
        <f t="shared" si="16"/>
        <v>10.5</v>
      </c>
      <c r="G141" s="33"/>
      <c r="H141" s="33">
        <f t="shared" si="17"/>
        <v>75</v>
      </c>
      <c r="I141" s="33">
        <f t="shared" si="17"/>
        <v>105</v>
      </c>
      <c r="J141" s="34"/>
    </row>
    <row r="142" spans="1:10" ht="10.5" customHeight="1" x14ac:dyDescent="0.2">
      <c r="A142" s="80"/>
      <c r="B142" s="35" t="s">
        <v>31</v>
      </c>
      <c r="C142" s="33">
        <v>15</v>
      </c>
      <c r="D142" s="33"/>
      <c r="E142" s="174">
        <f t="shared" si="15"/>
        <v>3.75</v>
      </c>
      <c r="F142" s="33">
        <f t="shared" si="16"/>
        <v>5.25</v>
      </c>
      <c r="G142" s="33"/>
      <c r="H142" s="33">
        <f t="shared" si="17"/>
        <v>37.5</v>
      </c>
      <c r="I142" s="33">
        <f t="shared" si="17"/>
        <v>52.5</v>
      </c>
      <c r="J142" s="34"/>
    </row>
    <row r="143" spans="1:10" ht="10.5" customHeight="1" x14ac:dyDescent="0.2">
      <c r="A143" s="80"/>
      <c r="B143" s="35" t="s">
        <v>65</v>
      </c>
      <c r="C143" s="33">
        <v>40</v>
      </c>
      <c r="D143" s="33"/>
      <c r="E143" s="174">
        <f t="shared" si="15"/>
        <v>10</v>
      </c>
      <c r="F143" s="33">
        <f t="shared" si="16"/>
        <v>14</v>
      </c>
      <c r="G143" s="33"/>
      <c r="H143" s="33">
        <f t="shared" si="17"/>
        <v>100</v>
      </c>
      <c r="I143" s="33">
        <f t="shared" si="17"/>
        <v>140</v>
      </c>
      <c r="J143" s="34"/>
    </row>
    <row r="144" spans="1:10" ht="10.5" customHeight="1" x14ac:dyDescent="0.2">
      <c r="A144" s="80"/>
      <c r="B144" s="35" t="s">
        <v>32</v>
      </c>
      <c r="C144" s="33">
        <v>40</v>
      </c>
      <c r="D144" s="33"/>
      <c r="E144" s="174">
        <f t="shared" si="15"/>
        <v>10</v>
      </c>
      <c r="F144" s="33">
        <f t="shared" si="16"/>
        <v>14</v>
      </c>
      <c r="G144" s="33"/>
      <c r="H144" s="33">
        <f t="shared" si="17"/>
        <v>100</v>
      </c>
      <c r="I144" s="33">
        <f t="shared" si="17"/>
        <v>140</v>
      </c>
      <c r="J144" s="34"/>
    </row>
    <row r="145" spans="1:97" ht="10.5" customHeight="1" x14ac:dyDescent="0.2">
      <c r="A145" s="80"/>
      <c r="B145" s="35" t="s">
        <v>33</v>
      </c>
      <c r="C145" s="33">
        <v>10</v>
      </c>
      <c r="D145" s="33"/>
      <c r="E145" s="174">
        <f t="shared" si="15"/>
        <v>2.5</v>
      </c>
      <c r="F145" s="33">
        <f t="shared" si="16"/>
        <v>3.5</v>
      </c>
      <c r="G145" s="33"/>
      <c r="H145" s="33">
        <f t="shared" si="17"/>
        <v>25</v>
      </c>
      <c r="I145" s="33">
        <f t="shared" si="17"/>
        <v>35</v>
      </c>
      <c r="J145" s="34"/>
    </row>
    <row r="146" spans="1:97" ht="10.5" customHeight="1" x14ac:dyDescent="0.2">
      <c r="A146" s="80"/>
      <c r="B146" s="35" t="s">
        <v>16</v>
      </c>
      <c r="C146" s="33">
        <v>0.4</v>
      </c>
      <c r="D146" s="33"/>
      <c r="E146" s="174">
        <f t="shared" si="15"/>
        <v>0.1</v>
      </c>
      <c r="F146" s="33">
        <f t="shared" si="16"/>
        <v>0.13999999999999999</v>
      </c>
      <c r="G146" s="33"/>
      <c r="H146" s="33">
        <f t="shared" si="17"/>
        <v>1</v>
      </c>
      <c r="I146" s="33">
        <f t="shared" si="17"/>
        <v>1.4</v>
      </c>
      <c r="J146" s="34"/>
    </row>
    <row r="147" spans="1:97" ht="10.5" customHeight="1" x14ac:dyDescent="0.2">
      <c r="A147" s="80"/>
      <c r="B147" s="35" t="s">
        <v>56</v>
      </c>
      <c r="C147" s="33">
        <v>1.2</v>
      </c>
      <c r="D147" s="33"/>
      <c r="E147" s="174">
        <f t="shared" si="15"/>
        <v>0.3</v>
      </c>
      <c r="F147" s="33">
        <f t="shared" si="16"/>
        <v>0.42</v>
      </c>
      <c r="G147" s="33"/>
      <c r="H147" s="33">
        <f t="shared" si="17"/>
        <v>3</v>
      </c>
      <c r="I147" s="33">
        <f t="shared" si="17"/>
        <v>4.2</v>
      </c>
      <c r="J147" s="34"/>
    </row>
    <row r="148" spans="1:97" ht="10.5" customHeight="1" x14ac:dyDescent="0.2">
      <c r="A148" s="80"/>
      <c r="B148" s="40" t="s">
        <v>103</v>
      </c>
      <c r="C148" s="39">
        <v>2</v>
      </c>
      <c r="D148" s="39"/>
      <c r="E148" s="175">
        <f t="shared" si="15"/>
        <v>0.5</v>
      </c>
      <c r="F148" s="39">
        <f t="shared" si="16"/>
        <v>0.7</v>
      </c>
      <c r="G148" s="39"/>
      <c r="H148" s="39">
        <f t="shared" si="17"/>
        <v>5</v>
      </c>
      <c r="I148" s="39">
        <f t="shared" si="17"/>
        <v>7</v>
      </c>
      <c r="J148" s="34"/>
    </row>
    <row r="149" spans="1:97" ht="10.5" customHeight="1" x14ac:dyDescent="0.2">
      <c r="A149" s="80"/>
      <c r="B149" s="35" t="s">
        <v>34</v>
      </c>
      <c r="C149" s="33">
        <v>1</v>
      </c>
      <c r="D149" s="33"/>
      <c r="E149" s="174">
        <f t="shared" si="15"/>
        <v>0.25</v>
      </c>
      <c r="F149" s="33">
        <f t="shared" si="16"/>
        <v>0.35</v>
      </c>
      <c r="G149" s="33"/>
      <c r="H149" s="33">
        <f t="shared" si="17"/>
        <v>2.5</v>
      </c>
      <c r="I149" s="33">
        <f t="shared" si="17"/>
        <v>3.5</v>
      </c>
      <c r="J149" s="34"/>
    </row>
    <row r="150" spans="1:97" ht="10.5" customHeight="1" x14ac:dyDescent="0.2">
      <c r="A150" s="84"/>
      <c r="B150" s="35" t="s">
        <v>58</v>
      </c>
      <c r="C150" s="33">
        <v>3</v>
      </c>
      <c r="D150" s="33"/>
      <c r="E150" s="174">
        <f t="shared" si="15"/>
        <v>0.75</v>
      </c>
      <c r="F150" s="33">
        <f t="shared" si="16"/>
        <v>1.0499999999999998</v>
      </c>
      <c r="G150" s="33"/>
      <c r="H150" s="33">
        <f t="shared" si="17"/>
        <v>7.5</v>
      </c>
      <c r="I150" s="33">
        <f t="shared" si="17"/>
        <v>10.499999999999998</v>
      </c>
      <c r="J150" s="36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</row>
    <row r="151" spans="1:97" ht="10.5" customHeight="1" x14ac:dyDescent="0.2">
      <c r="A151" s="80"/>
      <c r="B151" s="39" t="s">
        <v>102</v>
      </c>
      <c r="C151" s="39">
        <v>2</v>
      </c>
      <c r="D151" s="39"/>
      <c r="E151" s="175">
        <f t="shared" si="15"/>
        <v>0.5</v>
      </c>
      <c r="F151" s="39">
        <f t="shared" si="16"/>
        <v>0.7</v>
      </c>
      <c r="G151" s="39"/>
      <c r="H151" s="39">
        <f t="shared" si="17"/>
        <v>5</v>
      </c>
      <c r="I151" s="39">
        <f t="shared" si="17"/>
        <v>7</v>
      </c>
      <c r="J151" s="34"/>
    </row>
    <row r="152" spans="1:97" s="37" customFormat="1" ht="10.5" customHeight="1" x14ac:dyDescent="0.2">
      <c r="A152" s="85"/>
      <c r="B152" s="33"/>
      <c r="C152" s="33"/>
      <c r="D152" s="33"/>
      <c r="E152" s="33"/>
      <c r="F152" s="33"/>
      <c r="G152" s="33"/>
      <c r="H152" s="33"/>
      <c r="I152" s="33"/>
    </row>
    <row r="153" spans="1:97" s="37" customFormat="1" ht="10.5" customHeight="1" x14ac:dyDescent="0.2">
      <c r="A153" s="85"/>
    </row>
    <row r="154" spans="1:97" s="37" customFormat="1" ht="10.5" customHeight="1" x14ac:dyDescent="0.2">
      <c r="A154" s="85"/>
    </row>
    <row r="155" spans="1:97" s="38" customFormat="1" ht="10.5" customHeight="1" x14ac:dyDescent="0.2">
      <c r="A155" s="86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</row>
    <row r="156" spans="1:97" s="38" customFormat="1" ht="10.5" customHeight="1" x14ac:dyDescent="0.2">
      <c r="A156" s="86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</row>
    <row r="157" spans="1:97" s="37" customFormat="1" ht="10.5" customHeight="1" x14ac:dyDescent="0.2">
      <c r="A157" s="85"/>
    </row>
    <row r="158" spans="1:97" s="37" customFormat="1" ht="10.5" customHeight="1" x14ac:dyDescent="0.2">
      <c r="A158" s="85"/>
    </row>
    <row r="159" spans="1:97" s="37" customFormat="1" ht="10.5" customHeight="1" x14ac:dyDescent="0.2">
      <c r="A159" s="85"/>
    </row>
    <row r="160" spans="1:97" s="37" customFormat="1" ht="10.5" customHeight="1" x14ac:dyDescent="0.2">
      <c r="A160" s="85"/>
    </row>
    <row r="161" spans="1:1" s="37" customFormat="1" ht="10.5" customHeight="1" x14ac:dyDescent="0.2">
      <c r="A161" s="85"/>
    </row>
    <row r="162" spans="1:1" s="37" customFormat="1" ht="10.5" customHeight="1" x14ac:dyDescent="0.2">
      <c r="A162" s="85"/>
    </row>
    <row r="163" spans="1:1" s="37" customFormat="1" ht="10.5" customHeight="1" x14ac:dyDescent="0.2">
      <c r="A163" s="85"/>
    </row>
    <row r="164" spans="1:1" s="37" customFormat="1" ht="10.5" customHeight="1" x14ac:dyDescent="0.2">
      <c r="A164" s="85"/>
    </row>
    <row r="165" spans="1:1" s="37" customFormat="1" ht="10.5" customHeight="1" x14ac:dyDescent="0.2">
      <c r="A165" s="85"/>
    </row>
    <row r="166" spans="1:1" s="37" customFormat="1" ht="10.5" customHeight="1" x14ac:dyDescent="0.2">
      <c r="A166" s="85"/>
    </row>
    <row r="167" spans="1:1" s="37" customFormat="1" ht="10.5" customHeight="1" x14ac:dyDescent="0.2">
      <c r="A167" s="85"/>
    </row>
    <row r="168" spans="1:1" s="37" customFormat="1" ht="10.5" customHeight="1" x14ac:dyDescent="0.2">
      <c r="A168" s="85"/>
    </row>
    <row r="169" spans="1:1" s="37" customFormat="1" ht="10.5" customHeight="1" x14ac:dyDescent="0.2">
      <c r="A169" s="85"/>
    </row>
    <row r="170" spans="1:1" s="37" customFormat="1" ht="10.5" customHeight="1" x14ac:dyDescent="0.2">
      <c r="A170" s="85"/>
    </row>
    <row r="171" spans="1:1" s="37" customFormat="1" ht="10.5" customHeight="1" x14ac:dyDescent="0.2">
      <c r="A171" s="85"/>
    </row>
    <row r="172" spans="1:1" s="37" customFormat="1" ht="10.5" customHeight="1" x14ac:dyDescent="0.2">
      <c r="A172" s="85"/>
    </row>
    <row r="173" spans="1:1" s="37" customFormat="1" ht="10.5" customHeight="1" x14ac:dyDescent="0.2">
      <c r="A173" s="85"/>
    </row>
    <row r="174" spans="1:1" s="37" customFormat="1" ht="10.5" customHeight="1" x14ac:dyDescent="0.2">
      <c r="A174" s="85"/>
    </row>
    <row r="175" spans="1:1" s="37" customFormat="1" ht="10.5" customHeight="1" x14ac:dyDescent="0.2">
      <c r="A175" s="85"/>
    </row>
    <row r="176" spans="1:1" s="37" customFormat="1" ht="10.5" customHeight="1" x14ac:dyDescent="0.2">
      <c r="A176" s="85"/>
    </row>
    <row r="177" spans="1:1" s="37" customFormat="1" ht="10.5" customHeight="1" x14ac:dyDescent="0.2">
      <c r="A177" s="85"/>
    </row>
    <row r="178" spans="1:1" s="37" customFormat="1" ht="10.5" customHeight="1" x14ac:dyDescent="0.2">
      <c r="A178" s="85"/>
    </row>
    <row r="179" spans="1:1" s="37" customFormat="1" ht="10.5" customHeight="1" x14ac:dyDescent="0.2">
      <c r="A179" s="85"/>
    </row>
    <row r="180" spans="1:1" s="37" customFormat="1" ht="10.5" customHeight="1" x14ac:dyDescent="0.2">
      <c r="A180" s="85"/>
    </row>
    <row r="181" spans="1:1" s="37" customFormat="1" ht="10.5" customHeight="1" x14ac:dyDescent="0.2">
      <c r="A181" s="85"/>
    </row>
    <row r="182" spans="1:1" s="37" customFormat="1" ht="10.5" customHeight="1" x14ac:dyDescent="0.2">
      <c r="A182" s="85"/>
    </row>
    <row r="183" spans="1:1" s="37" customFormat="1" ht="10.5" customHeight="1" x14ac:dyDescent="0.2">
      <c r="A183" s="85"/>
    </row>
    <row r="184" spans="1:1" s="37" customFormat="1" ht="10.5" customHeight="1" x14ac:dyDescent="0.2">
      <c r="A184" s="85"/>
    </row>
    <row r="185" spans="1:1" s="37" customFormat="1" ht="10.5" customHeight="1" x14ac:dyDescent="0.2">
      <c r="A185" s="85"/>
    </row>
    <row r="186" spans="1:1" s="37" customFormat="1" ht="10.5" customHeight="1" x14ac:dyDescent="0.2">
      <c r="A186" s="85"/>
    </row>
    <row r="187" spans="1:1" s="37" customFormat="1" ht="10.5" customHeight="1" x14ac:dyDescent="0.2">
      <c r="A187" s="85"/>
    </row>
    <row r="188" spans="1:1" s="37" customFormat="1" ht="10.5" customHeight="1" x14ac:dyDescent="0.2">
      <c r="A188" s="85"/>
    </row>
    <row r="189" spans="1:1" s="37" customFormat="1" ht="10.5" customHeight="1" x14ac:dyDescent="0.2">
      <c r="A189" s="85"/>
    </row>
    <row r="190" spans="1:1" s="37" customFormat="1" ht="10.5" customHeight="1" x14ac:dyDescent="0.2">
      <c r="A190" s="85"/>
    </row>
    <row r="191" spans="1:1" s="37" customFormat="1" ht="10.5" customHeight="1" x14ac:dyDescent="0.2">
      <c r="A191" s="85"/>
    </row>
    <row r="192" spans="1:1" s="37" customFormat="1" ht="10.5" customHeight="1" x14ac:dyDescent="0.2">
      <c r="A192" s="85"/>
    </row>
    <row r="193" spans="1:1" s="37" customFormat="1" ht="10.5" customHeight="1" x14ac:dyDescent="0.2">
      <c r="A193" s="85"/>
    </row>
    <row r="194" spans="1:1" s="37" customFormat="1" ht="10.5" customHeight="1" x14ac:dyDescent="0.2">
      <c r="A194" s="85"/>
    </row>
    <row r="195" spans="1:1" s="37" customFormat="1" ht="10.5" customHeight="1" x14ac:dyDescent="0.2">
      <c r="A195" s="85"/>
    </row>
    <row r="196" spans="1:1" s="37" customFormat="1" ht="10.5" customHeight="1" x14ac:dyDescent="0.2">
      <c r="A196" s="85"/>
    </row>
    <row r="197" spans="1:1" s="37" customFormat="1" ht="10.5" customHeight="1" x14ac:dyDescent="0.2">
      <c r="A197" s="85"/>
    </row>
    <row r="198" spans="1:1" s="37" customFormat="1" ht="10.5" customHeight="1" x14ac:dyDescent="0.2">
      <c r="A198" s="85"/>
    </row>
    <row r="199" spans="1:1" s="37" customFormat="1" ht="10.5" customHeight="1" x14ac:dyDescent="0.2">
      <c r="A199" s="85"/>
    </row>
    <row r="200" spans="1:1" s="37" customFormat="1" ht="10.5" customHeight="1" x14ac:dyDescent="0.2">
      <c r="A200" s="85"/>
    </row>
    <row r="201" spans="1:1" s="37" customFormat="1" ht="10.5" customHeight="1" x14ac:dyDescent="0.2">
      <c r="A201" s="85"/>
    </row>
    <row r="202" spans="1:1" s="37" customFormat="1" ht="10.5" customHeight="1" x14ac:dyDescent="0.2">
      <c r="A202" s="85"/>
    </row>
    <row r="203" spans="1:1" s="37" customFormat="1" ht="10.5" customHeight="1" x14ac:dyDescent="0.2">
      <c r="A203" s="85"/>
    </row>
    <row r="204" spans="1:1" s="37" customFormat="1" ht="10.5" customHeight="1" x14ac:dyDescent="0.2">
      <c r="A204" s="85"/>
    </row>
    <row r="205" spans="1:1" s="37" customFormat="1" ht="10.5" customHeight="1" x14ac:dyDescent="0.2">
      <c r="A205" s="85"/>
    </row>
    <row r="206" spans="1:1" s="37" customFormat="1" ht="10.5" customHeight="1" x14ac:dyDescent="0.2">
      <c r="A206" s="85"/>
    </row>
    <row r="207" spans="1:1" s="37" customFormat="1" ht="10.5" customHeight="1" x14ac:dyDescent="0.2">
      <c r="A207" s="85"/>
    </row>
    <row r="208" spans="1:1" s="37" customFormat="1" ht="10.5" customHeight="1" x14ac:dyDescent="0.2">
      <c r="A208" s="85"/>
    </row>
    <row r="209" spans="1:1" s="37" customFormat="1" ht="10.5" customHeight="1" x14ac:dyDescent="0.2">
      <c r="A209" s="85"/>
    </row>
    <row r="210" spans="1:1" s="37" customFormat="1" ht="10.5" customHeight="1" x14ac:dyDescent="0.2">
      <c r="A210" s="85"/>
    </row>
    <row r="211" spans="1:1" s="37" customFormat="1" ht="10.5" customHeight="1" x14ac:dyDescent="0.2">
      <c r="A211" s="85"/>
    </row>
    <row r="212" spans="1:1" s="37" customFormat="1" ht="10.5" customHeight="1" x14ac:dyDescent="0.2">
      <c r="A212" s="85"/>
    </row>
    <row r="213" spans="1:1" s="37" customFormat="1" ht="10.5" customHeight="1" x14ac:dyDescent="0.2">
      <c r="A213" s="85"/>
    </row>
    <row r="214" spans="1:1" s="37" customFormat="1" ht="10.5" customHeight="1" x14ac:dyDescent="0.2">
      <c r="A214" s="85"/>
    </row>
    <row r="215" spans="1:1" s="37" customFormat="1" ht="10.5" customHeight="1" x14ac:dyDescent="0.2">
      <c r="A215" s="85"/>
    </row>
    <row r="216" spans="1:1" s="37" customFormat="1" ht="10.5" customHeight="1" x14ac:dyDescent="0.2">
      <c r="A216" s="85"/>
    </row>
    <row r="217" spans="1:1" s="37" customFormat="1" ht="10.5" customHeight="1" x14ac:dyDescent="0.2">
      <c r="A217" s="85"/>
    </row>
    <row r="218" spans="1:1" s="37" customFormat="1" ht="10.5" customHeight="1" x14ac:dyDescent="0.2">
      <c r="A218" s="85"/>
    </row>
    <row r="219" spans="1:1" s="37" customFormat="1" ht="10.5" customHeight="1" x14ac:dyDescent="0.2">
      <c r="A219" s="85"/>
    </row>
    <row r="220" spans="1:1" s="37" customFormat="1" ht="10.5" customHeight="1" x14ac:dyDescent="0.2">
      <c r="A220" s="85"/>
    </row>
    <row r="221" spans="1:1" s="37" customFormat="1" ht="10.5" customHeight="1" x14ac:dyDescent="0.2">
      <c r="A221" s="85"/>
    </row>
    <row r="222" spans="1:1" s="37" customFormat="1" ht="10.5" customHeight="1" x14ac:dyDescent="0.2">
      <c r="A222" s="85"/>
    </row>
    <row r="223" spans="1:1" s="37" customFormat="1" ht="10.5" customHeight="1" x14ac:dyDescent="0.2">
      <c r="A223" s="85"/>
    </row>
    <row r="224" spans="1:1" s="37" customFormat="1" ht="10.5" customHeight="1" x14ac:dyDescent="0.2">
      <c r="A224" s="85"/>
    </row>
    <row r="225" spans="1:1" s="37" customFormat="1" ht="10.5" customHeight="1" x14ac:dyDescent="0.2">
      <c r="A225" s="85"/>
    </row>
    <row r="226" spans="1:1" s="37" customFormat="1" ht="10.5" customHeight="1" x14ac:dyDescent="0.2">
      <c r="A226" s="85"/>
    </row>
    <row r="227" spans="1:1" s="37" customFormat="1" ht="10.5" customHeight="1" x14ac:dyDescent="0.2">
      <c r="A227" s="85"/>
    </row>
    <row r="228" spans="1:1" s="37" customFormat="1" ht="10.5" customHeight="1" x14ac:dyDescent="0.2">
      <c r="A228" s="85"/>
    </row>
    <row r="229" spans="1:1" s="37" customFormat="1" ht="10.5" customHeight="1" x14ac:dyDescent="0.2">
      <c r="A229" s="85"/>
    </row>
    <row r="230" spans="1:1" s="37" customFormat="1" ht="10.5" customHeight="1" x14ac:dyDescent="0.2">
      <c r="A230" s="85"/>
    </row>
    <row r="231" spans="1:1" s="37" customFormat="1" ht="10.5" customHeight="1" x14ac:dyDescent="0.2">
      <c r="A231" s="85"/>
    </row>
    <row r="232" spans="1:1" s="37" customFormat="1" ht="10.5" customHeight="1" x14ac:dyDescent="0.2">
      <c r="A232" s="85"/>
    </row>
    <row r="233" spans="1:1" s="37" customFormat="1" ht="10.5" customHeight="1" x14ac:dyDescent="0.2">
      <c r="A233" s="85"/>
    </row>
    <row r="234" spans="1:1" s="37" customFormat="1" ht="10.5" customHeight="1" x14ac:dyDescent="0.2">
      <c r="A234" s="85"/>
    </row>
    <row r="235" spans="1:1" s="37" customFormat="1" ht="10.5" customHeight="1" x14ac:dyDescent="0.2">
      <c r="A235" s="85"/>
    </row>
    <row r="236" spans="1:1" s="37" customFormat="1" ht="10.5" customHeight="1" x14ac:dyDescent="0.2">
      <c r="A236" s="85"/>
    </row>
    <row r="237" spans="1:1" s="37" customFormat="1" ht="10.5" customHeight="1" x14ac:dyDescent="0.2">
      <c r="A237" s="85"/>
    </row>
    <row r="238" spans="1:1" s="37" customFormat="1" ht="10.5" customHeight="1" x14ac:dyDescent="0.2">
      <c r="A238" s="85"/>
    </row>
    <row r="239" spans="1:1" s="37" customFormat="1" ht="10.5" customHeight="1" x14ac:dyDescent="0.2">
      <c r="A239" s="85"/>
    </row>
    <row r="240" spans="1:1" s="37" customFormat="1" ht="10.5" customHeight="1" x14ac:dyDescent="0.2">
      <c r="A240" s="85"/>
    </row>
    <row r="241" spans="1:1" s="37" customFormat="1" ht="10.5" customHeight="1" x14ac:dyDescent="0.2">
      <c r="A241" s="85"/>
    </row>
    <row r="242" spans="1:1" s="37" customFormat="1" ht="10.5" customHeight="1" x14ac:dyDescent="0.2">
      <c r="A242" s="85"/>
    </row>
    <row r="243" spans="1:1" s="37" customFormat="1" ht="10.5" customHeight="1" x14ac:dyDescent="0.2">
      <c r="A243" s="85"/>
    </row>
    <row r="244" spans="1:1" s="37" customFormat="1" ht="10.5" customHeight="1" x14ac:dyDescent="0.2">
      <c r="A244" s="85"/>
    </row>
    <row r="245" spans="1:1" s="37" customFormat="1" ht="10.5" customHeight="1" x14ac:dyDescent="0.2">
      <c r="A245" s="85"/>
    </row>
    <row r="246" spans="1:1" s="37" customFormat="1" ht="10.5" customHeight="1" x14ac:dyDescent="0.2">
      <c r="A246" s="85"/>
    </row>
    <row r="247" spans="1:1" s="37" customFormat="1" ht="10.5" customHeight="1" x14ac:dyDescent="0.2">
      <c r="A247" s="85"/>
    </row>
    <row r="248" spans="1:1" s="37" customFormat="1" ht="10.5" customHeight="1" x14ac:dyDescent="0.2">
      <c r="A248" s="85"/>
    </row>
    <row r="249" spans="1:1" s="37" customFormat="1" ht="10.5" customHeight="1" x14ac:dyDescent="0.2">
      <c r="A249" s="85"/>
    </row>
    <row r="250" spans="1:1" s="37" customFormat="1" ht="10.5" customHeight="1" x14ac:dyDescent="0.2">
      <c r="A250" s="85"/>
    </row>
    <row r="251" spans="1:1" s="37" customFormat="1" ht="10.5" customHeight="1" x14ac:dyDescent="0.2">
      <c r="A251" s="85"/>
    </row>
    <row r="252" spans="1:1" s="37" customFormat="1" ht="10.5" customHeight="1" x14ac:dyDescent="0.2">
      <c r="A252" s="85"/>
    </row>
    <row r="253" spans="1:1" s="37" customFormat="1" ht="10.5" customHeight="1" x14ac:dyDescent="0.2">
      <c r="A253" s="85"/>
    </row>
    <row r="254" spans="1:1" s="37" customFormat="1" ht="10.5" customHeight="1" x14ac:dyDescent="0.2">
      <c r="A254" s="85"/>
    </row>
    <row r="255" spans="1:1" s="37" customFormat="1" ht="10.5" customHeight="1" x14ac:dyDescent="0.2">
      <c r="A255" s="85"/>
    </row>
    <row r="256" spans="1:1" s="37" customFormat="1" ht="10.5" customHeight="1" x14ac:dyDescent="0.2">
      <c r="A256" s="85"/>
    </row>
    <row r="257" spans="1:1" s="37" customFormat="1" ht="10.5" customHeight="1" x14ac:dyDescent="0.2">
      <c r="A257" s="85"/>
    </row>
    <row r="258" spans="1:1" s="37" customFormat="1" ht="10.5" customHeight="1" x14ac:dyDescent="0.2">
      <c r="A258" s="85"/>
    </row>
    <row r="259" spans="1:1" s="37" customFormat="1" ht="10.5" customHeight="1" x14ac:dyDescent="0.2">
      <c r="A259" s="85"/>
    </row>
    <row r="260" spans="1:1" s="37" customFormat="1" ht="10.5" customHeight="1" x14ac:dyDescent="0.2">
      <c r="A260" s="85"/>
    </row>
    <row r="261" spans="1:1" s="37" customFormat="1" ht="10.5" customHeight="1" x14ac:dyDescent="0.2">
      <c r="A261" s="85"/>
    </row>
    <row r="262" spans="1:1" s="37" customFormat="1" ht="10.5" customHeight="1" x14ac:dyDescent="0.2">
      <c r="A262" s="85"/>
    </row>
    <row r="263" spans="1:1" s="37" customFormat="1" ht="10.5" customHeight="1" x14ac:dyDescent="0.2">
      <c r="A263" s="85"/>
    </row>
    <row r="264" spans="1:1" s="37" customFormat="1" ht="10.5" customHeight="1" x14ac:dyDescent="0.2">
      <c r="A264" s="85"/>
    </row>
    <row r="265" spans="1:1" s="37" customFormat="1" ht="10.5" customHeight="1" x14ac:dyDescent="0.2">
      <c r="A265" s="85"/>
    </row>
    <row r="266" spans="1:1" s="37" customFormat="1" ht="10.5" customHeight="1" x14ac:dyDescent="0.2">
      <c r="A266" s="85"/>
    </row>
    <row r="267" spans="1:1" s="37" customFormat="1" ht="10.5" customHeight="1" x14ac:dyDescent="0.2">
      <c r="A267" s="85"/>
    </row>
    <row r="268" spans="1:1" s="37" customFormat="1" ht="10.5" customHeight="1" x14ac:dyDescent="0.2">
      <c r="A268" s="85"/>
    </row>
    <row r="269" spans="1:1" s="37" customFormat="1" ht="10.5" customHeight="1" x14ac:dyDescent="0.2">
      <c r="A269" s="85"/>
    </row>
    <row r="270" spans="1:1" s="37" customFormat="1" ht="10.5" customHeight="1" x14ac:dyDescent="0.2">
      <c r="A270" s="85"/>
    </row>
    <row r="271" spans="1:1" s="37" customFormat="1" ht="10.5" customHeight="1" x14ac:dyDescent="0.2">
      <c r="A271" s="85"/>
    </row>
    <row r="272" spans="1:1" s="37" customFormat="1" ht="10.5" customHeight="1" x14ac:dyDescent="0.2">
      <c r="A272" s="85"/>
    </row>
    <row r="273" spans="1:1" s="37" customFormat="1" ht="10.5" customHeight="1" x14ac:dyDescent="0.2">
      <c r="A273" s="85"/>
    </row>
    <row r="274" spans="1:1" s="37" customFormat="1" ht="10.5" customHeight="1" x14ac:dyDescent="0.2">
      <c r="A274" s="85"/>
    </row>
    <row r="275" spans="1:1" s="37" customFormat="1" ht="10.5" customHeight="1" x14ac:dyDescent="0.2">
      <c r="A275" s="85"/>
    </row>
    <row r="276" spans="1:1" s="37" customFormat="1" ht="10.5" customHeight="1" x14ac:dyDescent="0.2">
      <c r="A276" s="85"/>
    </row>
    <row r="277" spans="1:1" s="37" customFormat="1" ht="10.5" customHeight="1" x14ac:dyDescent="0.2">
      <c r="A277" s="85"/>
    </row>
    <row r="278" spans="1:1" s="37" customFormat="1" ht="10.5" customHeight="1" x14ac:dyDescent="0.2">
      <c r="A278" s="85"/>
    </row>
    <row r="279" spans="1:1" s="37" customFormat="1" ht="10.5" customHeight="1" x14ac:dyDescent="0.2">
      <c r="A279" s="85"/>
    </row>
    <row r="280" spans="1:1" s="37" customFormat="1" ht="10.5" customHeight="1" x14ac:dyDescent="0.2">
      <c r="A280" s="85"/>
    </row>
    <row r="281" spans="1:1" s="37" customFormat="1" ht="10.5" customHeight="1" x14ac:dyDescent="0.2">
      <c r="A281" s="85"/>
    </row>
    <row r="282" spans="1:1" s="37" customFormat="1" ht="10.5" customHeight="1" x14ac:dyDescent="0.2">
      <c r="A282" s="85"/>
    </row>
    <row r="283" spans="1:1" s="37" customFormat="1" ht="10.5" customHeight="1" x14ac:dyDescent="0.2">
      <c r="A283" s="85"/>
    </row>
    <row r="284" spans="1:1" s="37" customFormat="1" ht="10.5" customHeight="1" x14ac:dyDescent="0.2">
      <c r="A284" s="85"/>
    </row>
    <row r="285" spans="1:1" s="37" customFormat="1" ht="10.5" customHeight="1" x14ac:dyDescent="0.2">
      <c r="A285" s="85"/>
    </row>
    <row r="286" spans="1:1" s="37" customFormat="1" ht="10.5" customHeight="1" x14ac:dyDescent="0.2">
      <c r="A286" s="85"/>
    </row>
    <row r="287" spans="1:1" s="37" customFormat="1" ht="10.5" customHeight="1" x14ac:dyDescent="0.2">
      <c r="A287" s="85"/>
    </row>
    <row r="288" spans="1:1" s="37" customFormat="1" ht="10.5" customHeight="1" x14ac:dyDescent="0.2">
      <c r="A288" s="85"/>
    </row>
    <row r="289" spans="1:1" s="37" customFormat="1" ht="10.5" customHeight="1" x14ac:dyDescent="0.2">
      <c r="A289" s="85"/>
    </row>
    <row r="290" spans="1:1" s="37" customFormat="1" ht="10.5" customHeight="1" x14ac:dyDescent="0.2">
      <c r="A290" s="85"/>
    </row>
    <row r="291" spans="1:1" s="37" customFormat="1" ht="10.5" customHeight="1" x14ac:dyDescent="0.2">
      <c r="A291" s="85"/>
    </row>
    <row r="292" spans="1:1" s="37" customFormat="1" ht="10.5" customHeight="1" x14ac:dyDescent="0.2">
      <c r="A292" s="85"/>
    </row>
    <row r="293" spans="1:1" s="37" customFormat="1" ht="10.5" customHeight="1" x14ac:dyDescent="0.2">
      <c r="A293" s="85"/>
    </row>
    <row r="294" spans="1:1" s="37" customFormat="1" ht="10.5" customHeight="1" x14ac:dyDescent="0.2">
      <c r="A294" s="85"/>
    </row>
    <row r="295" spans="1:1" s="37" customFormat="1" ht="10.5" customHeight="1" x14ac:dyDescent="0.2">
      <c r="A295" s="85"/>
    </row>
    <row r="296" spans="1:1" s="37" customFormat="1" ht="10.5" customHeight="1" x14ac:dyDescent="0.2">
      <c r="A296" s="85"/>
    </row>
    <row r="297" spans="1:1" s="37" customFormat="1" ht="10.5" customHeight="1" x14ac:dyDescent="0.2">
      <c r="A297" s="85"/>
    </row>
    <row r="298" spans="1:1" s="37" customFormat="1" ht="10.5" customHeight="1" x14ac:dyDescent="0.2">
      <c r="A298" s="85"/>
    </row>
    <row r="299" spans="1:1" s="37" customFormat="1" ht="10.5" customHeight="1" x14ac:dyDescent="0.2">
      <c r="A299" s="85"/>
    </row>
    <row r="300" spans="1:1" s="37" customFormat="1" ht="10.5" customHeight="1" x14ac:dyDescent="0.2">
      <c r="A300" s="85"/>
    </row>
    <row r="301" spans="1:1" s="37" customFormat="1" ht="10.5" customHeight="1" x14ac:dyDescent="0.2">
      <c r="A301" s="85"/>
    </row>
    <row r="302" spans="1:1" s="37" customFormat="1" ht="10.5" customHeight="1" x14ac:dyDescent="0.2">
      <c r="A302" s="85"/>
    </row>
    <row r="303" spans="1:1" s="37" customFormat="1" ht="10.5" customHeight="1" x14ac:dyDescent="0.2">
      <c r="A303" s="85"/>
    </row>
    <row r="304" spans="1:1" s="37" customFormat="1" ht="10.5" customHeight="1" x14ac:dyDescent="0.2">
      <c r="A304" s="85"/>
    </row>
    <row r="305" spans="1:1" s="37" customFormat="1" ht="10.5" customHeight="1" x14ac:dyDescent="0.2">
      <c r="A305" s="85"/>
    </row>
    <row r="306" spans="1:1" s="37" customFormat="1" ht="10.5" customHeight="1" x14ac:dyDescent="0.2">
      <c r="A306" s="85"/>
    </row>
    <row r="307" spans="1:1" s="37" customFormat="1" ht="10.5" customHeight="1" x14ac:dyDescent="0.2">
      <c r="A307" s="85"/>
    </row>
    <row r="308" spans="1:1" s="37" customFormat="1" ht="10.5" customHeight="1" x14ac:dyDescent="0.2">
      <c r="A308" s="85"/>
    </row>
    <row r="309" spans="1:1" s="37" customFormat="1" ht="10.5" customHeight="1" x14ac:dyDescent="0.2">
      <c r="A309" s="85"/>
    </row>
    <row r="310" spans="1:1" s="37" customFormat="1" ht="10.5" customHeight="1" x14ac:dyDescent="0.2">
      <c r="A310" s="85"/>
    </row>
    <row r="311" spans="1:1" s="37" customFormat="1" ht="10.5" customHeight="1" x14ac:dyDescent="0.2">
      <c r="A311" s="85"/>
    </row>
    <row r="312" spans="1:1" s="37" customFormat="1" ht="10.5" customHeight="1" x14ac:dyDescent="0.2">
      <c r="A312" s="85"/>
    </row>
    <row r="313" spans="1:1" s="37" customFormat="1" ht="10.5" customHeight="1" x14ac:dyDescent="0.2">
      <c r="A313" s="85"/>
    </row>
    <row r="314" spans="1:1" s="37" customFormat="1" ht="10.5" customHeight="1" x14ac:dyDescent="0.2">
      <c r="A314" s="85"/>
    </row>
    <row r="315" spans="1:1" s="37" customFormat="1" ht="10.5" customHeight="1" x14ac:dyDescent="0.2">
      <c r="A315" s="85"/>
    </row>
    <row r="316" spans="1:1" s="37" customFormat="1" ht="10.5" customHeight="1" x14ac:dyDescent="0.2">
      <c r="A316" s="85"/>
    </row>
    <row r="317" spans="1:1" s="37" customFormat="1" ht="10.5" customHeight="1" x14ac:dyDescent="0.2">
      <c r="A317" s="85"/>
    </row>
    <row r="318" spans="1:1" s="37" customFormat="1" ht="10.5" customHeight="1" x14ac:dyDescent="0.2">
      <c r="A318" s="85"/>
    </row>
    <row r="319" spans="1:1" s="37" customFormat="1" ht="10.5" customHeight="1" x14ac:dyDescent="0.2">
      <c r="A319" s="85"/>
    </row>
    <row r="320" spans="1:1" s="37" customFormat="1" ht="10.5" customHeight="1" x14ac:dyDescent="0.2">
      <c r="A320" s="85"/>
    </row>
    <row r="321" spans="1:1" s="37" customFormat="1" ht="10.5" customHeight="1" x14ac:dyDescent="0.2">
      <c r="A321" s="85"/>
    </row>
    <row r="322" spans="1:1" s="37" customFormat="1" ht="10.5" customHeight="1" x14ac:dyDescent="0.2">
      <c r="A322" s="85"/>
    </row>
    <row r="323" spans="1:1" s="37" customFormat="1" ht="10.5" customHeight="1" x14ac:dyDescent="0.2">
      <c r="A323" s="85"/>
    </row>
    <row r="324" spans="1:1" s="37" customFormat="1" ht="10.5" customHeight="1" x14ac:dyDescent="0.2">
      <c r="A324" s="85"/>
    </row>
    <row r="325" spans="1:1" s="37" customFormat="1" ht="10.5" customHeight="1" x14ac:dyDescent="0.2">
      <c r="A325" s="85"/>
    </row>
    <row r="326" spans="1:1" s="37" customFormat="1" ht="10.5" customHeight="1" x14ac:dyDescent="0.2">
      <c r="A326" s="85"/>
    </row>
    <row r="327" spans="1:1" s="37" customFormat="1" ht="10.5" customHeight="1" x14ac:dyDescent="0.2">
      <c r="A327" s="85"/>
    </row>
    <row r="328" spans="1:1" s="37" customFormat="1" ht="10.5" customHeight="1" x14ac:dyDescent="0.2">
      <c r="A328" s="85"/>
    </row>
    <row r="329" spans="1:1" s="37" customFormat="1" ht="10.5" customHeight="1" x14ac:dyDescent="0.2">
      <c r="A329" s="85"/>
    </row>
    <row r="330" spans="1:1" s="37" customFormat="1" ht="10.5" customHeight="1" x14ac:dyDescent="0.2">
      <c r="A330" s="85"/>
    </row>
    <row r="331" spans="1:1" s="37" customFormat="1" ht="10.5" customHeight="1" x14ac:dyDescent="0.2">
      <c r="A331" s="85"/>
    </row>
    <row r="332" spans="1:1" s="37" customFormat="1" ht="10.5" customHeight="1" x14ac:dyDescent="0.2">
      <c r="A332" s="85"/>
    </row>
    <row r="333" spans="1:1" s="37" customFormat="1" ht="10.5" customHeight="1" x14ac:dyDescent="0.2">
      <c r="A333" s="85"/>
    </row>
    <row r="334" spans="1:1" s="37" customFormat="1" ht="10.5" customHeight="1" x14ac:dyDescent="0.2">
      <c r="A334" s="85"/>
    </row>
    <row r="335" spans="1:1" s="37" customFormat="1" ht="10.5" customHeight="1" x14ac:dyDescent="0.2">
      <c r="A335" s="85"/>
    </row>
    <row r="336" spans="1:1" s="37" customFormat="1" ht="10.5" customHeight="1" x14ac:dyDescent="0.2">
      <c r="A336" s="85"/>
    </row>
    <row r="337" spans="1:1" s="37" customFormat="1" ht="10.5" customHeight="1" x14ac:dyDescent="0.2">
      <c r="A337" s="85"/>
    </row>
    <row r="338" spans="1:1" s="37" customFormat="1" ht="10.5" customHeight="1" x14ac:dyDescent="0.2">
      <c r="A338" s="85"/>
    </row>
    <row r="339" spans="1:1" s="37" customFormat="1" ht="10.5" customHeight="1" x14ac:dyDescent="0.2">
      <c r="A339" s="85"/>
    </row>
    <row r="340" spans="1:1" s="37" customFormat="1" ht="10.5" customHeight="1" x14ac:dyDescent="0.2">
      <c r="A340" s="85"/>
    </row>
    <row r="341" spans="1:1" s="37" customFormat="1" ht="10.5" customHeight="1" x14ac:dyDescent="0.2">
      <c r="A341" s="85"/>
    </row>
    <row r="342" spans="1:1" s="37" customFormat="1" ht="10.5" customHeight="1" x14ac:dyDescent="0.2">
      <c r="A342" s="85"/>
    </row>
    <row r="343" spans="1:1" s="37" customFormat="1" ht="10.5" customHeight="1" x14ac:dyDescent="0.2">
      <c r="A343" s="85"/>
    </row>
    <row r="344" spans="1:1" s="37" customFormat="1" ht="10.5" customHeight="1" x14ac:dyDescent="0.2">
      <c r="A344" s="85"/>
    </row>
    <row r="345" spans="1:1" s="37" customFormat="1" ht="10.5" customHeight="1" x14ac:dyDescent="0.2">
      <c r="A345" s="85"/>
    </row>
    <row r="346" spans="1:1" s="37" customFormat="1" ht="10.5" customHeight="1" x14ac:dyDescent="0.2">
      <c r="A346" s="85"/>
    </row>
    <row r="347" spans="1:1" s="37" customFormat="1" ht="10.5" customHeight="1" x14ac:dyDescent="0.2">
      <c r="A347" s="85"/>
    </row>
    <row r="348" spans="1:1" s="37" customFormat="1" ht="10.5" customHeight="1" x14ac:dyDescent="0.2">
      <c r="A348" s="85"/>
    </row>
    <row r="349" spans="1:1" s="37" customFormat="1" ht="10.5" customHeight="1" x14ac:dyDescent="0.2">
      <c r="A349" s="85"/>
    </row>
    <row r="350" spans="1:1" s="37" customFormat="1" ht="10.5" customHeight="1" x14ac:dyDescent="0.2">
      <c r="A350" s="85"/>
    </row>
    <row r="351" spans="1:1" s="37" customFormat="1" ht="10.5" customHeight="1" x14ac:dyDescent="0.2">
      <c r="A351" s="85"/>
    </row>
    <row r="352" spans="1:1" s="37" customFormat="1" ht="10.5" customHeight="1" x14ac:dyDescent="0.2">
      <c r="A352" s="85"/>
    </row>
    <row r="353" spans="1:1" s="37" customFormat="1" ht="10.5" customHeight="1" x14ac:dyDescent="0.2">
      <c r="A353" s="85"/>
    </row>
    <row r="354" spans="1:1" s="37" customFormat="1" ht="10.5" customHeight="1" x14ac:dyDescent="0.2">
      <c r="A354" s="85"/>
    </row>
    <row r="355" spans="1:1" s="37" customFormat="1" ht="10.5" customHeight="1" x14ac:dyDescent="0.2">
      <c r="A355" s="85"/>
    </row>
    <row r="356" spans="1:1" s="37" customFormat="1" ht="10.5" customHeight="1" x14ac:dyDescent="0.2">
      <c r="A356" s="85"/>
    </row>
    <row r="357" spans="1:1" s="37" customFormat="1" ht="10.5" customHeight="1" x14ac:dyDescent="0.2">
      <c r="A357" s="85"/>
    </row>
    <row r="358" spans="1:1" s="37" customFormat="1" ht="10.5" customHeight="1" x14ac:dyDescent="0.2">
      <c r="A358" s="85"/>
    </row>
    <row r="359" spans="1:1" s="37" customFormat="1" ht="10.5" customHeight="1" x14ac:dyDescent="0.2">
      <c r="A359" s="85"/>
    </row>
    <row r="360" spans="1:1" s="37" customFormat="1" ht="10.5" customHeight="1" x14ac:dyDescent="0.2">
      <c r="A360" s="85"/>
    </row>
    <row r="361" spans="1:1" s="37" customFormat="1" ht="10.5" customHeight="1" x14ac:dyDescent="0.2">
      <c r="A361" s="85"/>
    </row>
    <row r="362" spans="1:1" s="37" customFormat="1" ht="10.5" customHeight="1" x14ac:dyDescent="0.2">
      <c r="A362" s="85"/>
    </row>
    <row r="363" spans="1:1" s="37" customFormat="1" ht="10.5" customHeight="1" x14ac:dyDescent="0.2">
      <c r="A363" s="85"/>
    </row>
    <row r="364" spans="1:1" s="37" customFormat="1" ht="10.5" customHeight="1" x14ac:dyDescent="0.2">
      <c r="A364" s="85"/>
    </row>
    <row r="365" spans="1:1" s="37" customFormat="1" ht="10.5" customHeight="1" x14ac:dyDescent="0.2">
      <c r="A365" s="85"/>
    </row>
    <row r="366" spans="1:1" s="37" customFormat="1" ht="10.5" customHeight="1" x14ac:dyDescent="0.2">
      <c r="A366" s="85"/>
    </row>
    <row r="367" spans="1:1" s="37" customFormat="1" ht="10.5" customHeight="1" x14ac:dyDescent="0.2">
      <c r="A367" s="85"/>
    </row>
    <row r="368" spans="1:1" s="37" customFormat="1" ht="10.5" customHeight="1" x14ac:dyDescent="0.2">
      <c r="A368" s="85"/>
    </row>
    <row r="369" spans="1:1" s="37" customFormat="1" ht="10.5" customHeight="1" x14ac:dyDescent="0.2">
      <c r="A369" s="85"/>
    </row>
    <row r="370" spans="1:1" s="37" customFormat="1" ht="10.5" customHeight="1" x14ac:dyDescent="0.2">
      <c r="A370" s="85"/>
    </row>
    <row r="371" spans="1:1" s="37" customFormat="1" ht="10.5" customHeight="1" x14ac:dyDescent="0.2">
      <c r="A371" s="85"/>
    </row>
    <row r="372" spans="1:1" s="37" customFormat="1" ht="10.5" customHeight="1" x14ac:dyDescent="0.2">
      <c r="A372" s="85"/>
    </row>
    <row r="373" spans="1:1" s="37" customFormat="1" ht="10.5" customHeight="1" x14ac:dyDescent="0.2">
      <c r="A373" s="85"/>
    </row>
    <row r="374" spans="1:1" s="37" customFormat="1" ht="10.5" customHeight="1" x14ac:dyDescent="0.2">
      <c r="A374" s="85"/>
    </row>
    <row r="375" spans="1:1" s="37" customFormat="1" ht="10.5" customHeight="1" x14ac:dyDescent="0.2">
      <c r="A375" s="85"/>
    </row>
    <row r="376" spans="1:1" s="37" customFormat="1" ht="10.5" customHeight="1" x14ac:dyDescent="0.2">
      <c r="A376" s="85"/>
    </row>
    <row r="377" spans="1:1" s="37" customFormat="1" ht="10.5" customHeight="1" x14ac:dyDescent="0.2">
      <c r="A377" s="85"/>
    </row>
    <row r="378" spans="1:1" s="37" customFormat="1" ht="10.5" customHeight="1" x14ac:dyDescent="0.2">
      <c r="A378" s="85"/>
    </row>
    <row r="379" spans="1:1" s="37" customFormat="1" ht="10.5" customHeight="1" x14ac:dyDescent="0.2">
      <c r="A379" s="85"/>
    </row>
    <row r="380" spans="1:1" s="37" customFormat="1" ht="10.5" customHeight="1" x14ac:dyDescent="0.2">
      <c r="A380" s="85"/>
    </row>
    <row r="381" spans="1:1" s="37" customFormat="1" ht="10.5" customHeight="1" x14ac:dyDescent="0.2">
      <c r="A381" s="85"/>
    </row>
    <row r="382" spans="1:1" s="37" customFormat="1" ht="10.5" customHeight="1" x14ac:dyDescent="0.2">
      <c r="A382" s="85"/>
    </row>
    <row r="383" spans="1:1" s="37" customFormat="1" ht="10.5" customHeight="1" x14ac:dyDescent="0.2">
      <c r="A383" s="85"/>
    </row>
    <row r="384" spans="1:1" s="37" customFormat="1" ht="10.5" customHeight="1" x14ac:dyDescent="0.2">
      <c r="A384" s="85"/>
    </row>
    <row r="385" spans="1:1" s="37" customFormat="1" ht="10.5" customHeight="1" x14ac:dyDescent="0.2">
      <c r="A385" s="85"/>
    </row>
    <row r="386" spans="1:1" s="37" customFormat="1" ht="10.5" customHeight="1" x14ac:dyDescent="0.2">
      <c r="A386" s="85"/>
    </row>
    <row r="387" spans="1:1" s="37" customFormat="1" ht="10.5" customHeight="1" x14ac:dyDescent="0.2">
      <c r="A387" s="85"/>
    </row>
    <row r="388" spans="1:1" s="37" customFormat="1" ht="10.5" customHeight="1" x14ac:dyDescent="0.2">
      <c r="A388" s="85"/>
    </row>
    <row r="389" spans="1:1" s="37" customFormat="1" ht="10.5" customHeight="1" x14ac:dyDescent="0.2">
      <c r="A389" s="85"/>
    </row>
    <row r="390" spans="1:1" s="37" customFormat="1" ht="10.5" customHeight="1" x14ac:dyDescent="0.2">
      <c r="A390" s="85"/>
    </row>
    <row r="391" spans="1:1" s="37" customFormat="1" ht="10.5" customHeight="1" x14ac:dyDescent="0.2">
      <c r="A391" s="85"/>
    </row>
    <row r="392" spans="1:1" s="37" customFormat="1" ht="10.5" customHeight="1" x14ac:dyDescent="0.2">
      <c r="A392" s="85"/>
    </row>
    <row r="393" spans="1:1" s="37" customFormat="1" ht="10.5" customHeight="1" x14ac:dyDescent="0.2">
      <c r="A393" s="85"/>
    </row>
    <row r="394" spans="1:1" s="37" customFormat="1" ht="10.5" customHeight="1" x14ac:dyDescent="0.2">
      <c r="A394" s="85"/>
    </row>
    <row r="395" spans="1:1" s="37" customFormat="1" ht="10.5" customHeight="1" x14ac:dyDescent="0.2">
      <c r="A395" s="85"/>
    </row>
    <row r="396" spans="1:1" s="37" customFormat="1" ht="10.5" customHeight="1" x14ac:dyDescent="0.2">
      <c r="A396" s="85"/>
    </row>
    <row r="397" spans="1:1" s="37" customFormat="1" ht="10.5" customHeight="1" x14ac:dyDescent="0.2">
      <c r="A397" s="85"/>
    </row>
    <row r="398" spans="1:1" s="37" customFormat="1" ht="10.5" customHeight="1" x14ac:dyDescent="0.2">
      <c r="A398" s="85"/>
    </row>
    <row r="399" spans="1:1" s="37" customFormat="1" ht="10.5" customHeight="1" x14ac:dyDescent="0.2">
      <c r="A399" s="85"/>
    </row>
    <row r="400" spans="1:1" s="37" customFormat="1" ht="10.5" customHeight="1" x14ac:dyDescent="0.2">
      <c r="A400" s="85"/>
    </row>
    <row r="401" spans="1:1" s="37" customFormat="1" ht="10.5" customHeight="1" x14ac:dyDescent="0.2">
      <c r="A401" s="85"/>
    </row>
    <row r="402" spans="1:1" s="37" customFormat="1" ht="10.5" customHeight="1" x14ac:dyDescent="0.2">
      <c r="A402" s="85"/>
    </row>
    <row r="403" spans="1:1" s="37" customFormat="1" ht="10.5" customHeight="1" x14ac:dyDescent="0.2">
      <c r="A403" s="85"/>
    </row>
    <row r="404" spans="1:1" s="37" customFormat="1" ht="10.5" customHeight="1" x14ac:dyDescent="0.2">
      <c r="A404" s="85"/>
    </row>
    <row r="405" spans="1:1" s="37" customFormat="1" ht="10.5" customHeight="1" x14ac:dyDescent="0.2">
      <c r="A405" s="85"/>
    </row>
    <row r="406" spans="1:1" s="37" customFormat="1" ht="10.5" customHeight="1" x14ac:dyDescent="0.2">
      <c r="A406" s="85"/>
    </row>
    <row r="407" spans="1:1" s="37" customFormat="1" ht="10.5" customHeight="1" x14ac:dyDescent="0.2">
      <c r="A407" s="85"/>
    </row>
    <row r="408" spans="1:1" s="37" customFormat="1" ht="10.5" customHeight="1" x14ac:dyDescent="0.2">
      <c r="A408" s="85"/>
    </row>
    <row r="409" spans="1:1" s="37" customFormat="1" ht="10.5" customHeight="1" x14ac:dyDescent="0.2">
      <c r="A409" s="85"/>
    </row>
    <row r="410" spans="1:1" s="37" customFormat="1" ht="10.5" customHeight="1" x14ac:dyDescent="0.2">
      <c r="A410" s="85"/>
    </row>
    <row r="411" spans="1:1" s="37" customFormat="1" ht="10.5" customHeight="1" x14ac:dyDescent="0.2">
      <c r="A411" s="85"/>
    </row>
    <row r="412" spans="1:1" s="37" customFormat="1" ht="10.5" customHeight="1" x14ac:dyDescent="0.2">
      <c r="A412" s="85"/>
    </row>
    <row r="413" spans="1:1" s="37" customFormat="1" ht="10.5" customHeight="1" x14ac:dyDescent="0.2">
      <c r="A413" s="85"/>
    </row>
    <row r="414" spans="1:1" s="37" customFormat="1" ht="10.5" customHeight="1" x14ac:dyDescent="0.2">
      <c r="A414" s="85"/>
    </row>
    <row r="415" spans="1:1" s="37" customFormat="1" ht="10.5" customHeight="1" x14ac:dyDescent="0.2">
      <c r="A415" s="85"/>
    </row>
    <row r="416" spans="1:1" s="37" customFormat="1" ht="10.5" customHeight="1" x14ac:dyDescent="0.2">
      <c r="A416" s="85"/>
    </row>
    <row r="417" spans="1:1" s="37" customFormat="1" ht="10.5" customHeight="1" x14ac:dyDescent="0.2">
      <c r="A417" s="85"/>
    </row>
    <row r="418" spans="1:1" s="37" customFormat="1" ht="10.5" customHeight="1" x14ac:dyDescent="0.2">
      <c r="A418" s="85"/>
    </row>
    <row r="419" spans="1:1" s="37" customFormat="1" ht="10.5" customHeight="1" x14ac:dyDescent="0.2">
      <c r="A419" s="85"/>
    </row>
    <row r="420" spans="1:1" s="37" customFormat="1" ht="10.5" customHeight="1" x14ac:dyDescent="0.2">
      <c r="A420" s="85"/>
    </row>
    <row r="421" spans="1:1" s="37" customFormat="1" ht="10.5" customHeight="1" x14ac:dyDescent="0.2">
      <c r="A421" s="85"/>
    </row>
    <row r="422" spans="1:1" s="37" customFormat="1" ht="10.5" customHeight="1" x14ac:dyDescent="0.2">
      <c r="A422" s="85"/>
    </row>
    <row r="423" spans="1:1" s="37" customFormat="1" ht="10.5" customHeight="1" x14ac:dyDescent="0.2">
      <c r="A423" s="85"/>
    </row>
    <row r="424" spans="1:1" s="37" customFormat="1" ht="10.5" customHeight="1" x14ac:dyDescent="0.2">
      <c r="A424" s="85"/>
    </row>
    <row r="425" spans="1:1" s="37" customFormat="1" ht="10.5" customHeight="1" x14ac:dyDescent="0.2">
      <c r="A425" s="85"/>
    </row>
    <row r="426" spans="1:1" s="37" customFormat="1" ht="10.5" customHeight="1" x14ac:dyDescent="0.2">
      <c r="A426" s="85"/>
    </row>
    <row r="427" spans="1:1" s="37" customFormat="1" ht="10.5" customHeight="1" x14ac:dyDescent="0.2">
      <c r="A427" s="85"/>
    </row>
    <row r="428" spans="1:1" s="37" customFormat="1" ht="10.5" customHeight="1" x14ac:dyDescent="0.2">
      <c r="A428" s="85"/>
    </row>
    <row r="429" spans="1:1" s="37" customFormat="1" ht="10.5" customHeight="1" x14ac:dyDescent="0.2">
      <c r="A429" s="85"/>
    </row>
    <row r="430" spans="1:1" s="37" customFormat="1" ht="10.5" customHeight="1" x14ac:dyDescent="0.2">
      <c r="A430" s="85"/>
    </row>
    <row r="431" spans="1:1" s="37" customFormat="1" ht="10.5" customHeight="1" x14ac:dyDescent="0.2">
      <c r="A431" s="85"/>
    </row>
    <row r="432" spans="1:1" s="37" customFormat="1" ht="10.5" customHeight="1" x14ac:dyDescent="0.2">
      <c r="A432" s="85"/>
    </row>
    <row r="433" spans="1:1" s="37" customFormat="1" ht="10.5" customHeight="1" x14ac:dyDescent="0.2">
      <c r="A433" s="85"/>
    </row>
    <row r="434" spans="1:1" s="37" customFormat="1" ht="10.5" customHeight="1" x14ac:dyDescent="0.2">
      <c r="A434" s="85"/>
    </row>
    <row r="435" spans="1:1" s="37" customFormat="1" ht="10.5" customHeight="1" x14ac:dyDescent="0.2">
      <c r="A435" s="85"/>
    </row>
    <row r="436" spans="1:1" s="37" customFormat="1" ht="10.5" customHeight="1" x14ac:dyDescent="0.2">
      <c r="A436" s="85"/>
    </row>
    <row r="437" spans="1:1" s="37" customFormat="1" ht="10.5" customHeight="1" x14ac:dyDescent="0.2">
      <c r="A437" s="85"/>
    </row>
    <row r="438" spans="1:1" s="37" customFormat="1" ht="10.5" customHeight="1" x14ac:dyDescent="0.2">
      <c r="A438" s="85"/>
    </row>
    <row r="439" spans="1:1" s="37" customFormat="1" ht="10.5" customHeight="1" x14ac:dyDescent="0.2">
      <c r="A439" s="85"/>
    </row>
    <row r="440" spans="1:1" s="37" customFormat="1" ht="10.5" customHeight="1" x14ac:dyDescent="0.2">
      <c r="A440" s="85"/>
    </row>
    <row r="441" spans="1:1" s="37" customFormat="1" ht="10.5" customHeight="1" x14ac:dyDescent="0.2">
      <c r="A441" s="85"/>
    </row>
    <row r="442" spans="1:1" s="37" customFormat="1" ht="10.5" customHeight="1" x14ac:dyDescent="0.2">
      <c r="A442" s="85"/>
    </row>
    <row r="443" spans="1:1" s="37" customFormat="1" ht="10.5" customHeight="1" x14ac:dyDescent="0.2">
      <c r="A443" s="85"/>
    </row>
    <row r="444" spans="1:1" s="37" customFormat="1" ht="10.5" customHeight="1" x14ac:dyDescent="0.2">
      <c r="A444" s="85"/>
    </row>
    <row r="445" spans="1:1" s="37" customFormat="1" ht="10.5" customHeight="1" x14ac:dyDescent="0.2">
      <c r="A445" s="85"/>
    </row>
    <row r="446" spans="1:1" s="37" customFormat="1" ht="10.5" customHeight="1" x14ac:dyDescent="0.2">
      <c r="A446" s="85"/>
    </row>
    <row r="447" spans="1:1" s="37" customFormat="1" ht="10.5" customHeight="1" x14ac:dyDescent="0.2">
      <c r="A447" s="85"/>
    </row>
    <row r="448" spans="1:1" s="37" customFormat="1" ht="10.5" customHeight="1" x14ac:dyDescent="0.2">
      <c r="A448" s="85"/>
    </row>
    <row r="449" spans="1:1" s="37" customFormat="1" ht="10.5" customHeight="1" x14ac:dyDescent="0.2">
      <c r="A449" s="85"/>
    </row>
    <row r="450" spans="1:1" s="37" customFormat="1" ht="10.5" customHeight="1" x14ac:dyDescent="0.2">
      <c r="A450" s="85"/>
    </row>
    <row r="451" spans="1:1" s="37" customFormat="1" ht="10.5" customHeight="1" x14ac:dyDescent="0.2">
      <c r="A451" s="85"/>
    </row>
    <row r="452" spans="1:1" s="37" customFormat="1" ht="10.5" customHeight="1" x14ac:dyDescent="0.2">
      <c r="A452" s="85"/>
    </row>
    <row r="453" spans="1:1" s="37" customFormat="1" ht="10.5" customHeight="1" x14ac:dyDescent="0.2">
      <c r="A453" s="85"/>
    </row>
    <row r="454" spans="1:1" s="37" customFormat="1" ht="10.5" customHeight="1" x14ac:dyDescent="0.2">
      <c r="A454" s="85"/>
    </row>
    <row r="455" spans="1:1" s="37" customFormat="1" ht="10.5" customHeight="1" x14ac:dyDescent="0.2">
      <c r="A455" s="85"/>
    </row>
    <row r="456" spans="1:1" s="37" customFormat="1" ht="10.5" customHeight="1" x14ac:dyDescent="0.2">
      <c r="A456" s="85"/>
    </row>
    <row r="457" spans="1:1" s="37" customFormat="1" ht="10.5" customHeight="1" x14ac:dyDescent="0.2">
      <c r="A457" s="85"/>
    </row>
    <row r="458" spans="1:1" s="37" customFormat="1" ht="10.5" customHeight="1" x14ac:dyDescent="0.2">
      <c r="A458" s="85"/>
    </row>
    <row r="459" spans="1:1" s="37" customFormat="1" ht="10.5" customHeight="1" x14ac:dyDescent="0.2">
      <c r="A459" s="85"/>
    </row>
    <row r="460" spans="1:1" s="37" customFormat="1" ht="10.5" customHeight="1" x14ac:dyDescent="0.2">
      <c r="A460" s="85"/>
    </row>
    <row r="461" spans="1:1" s="37" customFormat="1" ht="10.5" customHeight="1" x14ac:dyDescent="0.2">
      <c r="A461" s="85"/>
    </row>
    <row r="462" spans="1:1" s="37" customFormat="1" ht="10.5" customHeight="1" x14ac:dyDescent="0.2">
      <c r="A462" s="85"/>
    </row>
    <row r="463" spans="1:1" s="37" customFormat="1" ht="10.5" customHeight="1" x14ac:dyDescent="0.2">
      <c r="A463" s="85"/>
    </row>
    <row r="464" spans="1:1" s="37" customFormat="1" ht="10.5" customHeight="1" x14ac:dyDescent="0.2">
      <c r="A464" s="85"/>
    </row>
    <row r="465" spans="1:1" s="37" customFormat="1" ht="10.5" customHeight="1" x14ac:dyDescent="0.2">
      <c r="A465" s="85"/>
    </row>
    <row r="466" spans="1:1" s="37" customFormat="1" ht="10.5" customHeight="1" x14ac:dyDescent="0.2">
      <c r="A466" s="85"/>
    </row>
    <row r="467" spans="1:1" s="37" customFormat="1" ht="10.5" customHeight="1" x14ac:dyDescent="0.2">
      <c r="A467" s="85"/>
    </row>
    <row r="468" spans="1:1" s="37" customFormat="1" ht="10.5" customHeight="1" x14ac:dyDescent="0.2">
      <c r="A468" s="85"/>
    </row>
    <row r="469" spans="1:1" s="37" customFormat="1" ht="10.5" customHeight="1" x14ac:dyDescent="0.2">
      <c r="A469" s="85"/>
    </row>
    <row r="470" spans="1:1" s="37" customFormat="1" ht="10.5" customHeight="1" x14ac:dyDescent="0.2">
      <c r="A470" s="85"/>
    </row>
    <row r="471" spans="1:1" s="37" customFormat="1" ht="10.5" customHeight="1" x14ac:dyDescent="0.2">
      <c r="A471" s="85"/>
    </row>
    <row r="472" spans="1:1" s="37" customFormat="1" ht="10.5" customHeight="1" x14ac:dyDescent="0.2">
      <c r="A472" s="85"/>
    </row>
    <row r="473" spans="1:1" s="37" customFormat="1" ht="10.5" customHeight="1" x14ac:dyDescent="0.2">
      <c r="A473" s="85"/>
    </row>
    <row r="474" spans="1:1" s="37" customFormat="1" ht="10.5" customHeight="1" x14ac:dyDescent="0.2">
      <c r="A474" s="85"/>
    </row>
    <row r="475" spans="1:1" s="37" customFormat="1" ht="10.5" customHeight="1" x14ac:dyDescent="0.2">
      <c r="A475" s="85"/>
    </row>
    <row r="476" spans="1:1" s="37" customFormat="1" ht="10.5" customHeight="1" x14ac:dyDescent="0.2">
      <c r="A476" s="85"/>
    </row>
    <row r="477" spans="1:1" s="37" customFormat="1" ht="10.5" customHeight="1" x14ac:dyDescent="0.2">
      <c r="A477" s="85"/>
    </row>
    <row r="478" spans="1:1" s="37" customFormat="1" ht="10.5" customHeight="1" x14ac:dyDescent="0.2">
      <c r="A478" s="85"/>
    </row>
    <row r="479" spans="1:1" s="37" customFormat="1" ht="10.5" customHeight="1" x14ac:dyDescent="0.2">
      <c r="A479" s="85"/>
    </row>
    <row r="480" spans="1:1" s="37" customFormat="1" ht="10.5" customHeight="1" x14ac:dyDescent="0.2">
      <c r="A480" s="85"/>
    </row>
    <row r="481" spans="1:1" s="37" customFormat="1" ht="10.5" customHeight="1" x14ac:dyDescent="0.2">
      <c r="A481" s="85"/>
    </row>
    <row r="482" spans="1:1" s="37" customFormat="1" ht="10.5" customHeight="1" x14ac:dyDescent="0.2">
      <c r="A482" s="85"/>
    </row>
    <row r="483" spans="1:1" s="37" customFormat="1" ht="10.5" customHeight="1" x14ac:dyDescent="0.2">
      <c r="A483" s="85"/>
    </row>
    <row r="484" spans="1:1" s="37" customFormat="1" ht="10.5" customHeight="1" x14ac:dyDescent="0.2">
      <c r="A484" s="85"/>
    </row>
    <row r="485" spans="1:1" s="37" customFormat="1" ht="10.5" customHeight="1" x14ac:dyDescent="0.2">
      <c r="A485" s="85"/>
    </row>
    <row r="486" spans="1:1" s="37" customFormat="1" ht="10.5" customHeight="1" x14ac:dyDescent="0.2">
      <c r="A486" s="85"/>
    </row>
    <row r="487" spans="1:1" s="37" customFormat="1" ht="10.5" customHeight="1" x14ac:dyDescent="0.2">
      <c r="A487" s="85"/>
    </row>
    <row r="488" spans="1:1" s="37" customFormat="1" ht="10.5" customHeight="1" x14ac:dyDescent="0.2">
      <c r="A488" s="85"/>
    </row>
    <row r="489" spans="1:1" s="37" customFormat="1" ht="10.5" customHeight="1" x14ac:dyDescent="0.2">
      <c r="A489" s="85"/>
    </row>
    <row r="490" spans="1:1" s="37" customFormat="1" ht="10.5" customHeight="1" x14ac:dyDescent="0.2">
      <c r="A490" s="85"/>
    </row>
    <row r="491" spans="1:1" s="37" customFormat="1" ht="10.5" customHeight="1" x14ac:dyDescent="0.2">
      <c r="A491" s="85"/>
    </row>
    <row r="492" spans="1:1" s="37" customFormat="1" ht="10.5" customHeight="1" x14ac:dyDescent="0.2">
      <c r="A492" s="85"/>
    </row>
    <row r="493" spans="1:1" s="37" customFormat="1" ht="10.5" customHeight="1" x14ac:dyDescent="0.2">
      <c r="A493" s="85"/>
    </row>
    <row r="494" spans="1:1" s="37" customFormat="1" ht="10.5" customHeight="1" x14ac:dyDescent="0.2">
      <c r="A494" s="85"/>
    </row>
    <row r="495" spans="1:1" s="37" customFormat="1" ht="10.5" customHeight="1" x14ac:dyDescent="0.2">
      <c r="A495" s="85"/>
    </row>
    <row r="496" spans="1:1" s="37" customFormat="1" ht="10.5" customHeight="1" x14ac:dyDescent="0.2">
      <c r="A496" s="85"/>
    </row>
    <row r="497" spans="1:1" s="37" customFormat="1" ht="10.5" customHeight="1" x14ac:dyDescent="0.2">
      <c r="A497" s="85"/>
    </row>
    <row r="498" spans="1:1" s="37" customFormat="1" ht="10.5" customHeight="1" x14ac:dyDescent="0.2">
      <c r="A498" s="85"/>
    </row>
    <row r="499" spans="1:1" s="37" customFormat="1" ht="10.5" customHeight="1" x14ac:dyDescent="0.2">
      <c r="A499" s="85"/>
    </row>
    <row r="500" spans="1:1" s="37" customFormat="1" ht="10.5" customHeight="1" x14ac:dyDescent="0.2">
      <c r="A500" s="85"/>
    </row>
    <row r="501" spans="1:1" s="37" customFormat="1" ht="10.5" customHeight="1" x14ac:dyDescent="0.2">
      <c r="A501" s="85"/>
    </row>
    <row r="502" spans="1:1" s="37" customFormat="1" ht="10.5" customHeight="1" x14ac:dyDescent="0.2">
      <c r="A502" s="85"/>
    </row>
    <row r="503" spans="1:1" s="37" customFormat="1" ht="10.5" customHeight="1" x14ac:dyDescent="0.2">
      <c r="A503" s="85"/>
    </row>
    <row r="504" spans="1:1" s="37" customFormat="1" ht="10.5" customHeight="1" x14ac:dyDescent="0.2">
      <c r="A504" s="85"/>
    </row>
    <row r="505" spans="1:1" s="37" customFormat="1" ht="10.5" customHeight="1" x14ac:dyDescent="0.2">
      <c r="A505" s="85"/>
    </row>
    <row r="506" spans="1:1" s="37" customFormat="1" ht="10.5" customHeight="1" x14ac:dyDescent="0.2">
      <c r="A506" s="85"/>
    </row>
    <row r="507" spans="1:1" s="37" customFormat="1" ht="10.5" customHeight="1" x14ac:dyDescent="0.2">
      <c r="A507" s="85"/>
    </row>
    <row r="508" spans="1:1" s="37" customFormat="1" ht="10.5" customHeight="1" x14ac:dyDescent="0.2">
      <c r="A508" s="85"/>
    </row>
    <row r="509" spans="1:1" s="37" customFormat="1" ht="10.5" customHeight="1" x14ac:dyDescent="0.2">
      <c r="A509" s="85"/>
    </row>
    <row r="510" spans="1:1" s="37" customFormat="1" ht="10.5" customHeight="1" x14ac:dyDescent="0.2">
      <c r="A510" s="85"/>
    </row>
    <row r="511" spans="1:1" s="37" customFormat="1" ht="10.5" customHeight="1" x14ac:dyDescent="0.2">
      <c r="A511" s="85"/>
    </row>
    <row r="512" spans="1:1" s="37" customFormat="1" ht="10.5" customHeight="1" x14ac:dyDescent="0.2">
      <c r="A512" s="85"/>
    </row>
    <row r="513" spans="1:1" s="37" customFormat="1" ht="10.5" customHeight="1" x14ac:dyDescent="0.2">
      <c r="A513" s="85"/>
    </row>
    <row r="514" spans="1:1" s="37" customFormat="1" ht="10.5" customHeight="1" x14ac:dyDescent="0.2">
      <c r="A514" s="85"/>
    </row>
    <row r="515" spans="1:1" s="37" customFormat="1" ht="10.5" customHeight="1" x14ac:dyDescent="0.2">
      <c r="A515" s="85"/>
    </row>
    <row r="516" spans="1:1" s="37" customFormat="1" ht="10.5" customHeight="1" x14ac:dyDescent="0.2">
      <c r="A516" s="85"/>
    </row>
    <row r="517" spans="1:1" s="37" customFormat="1" ht="10.5" customHeight="1" x14ac:dyDescent="0.2">
      <c r="A517" s="85"/>
    </row>
    <row r="518" spans="1:1" s="37" customFormat="1" ht="10.5" customHeight="1" x14ac:dyDescent="0.2">
      <c r="A518" s="85"/>
    </row>
    <row r="519" spans="1:1" s="37" customFormat="1" ht="10.5" customHeight="1" x14ac:dyDescent="0.2">
      <c r="A519" s="85"/>
    </row>
    <row r="520" spans="1:1" s="37" customFormat="1" ht="10.5" customHeight="1" x14ac:dyDescent="0.2">
      <c r="A520" s="85"/>
    </row>
    <row r="521" spans="1:1" s="37" customFormat="1" ht="10.5" customHeight="1" x14ac:dyDescent="0.2">
      <c r="A521" s="85"/>
    </row>
    <row r="522" spans="1:1" s="37" customFormat="1" ht="10.5" customHeight="1" x14ac:dyDescent="0.2">
      <c r="A522" s="85"/>
    </row>
    <row r="523" spans="1:1" s="37" customFormat="1" ht="10.5" customHeight="1" x14ac:dyDescent="0.2">
      <c r="A523" s="85"/>
    </row>
    <row r="524" spans="1:1" s="37" customFormat="1" ht="10.5" customHeight="1" x14ac:dyDescent="0.2">
      <c r="A524" s="85"/>
    </row>
    <row r="525" spans="1:1" s="37" customFormat="1" ht="10.5" customHeight="1" x14ac:dyDescent="0.2">
      <c r="A525" s="85"/>
    </row>
    <row r="526" spans="1:1" s="37" customFormat="1" ht="10.5" customHeight="1" x14ac:dyDescent="0.2">
      <c r="A526" s="85"/>
    </row>
    <row r="527" spans="1:1" s="37" customFormat="1" ht="10.5" customHeight="1" x14ac:dyDescent="0.2">
      <c r="A527" s="85"/>
    </row>
    <row r="528" spans="1:1" s="37" customFormat="1" ht="10.5" customHeight="1" x14ac:dyDescent="0.2">
      <c r="A528" s="85"/>
    </row>
    <row r="529" spans="1:33" s="37" customFormat="1" ht="10.5" customHeight="1" x14ac:dyDescent="0.2">
      <c r="A529" s="85"/>
    </row>
    <row r="530" spans="1:33" s="37" customFormat="1" ht="10.5" customHeight="1" x14ac:dyDescent="0.2">
      <c r="A530" s="85"/>
    </row>
    <row r="531" spans="1:33" s="37" customFormat="1" ht="10.5" customHeight="1" x14ac:dyDescent="0.2">
      <c r="A531" s="85"/>
    </row>
    <row r="532" spans="1:33" s="37" customFormat="1" ht="10.5" customHeight="1" x14ac:dyDescent="0.2">
      <c r="A532" s="85"/>
    </row>
    <row r="533" spans="1:33" ht="10.5" customHeight="1" x14ac:dyDescent="0.2">
      <c r="A533" s="87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</row>
  </sheetData>
  <mergeCells count="12">
    <mergeCell ref="B119:B121"/>
    <mergeCell ref="A16:B16"/>
    <mergeCell ref="A7:B7"/>
    <mergeCell ref="A37:B37"/>
    <mergeCell ref="A47:B47"/>
    <mergeCell ref="A26:B26"/>
    <mergeCell ref="A57:B57"/>
    <mergeCell ref="A114:B114"/>
    <mergeCell ref="A68:B68"/>
    <mergeCell ref="A79:B79"/>
    <mergeCell ref="A91:B91"/>
    <mergeCell ref="A100:B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лето</vt:lpstr>
      <vt:lpstr>Сырьё лето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2020-09-09T06:28:55Z</dcterms:modified>
</cp:coreProperties>
</file>