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Меню лето" sheetId="1" r:id="rId1"/>
    <sheet name="Сырьё лето" sheetId="2" r:id="rId2"/>
  </sheets>
  <definedNames/>
  <calcPr fullCalcOnLoad="1"/>
</workbook>
</file>

<file path=xl/sharedStrings.xml><?xml version="1.0" encoding="utf-8"?>
<sst xmlns="http://schemas.openxmlformats.org/spreadsheetml/2006/main" count="665" uniqueCount="166">
  <si>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</si>
  <si>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</si>
  <si>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</si>
  <si>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</si>
  <si>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</si>
  <si>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</si>
  <si>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</si>
  <si>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</si>
  <si>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</si>
  <si>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</si>
  <si>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</si>
  <si>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</si>
  <si>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</si>
  <si>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</si>
  <si>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</si>
  <si>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</si>
  <si>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</si>
  <si>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</si>
  <si>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</si>
  <si>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</si>
  <si>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</si>
  <si>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</si>
  <si>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</si>
  <si>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</si>
  <si>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</si>
  <si>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</si>
  <si>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</si>
  <si>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</si>
  <si>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</si>
  <si>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</si>
  <si>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</si>
  <si>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</si>
  <si>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</si>
  <si>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</si>
  <si>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</si>
  <si>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</si>
  <si>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</si>
  <si>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</si>
  <si>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</si>
  <si>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</si>
  <si>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</si>
  <si>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</si>
  <si>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</si>
  <si>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</si>
  <si>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</si>
  <si>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</si>
  <si>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</si>
  <si>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</si>
  <si>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</si>
  <si>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</si>
  <si>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</si>
  <si>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</si>
  <si>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</si>
  <si>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</si>
  <si>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</si>
  <si>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</si>
  <si>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</si>
  <si>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</si>
  <si>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</si>
  <si>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</si>
  <si>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</si>
  <si>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</si>
  <si>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</si>
  <si>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</si>
  <si>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</si>
  <si>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</si>
  <si>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</si>
  <si>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</si>
  <si>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</si>
  <si>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</si>
  <si>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</si>
  <si>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</si>
  <si>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</si>
  <si>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</si>
  <si>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</si>
  <si>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</si>
  <si>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</si>
  <si>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</si>
  <si>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</si>
  <si>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</si>
  <si>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</si>
  <si>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</si>
  <si>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</si>
  <si>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</si>
  <si>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</si>
  <si>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</si>
  <si>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</si>
  <si>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</si>
  <si>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</si>
  <si>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</si>
  <si>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</si>
  <si>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</si>
  <si>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</si>
  <si>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</si>
  <si>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</si>
  <si>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</si>
  <si>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</si>
  <si>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</si>
  <si>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</si>
  <si>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</si>
  <si>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</si>
  <si>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</si>
  <si>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</si>
  <si>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</si>
  <si>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</si>
  <si>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</si>
  <si>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</si>
  <si>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</si>
  <si>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</si>
  <si>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</si>
  <si>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</si>
  <si>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</si>
  <si>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</si>
  <si>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</si>
  <si>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</si>
  <si>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</si>
  <si>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</si>
  <si>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</si>
  <si>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</si>
  <si>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</si>
  <si>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</si>
  <si>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</si>
  <si>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</si>
  <si>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</si>
  <si>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</si>
  <si>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</si>
  <si>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</si>
  <si>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</si>
  <si>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</si>
  <si>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</si>
  <si>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</si>
  <si>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</si>
  <si>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</si>
  <si>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</si>
  <si>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</si>
  <si>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</si>
  <si>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</si>
  <si>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</si>
  <si>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</si>
  <si>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</si>
  <si>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</si>
  <si>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</si>
  <si>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</si>
  <si>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</si>
  <si>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</si>
  <si>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</si>
  <si>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</si>
  <si>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</si>
  <si>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</si>
  <si>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</si>
  <si>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</si>
  <si>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</si>
  <si>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</si>
  <si>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</si>
  <si>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</si>
  <si>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</si>
  <si>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</si>
  <si>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11 лет и старше</t>
  </si>
  <si>
    <t>ИТОГО (фактически выдано за 10 дней продуктов в нетто на одного человека, г)</t>
  </si>
  <si>
    <t>ИТОГО (фактически выдано среднее за 1 день продуктов в нетто на одного человека, г)</t>
  </si>
  <si>
    <t>ИТОГО (норм. за 1 день на одного человека по СанПин)</t>
  </si>
  <si>
    <t xml:space="preserve"> завтрак 25% ( по факту)</t>
  </si>
  <si>
    <t>завтрак 25 % ( по норме)</t>
  </si>
  <si>
    <t>общеобразовательных организаций Мостовского района</t>
  </si>
  <si>
    <r>
      <t xml:space="preserve">Примерное цикличное меню </t>
    </r>
    <r>
      <rPr>
        <b/>
        <i/>
        <u val="single"/>
        <sz val="16"/>
        <rFont val="Times New Roman"/>
        <family val="1"/>
      </rPr>
      <t>завтраков</t>
    </r>
    <r>
      <rPr>
        <b/>
        <i/>
        <sz val="16"/>
        <rFont val="Times New Roman"/>
        <family val="1"/>
      </rPr>
      <t xml:space="preserve"> для учащихся 5-11 классов (сезон лето-осень)</t>
    </r>
  </si>
  <si>
    <r>
      <t xml:space="preserve">Примерное цикличное меню </t>
    </r>
    <r>
      <rPr>
        <b/>
        <i/>
        <u val="single"/>
        <sz val="11"/>
        <rFont val="Times New Roman"/>
        <family val="1"/>
      </rPr>
      <t>завтраков</t>
    </r>
    <r>
      <rPr>
        <b/>
        <i/>
        <sz val="11"/>
        <rFont val="Times New Roman"/>
        <family val="1"/>
      </rPr>
      <t xml:space="preserve"> для обучающихся 5-11 классов (сезон лето-осень)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</si>
</sst>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11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vertical="top" wrapText="1"/>
    </xf>
    <xf numFmtId="2" fontId="2" fillId="3" borderId="1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33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left" indent="1"/>
    </xf>
    <xf numFmtId="2" fontId="2" fillId="34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left" indent="1"/>
    </xf>
    <xf numFmtId="2" fontId="2" fillId="33" borderId="14" xfId="0" applyNumberFormat="1" applyFont="1" applyFill="1" applyBorder="1" applyAlignment="1">
      <alignment/>
    </xf>
    <xf numFmtId="2" fontId="2" fillId="3" borderId="14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3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left" indent="1"/>
    </xf>
    <xf numFmtId="2" fontId="3" fillId="34" borderId="10" xfId="0" applyNumberFormat="1" applyFont="1" applyFill="1" applyBorder="1" applyAlignment="1">
      <alignment/>
    </xf>
    <xf numFmtId="2" fontId="3" fillId="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left" indent="1"/>
    </xf>
    <xf numFmtId="2" fontId="2" fillId="0" borderId="1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3" fillId="3" borderId="11" xfId="0" applyNumberFormat="1" applyFont="1" applyFill="1" applyBorder="1" applyAlignment="1">
      <alignment horizontal="left"/>
    </xf>
    <xf numFmtId="2" fontId="3" fillId="13" borderId="10" xfId="0" applyNumberFormat="1" applyFont="1" applyFill="1" applyBorder="1" applyAlignment="1">
      <alignment/>
    </xf>
    <xf numFmtId="2" fontId="3" fillId="13" borderId="0" xfId="0" applyNumberFormat="1" applyFont="1" applyFill="1" applyAlignment="1">
      <alignment/>
    </xf>
    <xf numFmtId="2" fontId="2" fillId="7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7" borderId="10" xfId="0" applyNumberFormat="1" applyFont="1" applyFill="1" applyBorder="1" applyAlignment="1">
      <alignment vertical="center" wrapText="1"/>
    </xf>
    <xf numFmtId="2" fontId="2" fillId="33" borderId="13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51" fillId="7" borderId="10" xfId="0" applyNumberFormat="1" applyFont="1" applyFill="1" applyBorder="1" applyAlignment="1">
      <alignment/>
    </xf>
    <xf numFmtId="2" fontId="51" fillId="7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2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5" fillId="3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2" fontId="5" fillId="12" borderId="10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/>
    </xf>
    <xf numFmtId="2" fontId="52" fillId="33" borderId="10" xfId="0" applyNumberFormat="1" applyFont="1" applyFill="1" applyBorder="1" applyAlignment="1">
      <alignment/>
    </xf>
    <xf numFmtId="2" fontId="52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 horizontal="right" wrapText="1"/>
    </xf>
    <xf numFmtId="2" fontId="5" fillId="0" borderId="14" xfId="0" applyNumberFormat="1" applyFont="1" applyFill="1" applyBorder="1" applyAlignment="1">
      <alignment wrapText="1"/>
    </xf>
    <xf numFmtId="2" fontId="5" fillId="6" borderId="10" xfId="0" applyNumberFormat="1" applyFont="1" applyFill="1" applyBorder="1" applyAlignment="1">
      <alignment/>
    </xf>
    <xf numFmtId="2" fontId="5" fillId="6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2" fontId="7" fillId="33" borderId="15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8" fillId="36" borderId="10" xfId="0" applyFont="1" applyFill="1" applyBorder="1" applyAlignment="1">
      <alignment horizontal="center" wrapText="1"/>
    </xf>
    <xf numFmtId="2" fontId="8" fillId="36" borderId="10" xfId="0" applyNumberFormat="1" applyFont="1" applyFill="1" applyBorder="1" applyAlignment="1">
      <alignment horizontal="center" wrapText="1"/>
    </xf>
    <xf numFmtId="2" fontId="8" fillId="33" borderId="0" xfId="0" applyNumberFormat="1" applyFont="1" applyFill="1" applyAlignment="1">
      <alignment horizontal="center" wrapText="1"/>
    </xf>
    <xf numFmtId="2" fontId="8" fillId="36" borderId="0" xfId="0" applyNumberFormat="1" applyFont="1" applyFill="1" applyAlignment="1">
      <alignment horizontal="center" wrapText="1"/>
    </xf>
    <xf numFmtId="2" fontId="8" fillId="36" borderId="10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2" fillId="0" borderId="15" xfId="0" applyNumberFormat="1" applyFont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7" borderId="15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left" vertical="center"/>
    </xf>
    <xf numFmtId="2" fontId="52" fillId="33" borderId="0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5" fillId="33" borderId="12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51" fillId="36" borderId="10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/>
    </xf>
    <xf numFmtId="2" fontId="5" fillId="37" borderId="15" xfId="0" applyNumberFormat="1" applyFont="1" applyFill="1" applyBorder="1" applyAlignment="1">
      <alignment/>
    </xf>
    <xf numFmtId="2" fontId="5" fillId="37" borderId="0" xfId="0" applyNumberFormat="1" applyFont="1" applyFill="1" applyBorder="1" applyAlignment="1">
      <alignment/>
    </xf>
    <xf numFmtId="2" fontId="5" fillId="3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2" fontId="5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wrapText="1"/>
    </xf>
    <xf numFmtId="0" fontId="3" fillId="33" borderId="17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right" wrapText="1"/>
    </xf>
    <xf numFmtId="0" fontId="2" fillId="33" borderId="15" xfId="0" applyNumberFormat="1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2" fontId="3" fillId="33" borderId="11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vertical="center" wrapText="1"/>
    </xf>
    <xf numFmtId="2" fontId="51" fillId="33" borderId="10" xfId="0" applyNumberFormat="1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left" wrapText="1"/>
    </xf>
    <xf numFmtId="2" fontId="2" fillId="2" borderId="10" xfId="0" applyNumberFormat="1" applyFont="1" applyFill="1" applyBorder="1" applyAlignment="1">
      <alignment/>
    </xf>
    <xf numFmtId="2" fontId="3" fillId="2" borderId="0" xfId="0" applyNumberFormat="1" applyFont="1" applyFill="1" applyAlignment="1">
      <alignment/>
    </xf>
    <xf numFmtId="2" fontId="3" fillId="2" borderId="11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left" wrapText="1"/>
    </xf>
    <xf numFmtId="2" fontId="2" fillId="4" borderId="1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2" fontId="3" fillId="4" borderId="11" xfId="0" applyNumberFormat="1" applyFont="1" applyFill="1" applyBorder="1" applyAlignment="1">
      <alignment horizontal="left"/>
    </xf>
    <xf numFmtId="2" fontId="3" fillId="4" borderId="10" xfId="0" applyNumberFormat="1" applyFont="1" applyFill="1" applyBorder="1" applyAlignment="1">
      <alignment horizontal="left"/>
    </xf>
    <xf numFmtId="2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9" fillId="33" borderId="14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33" borderId="14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4" xfId="0" applyNumberFormat="1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2" fontId="4" fillId="7" borderId="11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5" xfId="0" applyNumberFormat="1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left"/>
    </xf>
    <xf numFmtId="2" fontId="3" fillId="7" borderId="10" xfId="0" applyNumberFormat="1" applyFont="1" applyFill="1" applyBorder="1" applyAlignment="1">
      <alignment vertical="center" wrapText="1"/>
    </xf>
    <xf numFmtId="2" fontId="3" fillId="3" borderId="15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2" fillId="33" borderId="10" xfId="0" applyNumberFormat="1" applyFont="1" applyFill="1" applyBorder="1" applyAlignment="1">
      <alignment/>
    </xf>
    <xf numFmtId="2" fontId="34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zoomScale="39" zoomScaleNormal="39" zoomScalePageLayoutView="0" workbookViewId="0" topLeftCell="A1">
      <pane xSplit="3" ySplit="4" topLeftCell="D1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R119"/>
    </sheetView>
  </sheetViews>
  <sheetFormatPr defaultColWidth="9.140625" defaultRowHeight="15.75" customHeight="1"/>
  <cols>
    <col min="1" max="1" width="11.57421875" style="84" customWidth="1"/>
    <col min="2" max="2" width="49.421875" style="45" customWidth="1"/>
    <col min="3" max="3" width="8.7109375" style="44" customWidth="1"/>
    <col min="4" max="6" width="9.140625" style="44" customWidth="1"/>
    <col min="7" max="7" width="14.00390625" style="44" customWidth="1"/>
    <col min="8" max="14" width="9.140625" style="44" customWidth="1"/>
    <col min="15" max="15" width="9.57421875" style="44" bestFit="1" customWidth="1"/>
    <col min="16" max="16" width="11.00390625" style="44" customWidth="1"/>
    <col min="17" max="17" width="10.140625" style="44" customWidth="1"/>
    <col min="18" max="18" width="9.140625" style="46" customWidth="1"/>
    <col min="19" max="19" width="9.140625" style="117" customWidth="1"/>
    <col min="20" max="23" width="9.140625" style="122" customWidth="1"/>
    <col min="24" max="24" width="72.8515625" style="45" hidden="1" customWidth="1"/>
    <col min="25" max="25" width="8.421875" style="44" hidden="1" customWidth="1"/>
    <col min="26" max="28" width="9.140625" style="44" hidden="1" customWidth="1"/>
    <col min="29" max="29" width="14.00390625" style="44" hidden="1" customWidth="1"/>
    <col min="30" max="30" width="8.7109375" style="44" hidden="1" customWidth="1"/>
    <col min="31" max="37" width="9.140625" style="44" hidden="1" customWidth="1"/>
    <col min="38" max="38" width="11.00390625" style="44" hidden="1" customWidth="1"/>
    <col min="39" max="39" width="10.140625" style="44" hidden="1" customWidth="1"/>
    <col min="40" max="40" width="9.140625" style="46" hidden="1" customWidth="1"/>
    <col min="41" max="41" width="9.140625" style="117" customWidth="1"/>
    <col min="42" max="16384" width="9.140625" style="46" customWidth="1"/>
  </cols>
  <sheetData>
    <row r="1" spans="1:41" s="105" customFormat="1" ht="15.75" customHeight="1">
      <c r="A1" s="98"/>
      <c r="B1" s="198" t="s">
        <v>164</v>
      </c>
      <c r="C1" s="199"/>
      <c r="D1" s="199"/>
      <c r="E1" s="199"/>
      <c r="F1" s="199"/>
      <c r="G1" s="200"/>
      <c r="H1" s="199"/>
      <c r="I1" s="199"/>
      <c r="J1" s="199"/>
      <c r="K1" s="100"/>
      <c r="L1" s="100"/>
      <c r="M1" s="102"/>
      <c r="N1" s="103"/>
      <c r="O1" s="103"/>
      <c r="P1" s="103"/>
      <c r="Q1" s="103"/>
      <c r="R1" s="104"/>
      <c r="S1" s="116"/>
      <c r="T1" s="124"/>
      <c r="U1" s="124"/>
      <c r="V1" s="124"/>
      <c r="W1" s="124"/>
      <c r="X1" s="99" t="s">
        <v>107</v>
      </c>
      <c r="Y1" s="100"/>
      <c r="Z1" s="100"/>
      <c r="AA1" s="100"/>
      <c r="AB1" s="100"/>
      <c r="AC1" s="101"/>
      <c r="AD1" s="100"/>
      <c r="AE1" s="100"/>
      <c r="AF1" s="100"/>
      <c r="AG1" s="100"/>
      <c r="AH1" s="100"/>
      <c r="AI1" s="102"/>
      <c r="AJ1" s="103"/>
      <c r="AK1" s="103"/>
      <c r="AL1" s="103"/>
      <c r="AM1" s="103"/>
      <c r="AN1" s="104"/>
      <c r="AO1" s="116"/>
    </row>
    <row r="2" spans="2:40" ht="15.75" customHeight="1">
      <c r="B2" s="201" t="s">
        <v>163</v>
      </c>
      <c r="C2" s="202"/>
      <c r="D2" s="202"/>
      <c r="E2" s="202"/>
      <c r="F2" s="202"/>
      <c r="G2" s="203"/>
      <c r="H2" s="202"/>
      <c r="I2" s="202"/>
      <c r="J2" s="202"/>
      <c r="M2" s="86"/>
      <c r="N2" s="87"/>
      <c r="O2" s="87"/>
      <c r="P2" s="87"/>
      <c r="Q2" s="87"/>
      <c r="R2" s="88"/>
      <c r="AC2" s="85"/>
      <c r="AI2" s="86"/>
      <c r="AJ2" s="87"/>
      <c r="AK2" s="87"/>
      <c r="AL2" s="87"/>
      <c r="AM2" s="87"/>
      <c r="AN2" s="88"/>
    </row>
    <row r="3" spans="1:41" s="39" customFormat="1" ht="15.75" customHeight="1">
      <c r="A3" s="83"/>
      <c r="B3" s="39" t="s">
        <v>106</v>
      </c>
      <c r="G3" s="40"/>
      <c r="M3" s="41"/>
      <c r="N3" s="42"/>
      <c r="O3" s="42"/>
      <c r="P3" s="42"/>
      <c r="Q3" s="42"/>
      <c r="R3" s="43"/>
      <c r="S3" s="41"/>
      <c r="T3" s="125"/>
      <c r="U3" s="125"/>
      <c r="V3" s="125"/>
      <c r="W3" s="125"/>
      <c r="X3" s="39" t="s">
        <v>106</v>
      </c>
      <c r="AC3" s="40"/>
      <c r="AI3" s="41"/>
      <c r="AJ3" s="42"/>
      <c r="AK3" s="42"/>
      <c r="AL3" s="42"/>
      <c r="AM3" s="42"/>
      <c r="AN3" s="43"/>
      <c r="AO3" s="41"/>
    </row>
    <row r="4" spans="4:41" ht="25.5" customHeight="1">
      <c r="D4" s="220" t="s">
        <v>149</v>
      </c>
      <c r="E4" s="220"/>
      <c r="F4" s="220"/>
      <c r="G4" s="221" t="s">
        <v>150</v>
      </c>
      <c r="H4" s="220" t="s">
        <v>151</v>
      </c>
      <c r="I4" s="220"/>
      <c r="J4" s="220"/>
      <c r="K4" s="220"/>
      <c r="L4" s="220"/>
      <c r="M4" s="217" t="s">
        <v>152</v>
      </c>
      <c r="N4" s="218"/>
      <c r="O4" s="218"/>
      <c r="P4" s="218"/>
      <c r="Q4" s="218"/>
      <c r="R4" s="219"/>
      <c r="S4" s="86"/>
      <c r="Z4" s="204" t="s">
        <v>149</v>
      </c>
      <c r="AA4" s="204"/>
      <c r="AB4" s="204"/>
      <c r="AC4" s="205" t="s">
        <v>150</v>
      </c>
      <c r="AD4" s="204" t="s">
        <v>151</v>
      </c>
      <c r="AE4" s="204"/>
      <c r="AF4" s="204"/>
      <c r="AG4" s="204"/>
      <c r="AH4" s="204"/>
      <c r="AI4" s="207" t="s">
        <v>152</v>
      </c>
      <c r="AJ4" s="208"/>
      <c r="AK4" s="208"/>
      <c r="AL4" s="208"/>
      <c r="AM4" s="208"/>
      <c r="AN4" s="209"/>
      <c r="AO4" s="86"/>
    </row>
    <row r="5" spans="1:41" ht="33.75" customHeight="1">
      <c r="A5" s="223" t="s">
        <v>108</v>
      </c>
      <c r="B5" s="224"/>
      <c r="C5" s="175"/>
      <c r="D5" s="176" t="s">
        <v>0</v>
      </c>
      <c r="E5" s="176" t="s">
        <v>1</v>
      </c>
      <c r="F5" s="176" t="s">
        <v>2</v>
      </c>
      <c r="G5" s="222"/>
      <c r="H5" s="176" t="s">
        <v>41</v>
      </c>
      <c r="I5" s="176" t="s">
        <v>45</v>
      </c>
      <c r="J5" s="176" t="s">
        <v>42</v>
      </c>
      <c r="K5" s="176" t="s">
        <v>43</v>
      </c>
      <c r="L5" s="176" t="s">
        <v>44</v>
      </c>
      <c r="M5" s="176" t="s">
        <v>46</v>
      </c>
      <c r="N5" s="176" t="s">
        <v>47</v>
      </c>
      <c r="O5" s="176" t="s">
        <v>48</v>
      </c>
      <c r="P5" s="176" t="s">
        <v>49</v>
      </c>
      <c r="Q5" s="176" t="s">
        <v>100</v>
      </c>
      <c r="R5" s="176" t="s">
        <v>99</v>
      </c>
      <c r="S5" s="86"/>
      <c r="X5" s="122"/>
      <c r="Y5" s="47"/>
      <c r="Z5" s="143" t="s">
        <v>0</v>
      </c>
      <c r="AA5" s="143" t="s">
        <v>1</v>
      </c>
      <c r="AB5" s="143" t="s">
        <v>2</v>
      </c>
      <c r="AC5" s="206"/>
      <c r="AD5" s="143" t="s">
        <v>41</v>
      </c>
      <c r="AE5" s="143" t="s">
        <v>45</v>
      </c>
      <c r="AF5" s="143" t="s">
        <v>42</v>
      </c>
      <c r="AG5" s="143" t="s">
        <v>43</v>
      </c>
      <c r="AH5" s="143" t="s">
        <v>44</v>
      </c>
      <c r="AI5" s="143" t="s">
        <v>46</v>
      </c>
      <c r="AJ5" s="143" t="s">
        <v>47</v>
      </c>
      <c r="AK5" s="143" t="s">
        <v>48</v>
      </c>
      <c r="AL5" s="143" t="s">
        <v>49</v>
      </c>
      <c r="AM5" s="143" t="s">
        <v>100</v>
      </c>
      <c r="AN5" s="143" t="s">
        <v>99</v>
      </c>
      <c r="AO5" s="86"/>
    </row>
    <row r="6" spans="1:41" s="50" customFormat="1" ht="15.75" customHeight="1">
      <c r="A6" s="93">
        <v>3</v>
      </c>
      <c r="B6" s="3" t="s">
        <v>121</v>
      </c>
      <c r="C6" s="3">
        <v>40</v>
      </c>
      <c r="D6" s="1">
        <v>6.23</v>
      </c>
      <c r="E6" s="1">
        <v>8.41</v>
      </c>
      <c r="F6" s="1">
        <v>19.75</v>
      </c>
      <c r="G6" s="1">
        <f>F6*4+E6*9+D6*4</f>
        <v>179.61</v>
      </c>
      <c r="H6" s="1">
        <v>0.054</v>
      </c>
      <c r="I6" s="1">
        <v>0.472</v>
      </c>
      <c r="J6" s="1">
        <v>0.11</v>
      </c>
      <c r="K6" s="1">
        <v>0.42</v>
      </c>
      <c r="L6" s="1">
        <v>0.215</v>
      </c>
      <c r="M6" s="1">
        <v>137.2</v>
      </c>
      <c r="N6" s="1">
        <v>79</v>
      </c>
      <c r="O6" s="1">
        <v>10.9</v>
      </c>
      <c r="P6" s="1">
        <v>0.6</v>
      </c>
      <c r="Q6" s="1">
        <v>1.32</v>
      </c>
      <c r="R6" s="1">
        <v>0</v>
      </c>
      <c r="S6" s="118"/>
      <c r="T6" s="122"/>
      <c r="U6" s="122"/>
      <c r="V6" s="122"/>
      <c r="W6" s="122"/>
      <c r="X6" s="48" t="s">
        <v>121</v>
      </c>
      <c r="Y6" s="48">
        <v>40</v>
      </c>
      <c r="Z6" s="49">
        <v>6.23</v>
      </c>
      <c r="AA6" s="49">
        <v>8.41</v>
      </c>
      <c r="AB6" s="49">
        <v>19.75</v>
      </c>
      <c r="AC6" s="49">
        <f>AB6*4+AA6*9+Z6*4</f>
        <v>179.61</v>
      </c>
      <c r="AD6" s="49">
        <v>0.054</v>
      </c>
      <c r="AE6" s="49">
        <v>0.472</v>
      </c>
      <c r="AF6" s="49">
        <v>0.11</v>
      </c>
      <c r="AG6" s="49">
        <v>0.62</v>
      </c>
      <c r="AH6" s="49">
        <v>0.215</v>
      </c>
      <c r="AI6" s="49">
        <v>137.2</v>
      </c>
      <c r="AJ6" s="49">
        <v>79</v>
      </c>
      <c r="AK6" s="49">
        <v>10.9</v>
      </c>
      <c r="AL6" s="49">
        <v>0.6</v>
      </c>
      <c r="AM6" s="49">
        <v>1.32</v>
      </c>
      <c r="AN6" s="49">
        <v>0</v>
      </c>
      <c r="AO6" s="118"/>
    </row>
    <row r="7" spans="1:41" ht="15.75" customHeight="1">
      <c r="A7" s="91"/>
      <c r="B7" s="92" t="s">
        <v>120</v>
      </c>
      <c r="C7" s="92">
        <v>230</v>
      </c>
      <c r="D7" s="1">
        <v>6.8505</v>
      </c>
      <c r="E7" s="1">
        <v>6.588</v>
      </c>
      <c r="F7" s="1">
        <v>29.329</v>
      </c>
      <c r="G7" s="1">
        <f>F7*4+E7*9+D7*4</f>
        <v>204.01</v>
      </c>
      <c r="H7" s="1">
        <v>0.00945</v>
      </c>
      <c r="I7" s="1">
        <v>0.021</v>
      </c>
      <c r="J7" s="1">
        <v>0.189</v>
      </c>
      <c r="K7" s="1">
        <v>0.03</v>
      </c>
      <c r="L7" s="1">
        <v>0</v>
      </c>
      <c r="M7" s="1">
        <v>21.630000000000003</v>
      </c>
      <c r="N7" s="1">
        <v>22.8795</v>
      </c>
      <c r="O7" s="1">
        <v>5.0925</v>
      </c>
      <c r="P7" s="1">
        <v>0.07350000000000001</v>
      </c>
      <c r="Q7" s="1">
        <v>1.1</v>
      </c>
      <c r="R7" s="1">
        <v>0</v>
      </c>
      <c r="S7" s="118"/>
      <c r="X7" s="51" t="s">
        <v>120</v>
      </c>
      <c r="Y7" s="51">
        <v>230</v>
      </c>
      <c r="Z7" s="49">
        <v>6.8505</v>
      </c>
      <c r="AA7" s="49">
        <v>6.588</v>
      </c>
      <c r="AB7" s="49">
        <v>29.329</v>
      </c>
      <c r="AC7" s="49">
        <f>AB7*4+AA7*9+Z7*4</f>
        <v>204.01</v>
      </c>
      <c r="AD7" s="49">
        <v>0.00945</v>
      </c>
      <c r="AE7" s="49">
        <v>0.021</v>
      </c>
      <c r="AF7" s="49">
        <v>0.189</v>
      </c>
      <c r="AG7" s="49">
        <v>0.03</v>
      </c>
      <c r="AH7" s="49">
        <v>0</v>
      </c>
      <c r="AI7" s="49">
        <v>21.630000000000003</v>
      </c>
      <c r="AJ7" s="49">
        <v>22.8795</v>
      </c>
      <c r="AK7" s="49">
        <v>5.0925</v>
      </c>
      <c r="AL7" s="49">
        <v>0.07350000000000001</v>
      </c>
      <c r="AM7" s="49">
        <v>1.1</v>
      </c>
      <c r="AN7" s="49">
        <v>0</v>
      </c>
      <c r="AO7" s="118"/>
    </row>
    <row r="8" spans="1:41" s="50" customFormat="1" ht="15.75" customHeight="1">
      <c r="A8" s="93">
        <v>382</v>
      </c>
      <c r="B8" s="3" t="s">
        <v>6</v>
      </c>
      <c r="C8" s="3">
        <v>200</v>
      </c>
      <c r="D8" s="160">
        <v>4.07</v>
      </c>
      <c r="E8" s="160">
        <v>3.5</v>
      </c>
      <c r="F8" s="160">
        <v>17.5</v>
      </c>
      <c r="G8" s="1">
        <f>F8*4+E8*9+D8*4</f>
        <v>117.78</v>
      </c>
      <c r="H8" s="160">
        <f>0.28*0.18</f>
        <v>0.0504</v>
      </c>
      <c r="I8" s="160">
        <v>0.18</v>
      </c>
      <c r="J8" s="160">
        <v>1.57</v>
      </c>
      <c r="K8" s="160">
        <v>0.14</v>
      </c>
      <c r="L8" s="160">
        <v>0</v>
      </c>
      <c r="M8" s="160">
        <v>152.2</v>
      </c>
      <c r="N8" s="160">
        <v>124.5</v>
      </c>
      <c r="O8" s="160">
        <v>5.6</v>
      </c>
      <c r="P8" s="160">
        <v>0.47</v>
      </c>
      <c r="Q8" s="1">
        <v>0.5</v>
      </c>
      <c r="R8" s="1">
        <v>0</v>
      </c>
      <c r="S8" s="118"/>
      <c r="T8" s="122"/>
      <c r="U8" s="122"/>
      <c r="V8" s="122"/>
      <c r="W8" s="122"/>
      <c r="X8" s="48" t="s">
        <v>6</v>
      </c>
      <c r="Y8" s="48">
        <v>200</v>
      </c>
      <c r="Z8" s="52">
        <v>4.07</v>
      </c>
      <c r="AA8" s="52">
        <v>3.5</v>
      </c>
      <c r="AB8" s="52">
        <v>17.5</v>
      </c>
      <c r="AC8" s="49">
        <f>AB8*4+AA8*9+Z8*4</f>
        <v>117.78</v>
      </c>
      <c r="AD8" s="52">
        <f>0.28*0.18</f>
        <v>0.0504</v>
      </c>
      <c r="AE8" s="52">
        <v>0.18</v>
      </c>
      <c r="AF8" s="52">
        <v>1.57</v>
      </c>
      <c r="AG8" s="52">
        <v>0.24</v>
      </c>
      <c r="AH8" s="52">
        <v>0</v>
      </c>
      <c r="AI8" s="52">
        <v>152.2</v>
      </c>
      <c r="AJ8" s="52">
        <v>124.5</v>
      </c>
      <c r="AK8" s="52">
        <v>21.34</v>
      </c>
      <c r="AL8" s="52">
        <v>0.47</v>
      </c>
      <c r="AM8" s="49">
        <v>0.5</v>
      </c>
      <c r="AN8" s="49">
        <v>0</v>
      </c>
      <c r="AO8" s="118"/>
    </row>
    <row r="9" spans="1:41" s="49" customFormat="1" ht="15.75" customHeight="1">
      <c r="A9" s="93"/>
      <c r="B9" s="3" t="s">
        <v>4</v>
      </c>
      <c r="C9" s="3">
        <f>'Сырьё лето'!C11</f>
        <v>30</v>
      </c>
      <c r="D9" s="1">
        <f>Z9*'Сырьё лето'!$AK$11</f>
        <v>2.0250000000000004</v>
      </c>
      <c r="E9" s="1">
        <f>AA9*'Сырьё лето'!$AK$11</f>
        <v>0.258</v>
      </c>
      <c r="F9" s="1">
        <f>AB9*'Сырьё лето'!$AK$11</f>
        <v>15.044999999999998</v>
      </c>
      <c r="G9" s="1">
        <f>AC9*'Сырьё лето'!$AK$11</f>
        <v>70.602</v>
      </c>
      <c r="H9" s="1">
        <f>AD9*'Сырьё лето'!$AK$11</f>
        <v>0.036000000000000004</v>
      </c>
      <c r="I9" s="1">
        <f>AE9*'Сырьё лето'!$AK$11</f>
        <v>0.0075</v>
      </c>
      <c r="J9" s="1">
        <f>AF9*'Сырьё лето'!$AK$11</f>
        <v>0</v>
      </c>
      <c r="K9" s="1">
        <f>AG9*'Сырьё лето'!$AK$11</f>
        <v>0</v>
      </c>
      <c r="L9" s="1">
        <f>AH9*'Сырьё лето'!$AK$11</f>
        <v>0.33</v>
      </c>
      <c r="M9" s="1">
        <f>AI9*'Сырьё лето'!$AK$11</f>
        <v>6</v>
      </c>
      <c r="N9" s="1">
        <f>AJ9*'Сырьё лето'!$AK$11</f>
        <v>19.5</v>
      </c>
      <c r="O9" s="1">
        <f>AK9*'Сырьё лето'!$AK$11</f>
        <v>4.199999999999999</v>
      </c>
      <c r="P9" s="1">
        <f>AL9*'Сырьё лето'!$AK$11</f>
        <v>0.33</v>
      </c>
      <c r="Q9" s="1">
        <f>AM9*'Сырьё лето'!$AK$11</f>
        <v>0.22049999999999997</v>
      </c>
      <c r="R9" s="1">
        <f>AN9*'Сырьё лето'!$AK$11</f>
        <v>0</v>
      </c>
      <c r="S9" s="118"/>
      <c r="T9" s="149"/>
      <c r="U9" s="149"/>
      <c r="V9" s="149"/>
      <c r="W9" s="149"/>
      <c r="X9" s="48" t="s">
        <v>4</v>
      </c>
      <c r="Y9" s="48">
        <v>20</v>
      </c>
      <c r="Z9" s="49">
        <v>1.35</v>
      </c>
      <c r="AA9" s="49">
        <v>0.172</v>
      </c>
      <c r="AB9" s="49">
        <v>10.03</v>
      </c>
      <c r="AC9" s="49">
        <f>AB9*4+AA9*9+Z9*4</f>
        <v>47.068</v>
      </c>
      <c r="AD9" s="49">
        <v>0.024</v>
      </c>
      <c r="AE9" s="49">
        <v>0.005</v>
      </c>
      <c r="AF9" s="49">
        <v>0</v>
      </c>
      <c r="AG9" s="49">
        <v>0</v>
      </c>
      <c r="AH9" s="49">
        <v>0.22</v>
      </c>
      <c r="AI9" s="49">
        <v>4</v>
      </c>
      <c r="AJ9" s="49">
        <v>13</v>
      </c>
      <c r="AK9" s="49">
        <v>2.8</v>
      </c>
      <c r="AL9" s="49">
        <v>0.22</v>
      </c>
      <c r="AM9" s="49">
        <v>0.147</v>
      </c>
      <c r="AN9" s="49">
        <v>0</v>
      </c>
      <c r="AO9" s="118"/>
    </row>
    <row r="10" spans="1:41" s="49" customFormat="1" ht="15.75" customHeight="1">
      <c r="A10" s="93">
        <v>368</v>
      </c>
      <c r="B10" s="3" t="s">
        <v>118</v>
      </c>
      <c r="C10" s="3">
        <v>120</v>
      </c>
      <c r="D10" s="160">
        <v>0.5</v>
      </c>
      <c r="E10" s="160">
        <v>0.5</v>
      </c>
      <c r="F10" s="160">
        <v>12.8</v>
      </c>
      <c r="G10" s="1">
        <f>F10*4+E10*9+D10*4</f>
        <v>57.7</v>
      </c>
      <c r="H10" s="160">
        <v>0.04</v>
      </c>
      <c r="I10" s="160">
        <v>0.01</v>
      </c>
      <c r="J10" s="160">
        <v>4</v>
      </c>
      <c r="K10" s="160">
        <v>0</v>
      </c>
      <c r="L10" s="160">
        <v>0.33</v>
      </c>
      <c r="M10" s="160">
        <v>25</v>
      </c>
      <c r="N10" s="160">
        <v>18.3</v>
      </c>
      <c r="O10" s="160">
        <v>14.16</v>
      </c>
      <c r="P10" s="160">
        <v>0.5</v>
      </c>
      <c r="Q10" s="1">
        <v>0.48</v>
      </c>
      <c r="R10" s="1">
        <v>1E-05</v>
      </c>
      <c r="S10" s="118"/>
      <c r="T10" s="122"/>
      <c r="U10" s="122"/>
      <c r="V10" s="122"/>
      <c r="W10" s="122"/>
      <c r="X10" s="48" t="s">
        <v>118</v>
      </c>
      <c r="Y10" s="48">
        <v>120</v>
      </c>
      <c r="Z10" s="52">
        <v>0.5</v>
      </c>
      <c r="AA10" s="52">
        <v>0.5</v>
      </c>
      <c r="AB10" s="52">
        <v>12.8</v>
      </c>
      <c r="AC10" s="49">
        <f>AB10*4+AA10*9+Z10*4</f>
        <v>57.7</v>
      </c>
      <c r="AD10" s="52">
        <v>0.04</v>
      </c>
      <c r="AE10" s="52">
        <v>0.01</v>
      </c>
      <c r="AF10" s="52">
        <v>5</v>
      </c>
      <c r="AG10" s="52">
        <v>0</v>
      </c>
      <c r="AH10" s="52">
        <v>0.33</v>
      </c>
      <c r="AI10" s="52">
        <v>25</v>
      </c>
      <c r="AJ10" s="52">
        <v>18.3</v>
      </c>
      <c r="AK10" s="52">
        <v>14.16</v>
      </c>
      <c r="AL10" s="52">
        <v>0.5</v>
      </c>
      <c r="AM10" s="49">
        <v>0.48</v>
      </c>
      <c r="AN10" s="49">
        <v>1E-05</v>
      </c>
      <c r="AO10" s="118"/>
    </row>
    <row r="11" spans="1:41" s="49" customFormat="1" ht="15.75" customHeight="1">
      <c r="A11" s="93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8"/>
      <c r="T11" s="122"/>
      <c r="U11" s="122"/>
      <c r="V11" s="122"/>
      <c r="W11" s="122"/>
      <c r="X11" s="48"/>
      <c r="Y11" s="48"/>
      <c r="AO11" s="118"/>
    </row>
    <row r="12" spans="1:41" s="49" customFormat="1" ht="15.75" customHeight="1">
      <c r="A12" s="161"/>
      <c r="B12" s="162" t="s">
        <v>21</v>
      </c>
      <c r="C12" s="163">
        <f>SUM(C6:C10)</f>
        <v>620</v>
      </c>
      <c r="D12" s="163">
        <f>SUM(D6:D10)</f>
        <v>19.6755</v>
      </c>
      <c r="E12" s="163">
        <f aca="true" t="shared" si="0" ref="E12:R12">SUM(E6:E10)</f>
        <v>19.256</v>
      </c>
      <c r="F12" s="163">
        <f t="shared" si="0"/>
        <v>94.424</v>
      </c>
      <c r="G12" s="163">
        <f t="shared" si="0"/>
        <v>629.702</v>
      </c>
      <c r="H12" s="163">
        <f t="shared" si="0"/>
        <v>0.18985000000000002</v>
      </c>
      <c r="I12" s="163">
        <f t="shared" si="0"/>
        <v>0.6905</v>
      </c>
      <c r="J12" s="163">
        <f t="shared" si="0"/>
        <v>5.869</v>
      </c>
      <c r="K12" s="163">
        <f t="shared" si="0"/>
        <v>0.59</v>
      </c>
      <c r="L12" s="163">
        <f t="shared" si="0"/>
        <v>0.875</v>
      </c>
      <c r="M12" s="163">
        <f t="shared" si="0"/>
        <v>342.03</v>
      </c>
      <c r="N12" s="163">
        <f t="shared" si="0"/>
        <v>264.1795</v>
      </c>
      <c r="O12" s="163">
        <f t="shared" si="0"/>
        <v>39.9525</v>
      </c>
      <c r="P12" s="163">
        <f t="shared" si="0"/>
        <v>1.9735</v>
      </c>
      <c r="Q12" s="163">
        <f t="shared" si="0"/>
        <v>3.6205</v>
      </c>
      <c r="R12" s="163">
        <f t="shared" si="0"/>
        <v>1E-05</v>
      </c>
      <c r="S12" s="118"/>
      <c r="T12" s="122"/>
      <c r="U12" s="122"/>
      <c r="V12" s="122"/>
      <c r="W12" s="122"/>
      <c r="X12" s="53" t="s">
        <v>21</v>
      </c>
      <c r="Y12" s="54">
        <f>SUM(Y6:Y10)</f>
        <v>610</v>
      </c>
      <c r="Z12" s="54">
        <f>SUM(Z6:Z10)</f>
        <v>19.000500000000002</v>
      </c>
      <c r="AA12" s="54">
        <f aca="true" t="shared" si="1" ref="AA12:AN12">SUM(AA6:AA10)</f>
        <v>19.17</v>
      </c>
      <c r="AB12" s="54">
        <f t="shared" si="1"/>
        <v>89.409</v>
      </c>
      <c r="AC12" s="54">
        <f t="shared" si="1"/>
        <v>606.168</v>
      </c>
      <c r="AD12" s="54">
        <f t="shared" si="1"/>
        <v>0.17785</v>
      </c>
      <c r="AE12" s="54">
        <f t="shared" si="1"/>
        <v>0.6880000000000001</v>
      </c>
      <c r="AF12" s="54">
        <f t="shared" si="1"/>
        <v>6.869</v>
      </c>
      <c r="AG12" s="54">
        <f t="shared" si="1"/>
        <v>0.89</v>
      </c>
      <c r="AH12" s="54">
        <f t="shared" si="1"/>
        <v>0.765</v>
      </c>
      <c r="AI12" s="54">
        <f t="shared" si="1"/>
        <v>340.03</v>
      </c>
      <c r="AJ12" s="54">
        <f t="shared" si="1"/>
        <v>257.6795</v>
      </c>
      <c r="AK12" s="54">
        <f t="shared" si="1"/>
        <v>54.29249999999999</v>
      </c>
      <c r="AL12" s="54">
        <f t="shared" si="1"/>
        <v>1.8635</v>
      </c>
      <c r="AM12" s="54">
        <f t="shared" si="1"/>
        <v>3.5469999999999997</v>
      </c>
      <c r="AN12" s="54">
        <f t="shared" si="1"/>
        <v>1E-05</v>
      </c>
      <c r="AO12" s="118"/>
    </row>
    <row r="13" spans="1:41" s="147" customFormat="1" ht="15.75" customHeight="1">
      <c r="A13" s="164"/>
      <c r="B13" s="174" t="s">
        <v>98</v>
      </c>
      <c r="C13" s="174"/>
      <c r="D13" s="1">
        <v>22.5</v>
      </c>
      <c r="E13" s="1">
        <v>23</v>
      </c>
      <c r="F13" s="1">
        <v>95.75</v>
      </c>
      <c r="G13" s="1">
        <v>678.25</v>
      </c>
      <c r="H13" s="1">
        <v>0.35</v>
      </c>
      <c r="I13" s="1">
        <v>0.4</v>
      </c>
      <c r="J13" s="1">
        <v>17.5</v>
      </c>
      <c r="K13" s="1">
        <v>0.23</v>
      </c>
      <c r="L13" s="1">
        <v>3</v>
      </c>
      <c r="M13" s="1">
        <v>300</v>
      </c>
      <c r="N13" s="1">
        <v>450</v>
      </c>
      <c r="O13" s="1">
        <v>75</v>
      </c>
      <c r="P13" s="1">
        <v>4.25</v>
      </c>
      <c r="Q13" s="1">
        <v>3.5</v>
      </c>
      <c r="R13" s="1">
        <v>0.025</v>
      </c>
      <c r="S13" s="145"/>
      <c r="T13" s="146"/>
      <c r="U13" s="146"/>
      <c r="V13" s="146"/>
      <c r="W13" s="146"/>
      <c r="X13" s="144" t="s">
        <v>98</v>
      </c>
      <c r="Y13" s="144"/>
      <c r="Z13" s="56">
        <v>19.25</v>
      </c>
      <c r="AA13" s="56">
        <v>19.75</v>
      </c>
      <c r="AB13" s="56">
        <v>83.75</v>
      </c>
      <c r="AC13" s="56">
        <v>587.5</v>
      </c>
      <c r="AD13" s="56">
        <v>0.3</v>
      </c>
      <c r="AE13" s="56">
        <v>0.35</v>
      </c>
      <c r="AF13" s="56">
        <v>15</v>
      </c>
      <c r="AG13" s="56">
        <v>0.175</v>
      </c>
      <c r="AH13" s="56">
        <v>2.5</v>
      </c>
      <c r="AI13" s="56">
        <v>275</v>
      </c>
      <c r="AJ13" s="56">
        <v>412.5</v>
      </c>
      <c r="AK13" s="56">
        <v>62.5</v>
      </c>
      <c r="AL13" s="56">
        <v>3</v>
      </c>
      <c r="AM13" s="56">
        <v>2.5</v>
      </c>
      <c r="AN13" s="56">
        <v>0.025</v>
      </c>
      <c r="AO13" s="145"/>
    </row>
    <row r="14" spans="1:41" s="57" customFormat="1" ht="15.75" customHeight="1">
      <c r="A14" s="225" t="s">
        <v>109</v>
      </c>
      <c r="B14" s="22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9"/>
      <c r="T14" s="126"/>
      <c r="U14" s="126"/>
      <c r="V14" s="126"/>
      <c r="W14" s="126"/>
      <c r="X14" s="126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119"/>
    </row>
    <row r="15" spans="1:41" s="49" customFormat="1" ht="15.75" customHeight="1">
      <c r="A15" s="165"/>
      <c r="B15" s="92" t="s">
        <v>119</v>
      </c>
      <c r="C15" s="3">
        <f>'Сырьё лето'!C17</f>
        <v>100</v>
      </c>
      <c r="D15" s="160">
        <f>Z15*'Сырьё лето'!$AK$17</f>
        <v>1.3193</v>
      </c>
      <c r="E15" s="160">
        <f>AA15*'Сырьё лето'!$AK$17</f>
        <v>0.24047999999999997</v>
      </c>
      <c r="F15" s="160">
        <f>AB15*'Сырьё лето'!$AK$17</f>
        <v>4.56912</v>
      </c>
      <c r="G15" s="160">
        <f>AC15*'Сырьё лето'!$AK$17</f>
        <v>25.718</v>
      </c>
      <c r="H15" s="160">
        <f>AD15*'Сырьё лето'!$AK$17</f>
        <v>0.08016</v>
      </c>
      <c r="I15" s="160">
        <f>AE15*'Сырьё лето'!$AK$17</f>
        <v>0.04008</v>
      </c>
      <c r="J15" s="1">
        <v>3.88</v>
      </c>
      <c r="K15" s="160">
        <f>AG15*'Сырьё лето'!$AK$17</f>
        <v>0</v>
      </c>
      <c r="L15" s="160">
        <f>AH15*'Сырьё лето'!$AK$17</f>
        <v>0.835</v>
      </c>
      <c r="M15" s="160">
        <f>AI15*'Сырьё лето'!$AK$17</f>
        <v>16.8336</v>
      </c>
      <c r="N15" s="160">
        <f>AJ15*'Сырьё лето'!$AK$17</f>
        <v>31.262399999999996</v>
      </c>
      <c r="O15" s="160">
        <f>AK15*'Сырьё лето'!$AK$17</f>
        <v>24.048</v>
      </c>
      <c r="P15" s="160">
        <f>AL15*'Сырьё лето'!$AK$17</f>
        <v>1.08216</v>
      </c>
      <c r="Q15" s="160">
        <f>AM15*'Сырьё лето'!$AK$17</f>
        <v>0.17034</v>
      </c>
      <c r="R15" s="160">
        <f>AN15*'Сырьё лето'!$AK$17</f>
        <v>0</v>
      </c>
      <c r="S15" s="118"/>
      <c r="T15" s="149"/>
      <c r="U15" s="149"/>
      <c r="V15" s="149"/>
      <c r="W15" s="149"/>
      <c r="X15" s="150" t="s">
        <v>119</v>
      </c>
      <c r="Y15" s="150">
        <v>60</v>
      </c>
      <c r="Z15" s="52">
        <v>0.79</v>
      </c>
      <c r="AA15" s="52">
        <v>0.144</v>
      </c>
      <c r="AB15" s="52">
        <v>2.736</v>
      </c>
      <c r="AC15" s="52">
        <f aca="true" t="shared" si="2" ref="AC15:AC20">AB15*4+AA15*9+Z15*4</f>
        <v>15.4</v>
      </c>
      <c r="AD15" s="52">
        <v>0.048</v>
      </c>
      <c r="AE15" s="52">
        <v>0.024</v>
      </c>
      <c r="AF15" s="52">
        <v>12.6</v>
      </c>
      <c r="AG15" s="52">
        <v>0</v>
      </c>
      <c r="AH15" s="52">
        <v>0.5</v>
      </c>
      <c r="AI15" s="52">
        <v>10.08</v>
      </c>
      <c r="AJ15" s="52">
        <v>18.72</v>
      </c>
      <c r="AK15" s="52">
        <v>14.4</v>
      </c>
      <c r="AL15" s="52">
        <v>0.648</v>
      </c>
      <c r="AM15" s="49">
        <v>0.102</v>
      </c>
      <c r="AN15" s="49">
        <v>0</v>
      </c>
      <c r="AO15" s="118"/>
    </row>
    <row r="16" spans="1:41" s="49" customFormat="1" ht="15.75" customHeight="1">
      <c r="A16" s="93">
        <v>259</v>
      </c>
      <c r="B16" s="3" t="s">
        <v>22</v>
      </c>
      <c r="C16" s="3">
        <f>'Сырьё лето'!C18</f>
        <v>210</v>
      </c>
      <c r="D16" s="1">
        <v>18.41</v>
      </c>
      <c r="E16" s="1">
        <f>AA16*'Сырьё лето'!$AK$18</f>
        <v>18.815533980582522</v>
      </c>
      <c r="F16" s="1">
        <f>AB16*'Сырьё лето'!$AK$18</f>
        <v>31.036893203883494</v>
      </c>
      <c r="G16" s="1">
        <v>325.13</v>
      </c>
      <c r="H16" s="1">
        <f>AD16*'Сырьё лето'!$AK$18</f>
        <v>0.1677669902912621</v>
      </c>
      <c r="I16" s="1">
        <f>AE16*'Сырьё лето'!$AK$18</f>
        <v>0.23766990291262136</v>
      </c>
      <c r="J16" s="1">
        <f>AF16*'Сырьё лето'!$AK$18</f>
        <v>9.71650485436893</v>
      </c>
      <c r="K16" s="1">
        <f>AG16*'Сырьё лето'!$AK$18</f>
        <v>0</v>
      </c>
      <c r="L16" s="1">
        <v>6.08</v>
      </c>
      <c r="M16" s="1">
        <f>AI16*'Сырьё лето'!$AK$18</f>
        <v>43.80582524271844</v>
      </c>
      <c r="N16" s="1">
        <f>AJ16*'Сырьё лето'!$AK$18</f>
        <v>259.1417475728155</v>
      </c>
      <c r="O16" s="1">
        <v>31.08</v>
      </c>
      <c r="P16" s="1">
        <v>2.55</v>
      </c>
      <c r="Q16" s="1">
        <f>AM16*'Сырьё лето'!$AK$18</f>
        <v>4.056</v>
      </c>
      <c r="R16" s="1">
        <f>AN16*'Сырьё лето'!$AK$18</f>
        <v>0</v>
      </c>
      <c r="S16" s="118"/>
      <c r="T16" s="149"/>
      <c r="U16" s="149"/>
      <c r="V16" s="149"/>
      <c r="W16" s="149"/>
      <c r="X16" s="48" t="s">
        <v>22</v>
      </c>
      <c r="Y16" s="48">
        <v>175</v>
      </c>
      <c r="Z16" s="49">
        <v>17.009708737864077</v>
      </c>
      <c r="AA16" s="49">
        <v>15.679611650485436</v>
      </c>
      <c r="AB16" s="49">
        <v>25.864077669902912</v>
      </c>
      <c r="AC16" s="52">
        <f t="shared" si="2"/>
        <v>312.6116504854369</v>
      </c>
      <c r="AD16" s="49">
        <v>0.13980582524271842</v>
      </c>
      <c r="AE16" s="49">
        <v>0.19805825242718447</v>
      </c>
      <c r="AF16" s="49">
        <v>8.097087378640776</v>
      </c>
      <c r="AG16" s="49">
        <v>0</v>
      </c>
      <c r="AH16" s="49">
        <v>10.067961165048542</v>
      </c>
      <c r="AI16" s="49">
        <v>36.50485436893204</v>
      </c>
      <c r="AJ16" s="49">
        <v>215.95145631067962</v>
      </c>
      <c r="AK16" s="49">
        <v>50.90291262135922</v>
      </c>
      <c r="AL16" s="49">
        <v>4.621359223300971</v>
      </c>
      <c r="AM16" s="49">
        <v>3.38</v>
      </c>
      <c r="AN16" s="49">
        <v>0</v>
      </c>
      <c r="AO16" s="118"/>
    </row>
    <row r="17" spans="1:41" s="58" customFormat="1" ht="15.75" customHeight="1">
      <c r="A17" s="93" t="s">
        <v>39</v>
      </c>
      <c r="B17" s="3" t="s">
        <v>92</v>
      </c>
      <c r="C17" s="3">
        <f>'Сырьё лето'!C19</f>
        <v>200</v>
      </c>
      <c r="D17" s="1">
        <v>0.6</v>
      </c>
      <c r="E17" s="1">
        <v>0.4</v>
      </c>
      <c r="F17" s="1">
        <v>10.4</v>
      </c>
      <c r="G17" s="160">
        <f>F17*4+E17*9+D17*4</f>
        <v>47.6</v>
      </c>
      <c r="H17" s="1">
        <v>0.02</v>
      </c>
      <c r="I17" s="1">
        <v>0.04</v>
      </c>
      <c r="J17" s="1">
        <v>3.4</v>
      </c>
      <c r="K17" s="1">
        <v>0</v>
      </c>
      <c r="L17" s="1">
        <v>0.4</v>
      </c>
      <c r="M17" s="1">
        <v>21.2</v>
      </c>
      <c r="N17" s="1">
        <v>22.6</v>
      </c>
      <c r="O17" s="1">
        <v>4.6</v>
      </c>
      <c r="P17" s="1">
        <v>1.2</v>
      </c>
      <c r="Q17" s="1">
        <v>0.12</v>
      </c>
      <c r="R17" s="1">
        <v>0</v>
      </c>
      <c r="S17" s="120"/>
      <c r="T17" s="151"/>
      <c r="U17" s="151"/>
      <c r="V17" s="151"/>
      <c r="W17" s="151"/>
      <c r="X17" s="48" t="s">
        <v>92</v>
      </c>
      <c r="Y17" s="48">
        <v>200</v>
      </c>
      <c r="Z17" s="49">
        <v>0.6</v>
      </c>
      <c r="AA17" s="49">
        <v>0.4</v>
      </c>
      <c r="AB17" s="49">
        <v>10.4</v>
      </c>
      <c r="AC17" s="52">
        <f t="shared" si="2"/>
        <v>47.6</v>
      </c>
      <c r="AD17" s="49">
        <v>0.02</v>
      </c>
      <c r="AE17" s="49">
        <v>0.04</v>
      </c>
      <c r="AF17" s="49">
        <v>3.4</v>
      </c>
      <c r="AG17" s="49">
        <v>0</v>
      </c>
      <c r="AH17" s="49">
        <v>0.4</v>
      </c>
      <c r="AI17" s="49">
        <v>21.2</v>
      </c>
      <c r="AJ17" s="49">
        <v>22.6</v>
      </c>
      <c r="AK17" s="49">
        <v>14.6</v>
      </c>
      <c r="AL17" s="49">
        <v>3.2</v>
      </c>
      <c r="AM17" s="49">
        <v>0.12</v>
      </c>
      <c r="AN17" s="49">
        <v>0</v>
      </c>
      <c r="AO17" s="120"/>
    </row>
    <row r="18" spans="1:41" s="58" customFormat="1" ht="15.75" customHeight="1">
      <c r="A18" s="93"/>
      <c r="B18" s="3" t="s">
        <v>4</v>
      </c>
      <c r="C18" s="3">
        <f>'Сырьё лето'!C20</f>
        <v>30</v>
      </c>
      <c r="D18" s="1">
        <f>Z18*'Сырьё лето'!$AK$20</f>
        <v>2.025</v>
      </c>
      <c r="E18" s="1">
        <f>AA18*'Сырьё лето'!$AK$20</f>
        <v>0.25799999999999995</v>
      </c>
      <c r="F18" s="1">
        <f>AB18*'Сырьё лето'!$AK$20</f>
        <v>15.044999999999998</v>
      </c>
      <c r="G18" s="1">
        <f>AC18*'Сырьё лето'!$AK$20</f>
        <v>70.602</v>
      </c>
      <c r="H18" s="1">
        <f>AD18*'Сырьё лето'!$AK$20</f>
        <v>0.036</v>
      </c>
      <c r="I18" s="1">
        <f>AE18*'Сырьё лето'!$AK$20</f>
        <v>0.0075</v>
      </c>
      <c r="J18" s="1">
        <f>AF18*'Сырьё лето'!$AK$20</f>
        <v>0</v>
      </c>
      <c r="K18" s="1">
        <f>AG18*'Сырьё лето'!$AK$20</f>
        <v>0</v>
      </c>
      <c r="L18" s="1">
        <f>AH18*'Сырьё лето'!$AK$20</f>
        <v>0.33</v>
      </c>
      <c r="M18" s="1">
        <f>AI18*'Сырьё лето'!$AK$20</f>
        <v>6</v>
      </c>
      <c r="N18" s="1">
        <f>AJ18*'Сырьё лето'!$AK$20</f>
        <v>19.5</v>
      </c>
      <c r="O18" s="1">
        <f>AK18*'Сырьё лето'!$AK$20</f>
        <v>4.2</v>
      </c>
      <c r="P18" s="1">
        <f>AL18*'Сырьё лето'!$AK$20</f>
        <v>0.33</v>
      </c>
      <c r="Q18" s="1">
        <f>AM18*'Сырьё лето'!$AK$20</f>
        <v>0.22799999999999998</v>
      </c>
      <c r="R18" s="1">
        <f>AN18*'Сырьё лето'!$AK$20</f>
        <v>0</v>
      </c>
      <c r="S18" s="120"/>
      <c r="T18" s="151"/>
      <c r="U18" s="151"/>
      <c r="V18" s="151"/>
      <c r="W18" s="151"/>
      <c r="X18" s="48" t="s">
        <v>4</v>
      </c>
      <c r="Y18" s="48">
        <v>25</v>
      </c>
      <c r="Z18" s="49">
        <v>1.6875</v>
      </c>
      <c r="AA18" s="49">
        <v>0.21499999999999997</v>
      </c>
      <c r="AB18" s="49">
        <v>12.5375</v>
      </c>
      <c r="AC18" s="52">
        <f t="shared" si="2"/>
        <v>58.835</v>
      </c>
      <c r="AD18" s="49">
        <v>0.03</v>
      </c>
      <c r="AE18" s="49">
        <v>0.00625</v>
      </c>
      <c r="AF18" s="49">
        <v>0</v>
      </c>
      <c r="AG18" s="49">
        <v>0</v>
      </c>
      <c r="AH18" s="49">
        <v>0.275</v>
      </c>
      <c r="AI18" s="49">
        <v>5</v>
      </c>
      <c r="AJ18" s="49">
        <v>16.25</v>
      </c>
      <c r="AK18" s="49">
        <v>3.5</v>
      </c>
      <c r="AL18" s="49">
        <v>0.275</v>
      </c>
      <c r="AM18" s="49">
        <v>0.19</v>
      </c>
      <c r="AN18" s="49">
        <v>0</v>
      </c>
      <c r="AO18" s="120"/>
    </row>
    <row r="19" spans="1:41" s="58" customFormat="1" ht="15.75" customHeight="1">
      <c r="A19" s="93"/>
      <c r="B19" s="3" t="s">
        <v>127</v>
      </c>
      <c r="C19" s="3">
        <f>'Сырьё лето'!C21</f>
        <v>30</v>
      </c>
      <c r="D19" s="1">
        <f>Z19*'Сырьё лето'!$AK$21</f>
        <v>1.995</v>
      </c>
      <c r="E19" s="1">
        <f>AA19*'Сырьё лето'!$AK$21</f>
        <v>0.36</v>
      </c>
      <c r="F19" s="1">
        <f>AB19*'Сырьё лето'!$AK$21</f>
        <v>12.554999999999998</v>
      </c>
      <c r="G19" s="1">
        <f>AC19*'Сырьё лето'!$AK$21</f>
        <v>61.43999999999999</v>
      </c>
      <c r="H19" s="1">
        <f>AD19*'Сырьё лето'!$AK$21</f>
        <v>0.15749999999999997</v>
      </c>
      <c r="I19" s="1">
        <f>AE19*'Сырьё лето'!$AK$21</f>
        <v>0.10499999999999997</v>
      </c>
      <c r="J19" s="1">
        <f>AF19*'Сырьё лето'!$AK$21</f>
        <v>0.20999999999999994</v>
      </c>
      <c r="K19" s="1">
        <f>AG19*'Сырьё лето'!$AK$21</f>
        <v>0</v>
      </c>
      <c r="L19" s="1">
        <f>AH19*'Сырьё лето'!$AK$21</f>
        <v>0.15749999999999997</v>
      </c>
      <c r="M19" s="1">
        <f>AI19*'Сырьё лето'!$AK$21</f>
        <v>38.324999999999996</v>
      </c>
      <c r="N19" s="1">
        <f>AJ19*'Сырьё лето'!$AK$21</f>
        <v>65.625</v>
      </c>
      <c r="O19" s="1">
        <v>11</v>
      </c>
      <c r="P19" s="1">
        <v>1.07</v>
      </c>
      <c r="Q19" s="1">
        <f>AM19*'Сырьё лето'!$AK$21</f>
        <v>0.36</v>
      </c>
      <c r="R19" s="1">
        <f>AN19*'Сырьё лето'!$AK$21</f>
        <v>0.024</v>
      </c>
      <c r="S19" s="120"/>
      <c r="T19" s="151"/>
      <c r="U19" s="151"/>
      <c r="V19" s="151"/>
      <c r="W19" s="151"/>
      <c r="X19" s="48" t="s">
        <v>127</v>
      </c>
      <c r="Y19" s="48">
        <v>25</v>
      </c>
      <c r="Z19" s="49">
        <v>1.6625</v>
      </c>
      <c r="AA19" s="49">
        <v>0.3</v>
      </c>
      <c r="AB19" s="49">
        <v>10.462499999999999</v>
      </c>
      <c r="AC19" s="52">
        <f t="shared" si="2"/>
        <v>51.199999999999996</v>
      </c>
      <c r="AD19" s="49">
        <v>0.13124999999999998</v>
      </c>
      <c r="AE19" s="49">
        <v>0.08749999999999998</v>
      </c>
      <c r="AF19" s="49">
        <v>0.17499999999999996</v>
      </c>
      <c r="AG19" s="49">
        <v>0</v>
      </c>
      <c r="AH19" s="49">
        <v>0.13124999999999998</v>
      </c>
      <c r="AI19" s="49">
        <v>31.937499999999996</v>
      </c>
      <c r="AJ19" s="49">
        <v>54.6875</v>
      </c>
      <c r="AK19" s="49">
        <v>17.5</v>
      </c>
      <c r="AL19" s="49">
        <v>1.2249999999999999</v>
      </c>
      <c r="AM19" s="49">
        <v>0.3</v>
      </c>
      <c r="AN19" s="49">
        <v>0.02</v>
      </c>
      <c r="AO19" s="120"/>
    </row>
    <row r="20" spans="1:41" s="49" customFormat="1" ht="15.75" customHeight="1">
      <c r="A20" s="93"/>
      <c r="B20" s="3" t="s">
        <v>122</v>
      </c>
      <c r="C20" s="3">
        <f>'Сырьё лето'!C22</f>
        <v>225</v>
      </c>
      <c r="D20" s="160">
        <v>4.8</v>
      </c>
      <c r="E20" s="160">
        <f>2.5*2</f>
        <v>5</v>
      </c>
      <c r="F20" s="160">
        <f>4*2</f>
        <v>8</v>
      </c>
      <c r="G20" s="160">
        <f>F20*4+E20*9+D20*4</f>
        <v>96.2</v>
      </c>
      <c r="H20" s="160">
        <f>0.04*0.75</f>
        <v>0.03</v>
      </c>
      <c r="I20" s="160">
        <v>0.26</v>
      </c>
      <c r="J20" s="160">
        <v>0.54</v>
      </c>
      <c r="K20" s="160">
        <v>0.36</v>
      </c>
      <c r="L20" s="160">
        <v>0</v>
      </c>
      <c r="M20" s="160">
        <v>223.2</v>
      </c>
      <c r="N20" s="160">
        <v>165.6</v>
      </c>
      <c r="O20" s="160">
        <v>15.2</v>
      </c>
      <c r="P20" s="160">
        <v>0.18</v>
      </c>
      <c r="Q20" s="1">
        <v>0.8</v>
      </c>
      <c r="R20" s="1">
        <v>0</v>
      </c>
      <c r="S20" s="118"/>
      <c r="T20" s="122"/>
      <c r="U20" s="122"/>
      <c r="V20" s="122"/>
      <c r="W20" s="122"/>
      <c r="X20" s="48" t="s">
        <v>122</v>
      </c>
      <c r="Y20" s="48">
        <v>200</v>
      </c>
      <c r="Z20" s="52">
        <f>2.9*2</f>
        <v>5.8</v>
      </c>
      <c r="AA20" s="52">
        <f>2.5*2</f>
        <v>5</v>
      </c>
      <c r="AB20" s="52">
        <f>4*2</f>
        <v>8</v>
      </c>
      <c r="AC20" s="52">
        <f t="shared" si="2"/>
        <v>100.2</v>
      </c>
      <c r="AD20" s="52">
        <f>0.04*0.75</f>
        <v>0.03</v>
      </c>
      <c r="AE20" s="52">
        <v>0.26</v>
      </c>
      <c r="AF20" s="52">
        <v>0.54</v>
      </c>
      <c r="AG20" s="52">
        <v>0.36</v>
      </c>
      <c r="AH20" s="52">
        <v>0</v>
      </c>
      <c r="AI20" s="52">
        <v>223.2</v>
      </c>
      <c r="AJ20" s="52">
        <v>165.6</v>
      </c>
      <c r="AK20" s="52">
        <v>25.2</v>
      </c>
      <c r="AL20" s="52">
        <v>0.18</v>
      </c>
      <c r="AM20" s="49">
        <v>0.8</v>
      </c>
      <c r="AN20" s="49">
        <v>0</v>
      </c>
      <c r="AO20" s="118"/>
    </row>
    <row r="21" spans="1:41" s="49" customFormat="1" ht="15.75" customHeight="1">
      <c r="A21" s="9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18"/>
      <c r="T21" s="122"/>
      <c r="U21" s="122"/>
      <c r="V21" s="122"/>
      <c r="W21" s="122"/>
      <c r="AO21" s="118"/>
    </row>
    <row r="22" spans="1:41" s="49" customFormat="1" ht="15.75" customHeight="1">
      <c r="A22" s="161"/>
      <c r="B22" s="166" t="s">
        <v>21</v>
      </c>
      <c r="C22" s="163">
        <f>SUM(C15:C20)</f>
        <v>795</v>
      </c>
      <c r="D22" s="163">
        <f>SUM(D15:D20)</f>
        <v>29.1493</v>
      </c>
      <c r="E22" s="163">
        <f aca="true" t="shared" si="3" ref="E22:R22">SUM(E15:E20)</f>
        <v>25.07401398058252</v>
      </c>
      <c r="F22" s="163">
        <f t="shared" si="3"/>
        <v>81.60601320388348</v>
      </c>
      <c r="G22" s="163">
        <f t="shared" si="3"/>
        <v>626.69</v>
      </c>
      <c r="H22" s="163">
        <f t="shared" si="3"/>
        <v>0.491426990291262</v>
      </c>
      <c r="I22" s="163">
        <f t="shared" si="3"/>
        <v>0.6902499029126213</v>
      </c>
      <c r="J22" s="163">
        <f t="shared" si="3"/>
        <v>17.74650485436893</v>
      </c>
      <c r="K22" s="163">
        <f t="shared" si="3"/>
        <v>0.36</v>
      </c>
      <c r="L22" s="163">
        <f t="shared" si="3"/>
        <v>7.8025</v>
      </c>
      <c r="M22" s="163">
        <f t="shared" si="3"/>
        <v>349.3644252427184</v>
      </c>
      <c r="N22" s="163">
        <f t="shared" si="3"/>
        <v>563.7291475728156</v>
      </c>
      <c r="O22" s="163">
        <f t="shared" si="3"/>
        <v>90.128</v>
      </c>
      <c r="P22" s="163">
        <f t="shared" si="3"/>
        <v>6.41216</v>
      </c>
      <c r="Q22" s="163">
        <f t="shared" si="3"/>
        <v>5.73434</v>
      </c>
      <c r="R22" s="163">
        <f t="shared" si="3"/>
        <v>0.024</v>
      </c>
      <c r="S22" s="118"/>
      <c r="T22" s="122"/>
      <c r="U22" s="122"/>
      <c r="V22" s="122"/>
      <c r="W22" s="122"/>
      <c r="X22" s="61" t="s">
        <v>21</v>
      </c>
      <c r="Y22" s="54">
        <f>SUM(Y15:Y20)</f>
        <v>685</v>
      </c>
      <c r="Z22" s="54">
        <f>SUM(Z15:Z20)</f>
        <v>27.54970873786408</v>
      </c>
      <c r="AA22" s="54">
        <f aca="true" t="shared" si="4" ref="AA22:AN22">SUM(AA15:AA20)</f>
        <v>21.738611650485435</v>
      </c>
      <c r="AB22" s="54">
        <f t="shared" si="4"/>
        <v>70.00007766990291</v>
      </c>
      <c r="AC22" s="54">
        <f t="shared" si="4"/>
        <v>585.8466504854368</v>
      </c>
      <c r="AD22" s="54">
        <f t="shared" si="4"/>
        <v>0.39905582524271843</v>
      </c>
      <c r="AE22" s="54">
        <f t="shared" si="4"/>
        <v>0.6158082524271844</v>
      </c>
      <c r="AF22" s="54">
        <f t="shared" si="4"/>
        <v>24.812087378640772</v>
      </c>
      <c r="AG22" s="54">
        <f t="shared" si="4"/>
        <v>0.36</v>
      </c>
      <c r="AH22" s="54">
        <f t="shared" si="4"/>
        <v>11.374211165048543</v>
      </c>
      <c r="AI22" s="54">
        <f t="shared" si="4"/>
        <v>327.922354368932</v>
      </c>
      <c r="AJ22" s="54">
        <f t="shared" si="4"/>
        <v>493.8089563106796</v>
      </c>
      <c r="AK22" s="54">
        <f t="shared" si="4"/>
        <v>126.10291262135922</v>
      </c>
      <c r="AL22" s="54">
        <f t="shared" si="4"/>
        <v>10.14935922330097</v>
      </c>
      <c r="AM22" s="54">
        <f t="shared" si="4"/>
        <v>4.8919999999999995</v>
      </c>
      <c r="AN22" s="54">
        <f t="shared" si="4"/>
        <v>0.02</v>
      </c>
      <c r="AO22" s="118"/>
    </row>
    <row r="23" spans="1:41" s="49" customFormat="1" ht="15.75" customHeight="1">
      <c r="A23" s="155"/>
      <c r="B23" s="174" t="s">
        <v>98</v>
      </c>
      <c r="C23" s="174"/>
      <c r="D23" s="1">
        <v>22.5</v>
      </c>
      <c r="E23" s="1">
        <v>23</v>
      </c>
      <c r="F23" s="1">
        <v>95.75</v>
      </c>
      <c r="G23" s="1">
        <v>678.25</v>
      </c>
      <c r="H23" s="1">
        <v>0.35</v>
      </c>
      <c r="I23" s="1">
        <v>0.4</v>
      </c>
      <c r="J23" s="1">
        <v>17.5</v>
      </c>
      <c r="K23" s="1">
        <v>0.23</v>
      </c>
      <c r="L23" s="1">
        <v>3</v>
      </c>
      <c r="M23" s="1">
        <v>300</v>
      </c>
      <c r="N23" s="1">
        <v>450</v>
      </c>
      <c r="O23" s="1">
        <v>75</v>
      </c>
      <c r="P23" s="1">
        <v>4.25</v>
      </c>
      <c r="Q23" s="1">
        <v>3.5</v>
      </c>
      <c r="R23" s="1">
        <v>0.025</v>
      </c>
      <c r="S23" s="118"/>
      <c r="T23" s="122"/>
      <c r="U23" s="122"/>
      <c r="V23" s="122"/>
      <c r="W23" s="122"/>
      <c r="X23" s="55" t="s">
        <v>98</v>
      </c>
      <c r="Y23" s="55"/>
      <c r="Z23" s="56">
        <v>19.25</v>
      </c>
      <c r="AA23" s="56">
        <v>19.75</v>
      </c>
      <c r="AB23" s="56">
        <v>83.75</v>
      </c>
      <c r="AC23" s="56">
        <v>587.5</v>
      </c>
      <c r="AD23" s="56">
        <v>0.3</v>
      </c>
      <c r="AE23" s="56">
        <v>0.35</v>
      </c>
      <c r="AF23" s="56">
        <v>15</v>
      </c>
      <c r="AG23" s="56">
        <v>0.175</v>
      </c>
      <c r="AH23" s="56">
        <v>2.5</v>
      </c>
      <c r="AI23" s="56">
        <v>275</v>
      </c>
      <c r="AJ23" s="56">
        <v>412.5</v>
      </c>
      <c r="AK23" s="56">
        <v>62.5</v>
      </c>
      <c r="AL23" s="56">
        <v>3</v>
      </c>
      <c r="AM23" s="56">
        <v>2.5</v>
      </c>
      <c r="AN23" s="56">
        <v>0.025</v>
      </c>
      <c r="AO23" s="118"/>
    </row>
    <row r="24" spans="1:41" s="49" customFormat="1" ht="15.75" customHeight="1">
      <c r="A24" s="211" t="s">
        <v>110</v>
      </c>
      <c r="B24" s="2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8"/>
      <c r="T24" s="122"/>
      <c r="U24" s="122"/>
      <c r="V24" s="122"/>
      <c r="W24" s="122"/>
      <c r="X24" s="122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118"/>
    </row>
    <row r="25" spans="1:41" s="49" customFormat="1" ht="15.75" customHeight="1">
      <c r="A25" s="93"/>
      <c r="B25" s="3" t="s">
        <v>123</v>
      </c>
      <c r="C25" s="3">
        <f>'Сырьё лето'!C27</f>
        <v>100</v>
      </c>
      <c r="D25" s="1">
        <f>Z25*'Сырьё лето'!$AK$27</f>
        <v>1.3133750000000002</v>
      </c>
      <c r="E25" s="1">
        <f>AA25*'Сырьё лето'!$AK$27</f>
        <v>0.2394</v>
      </c>
      <c r="F25" s="1">
        <f>AB25*'Сырьё лето'!$AK$27</f>
        <v>4.5486</v>
      </c>
      <c r="G25" s="1">
        <f>AC25*'Сырьё лето'!$AK$27</f>
        <v>25.602500000000003</v>
      </c>
      <c r="H25" s="1">
        <f>AD25*'Сырьё лето'!$AK$27</f>
        <v>0.07980000000000001</v>
      </c>
      <c r="I25" s="1">
        <f>AE25*'Сырьё лето'!$AK$27</f>
        <v>0.039900000000000005</v>
      </c>
      <c r="J25" s="1">
        <v>3.88</v>
      </c>
      <c r="K25" s="1">
        <f>AG25*'Сырьё лето'!$AK$27</f>
        <v>0</v>
      </c>
      <c r="L25" s="1">
        <f>AH25*'Сырьё лето'!$AK$27</f>
        <v>0.83125</v>
      </c>
      <c r="M25" s="1">
        <f>AI25*'Сырьё лето'!$AK$27</f>
        <v>16.758000000000003</v>
      </c>
      <c r="N25" s="1">
        <f>AJ25*'Сырьё лето'!$AK$27</f>
        <v>31.122</v>
      </c>
      <c r="O25" s="1">
        <v>13.94</v>
      </c>
      <c r="P25" s="1">
        <f>AL25*'Сырьё лето'!$AK$27</f>
        <v>1.0773000000000001</v>
      </c>
      <c r="Q25" s="1">
        <f>AM25*'Сырьё лето'!$AK$27</f>
        <v>0.17</v>
      </c>
      <c r="R25" s="1">
        <f>AN25*'Сырьё лето'!$AK$27</f>
        <v>0</v>
      </c>
      <c r="S25" s="118"/>
      <c r="T25" s="149"/>
      <c r="U25" s="149"/>
      <c r="V25" s="149"/>
      <c r="W25" s="149"/>
      <c r="X25" s="48" t="s">
        <v>123</v>
      </c>
      <c r="Y25" s="48">
        <v>80</v>
      </c>
      <c r="Z25" s="49">
        <v>1.0507000000000002</v>
      </c>
      <c r="AA25" s="49">
        <v>0.19152</v>
      </c>
      <c r="AB25" s="49">
        <v>3.6388800000000003</v>
      </c>
      <c r="AC25" s="49">
        <f>AB25*4+AA25*9+Z25*4</f>
        <v>20.482000000000003</v>
      </c>
      <c r="AD25" s="49">
        <v>0.06384000000000001</v>
      </c>
      <c r="AE25" s="49">
        <v>0.031920000000000004</v>
      </c>
      <c r="AF25" s="49">
        <v>16.758</v>
      </c>
      <c r="AG25" s="49">
        <v>0</v>
      </c>
      <c r="AH25" s="49">
        <v>0.665</v>
      </c>
      <c r="AI25" s="49">
        <v>13.406400000000001</v>
      </c>
      <c r="AJ25" s="49">
        <v>24.8976</v>
      </c>
      <c r="AK25" s="49">
        <v>19.152</v>
      </c>
      <c r="AL25" s="49">
        <v>0.86184</v>
      </c>
      <c r="AM25" s="49">
        <v>0.136</v>
      </c>
      <c r="AN25" s="49">
        <v>0</v>
      </c>
      <c r="AO25" s="118"/>
    </row>
    <row r="26" spans="1:41" s="49" customFormat="1" ht="15.75" customHeight="1">
      <c r="A26" s="93">
        <v>296</v>
      </c>
      <c r="B26" s="3" t="s">
        <v>86</v>
      </c>
      <c r="C26" s="3">
        <f>'Сырьё лето'!C28</f>
        <v>100</v>
      </c>
      <c r="D26" s="160">
        <v>8.64</v>
      </c>
      <c r="E26" s="160">
        <f>AA26*'Сырьё лето'!$AK$28</f>
        <v>16.811200000000003</v>
      </c>
      <c r="F26" s="160">
        <f>AB26*'Сырьё лето'!$AK$28</f>
        <v>12.940900000000001</v>
      </c>
      <c r="G26" s="160">
        <v>223.6</v>
      </c>
      <c r="H26" s="160">
        <f>AD26*'Сырьё лето'!$AK$28</f>
        <v>0.09310000000000002</v>
      </c>
      <c r="I26" s="160">
        <f>AE26*'Сырьё лето'!$AK$28</f>
        <v>0.18620000000000003</v>
      </c>
      <c r="J26" s="160">
        <f>AF26*'Сырьё лето'!$AK$28</f>
        <v>0.6783</v>
      </c>
      <c r="K26" s="160">
        <v>0.48</v>
      </c>
      <c r="L26" s="160">
        <f>AH26*'Сырьё лето'!$AK$28</f>
        <v>3.0589999999999997</v>
      </c>
      <c r="M26" s="160">
        <f>AI26*'Сырьё лето'!$AK$28</f>
        <v>104.00600000000001</v>
      </c>
      <c r="N26" s="160">
        <f>AJ26*'Сырьё лето'!$AK$28</f>
        <v>104.4316</v>
      </c>
      <c r="O26" s="160">
        <f>AK26*'Сырьё лето'!$AK$28</f>
        <v>21.492800000000003</v>
      </c>
      <c r="P26" s="160">
        <v>4.53</v>
      </c>
      <c r="Q26" s="160">
        <f>AM26*'Сырьё лето'!$AK$28</f>
        <v>2.66</v>
      </c>
      <c r="R26" s="160">
        <f>AN26*'Сырьё лето'!$AK$28</f>
        <v>0.133</v>
      </c>
      <c r="S26" s="118"/>
      <c r="T26" s="149"/>
      <c r="U26" s="149"/>
      <c r="V26" s="149"/>
      <c r="W26" s="149"/>
      <c r="X26" s="48" t="s">
        <v>86</v>
      </c>
      <c r="Y26" s="48">
        <v>75</v>
      </c>
      <c r="Z26" s="52">
        <v>9.5</v>
      </c>
      <c r="AA26" s="52">
        <v>12.64</v>
      </c>
      <c r="AB26" s="52">
        <v>9.73</v>
      </c>
      <c r="AC26" s="49">
        <f aca="true" t="shared" si="5" ref="AC26:AC31">AB26*4+AA26*9+Z26*4</f>
        <v>190.68</v>
      </c>
      <c r="AD26" s="52">
        <v>0.07</v>
      </c>
      <c r="AE26" s="52">
        <v>0.14</v>
      </c>
      <c r="AF26" s="52">
        <v>0.51</v>
      </c>
      <c r="AG26" s="52">
        <v>0.81</v>
      </c>
      <c r="AH26" s="52">
        <v>2.3</v>
      </c>
      <c r="AI26" s="52">
        <v>78.2</v>
      </c>
      <c r="AJ26" s="52">
        <v>78.52</v>
      </c>
      <c r="AK26" s="52">
        <v>16.16</v>
      </c>
      <c r="AL26" s="52">
        <v>28.97</v>
      </c>
      <c r="AM26" s="49">
        <v>2</v>
      </c>
      <c r="AN26" s="49">
        <v>0.1</v>
      </c>
      <c r="AO26" s="118"/>
    </row>
    <row r="27" spans="1:41" s="49" customFormat="1" ht="15.75" customHeight="1">
      <c r="A27" s="156">
        <v>302</v>
      </c>
      <c r="B27" s="3" t="s">
        <v>124</v>
      </c>
      <c r="C27" s="3">
        <f>'Сырьё лето'!C29</f>
        <v>200</v>
      </c>
      <c r="D27" s="1">
        <v>8.73</v>
      </c>
      <c r="E27" s="1">
        <f>AA27*'Сырьё лето'!$AK$29</f>
        <v>5.543229999999999</v>
      </c>
      <c r="F27" s="1">
        <v>45.57</v>
      </c>
      <c r="G27" s="1">
        <v>249.09</v>
      </c>
      <c r="H27" s="1">
        <f>AD27*'Сырьё лето'!$AK$29</f>
        <v>0.31878</v>
      </c>
      <c r="I27" s="1">
        <f>AE27*'Сырьё лето'!$AK$29</f>
        <v>0.17709999999999998</v>
      </c>
      <c r="J27" s="1">
        <f>AF27*'Сырьё лето'!$AK$29</f>
        <v>0</v>
      </c>
      <c r="K27" s="1">
        <v>0.32</v>
      </c>
      <c r="L27" s="1">
        <f>AH27*'Сырьё лето'!$AK$29</f>
        <v>0.77924</v>
      </c>
      <c r="M27" s="1">
        <f>AI27*'Сырьё лето'!$AK$29</f>
        <v>41.70705</v>
      </c>
      <c r="N27" s="1">
        <f>AJ27*'Сырьё лето'!$AK$29</f>
        <v>328.69759999999997</v>
      </c>
      <c r="O27" s="1">
        <v>49.37</v>
      </c>
      <c r="P27" s="1">
        <f>AL27*'Сырьё лето'!$AK$29</f>
        <v>7.4382</v>
      </c>
      <c r="Q27" s="1">
        <f>AM27*'Сырьё лето'!$AK$29</f>
        <v>1.6940000000000002</v>
      </c>
      <c r="R27" s="1">
        <f>AN27*'Сырьё лето'!$AK$29</f>
        <v>0</v>
      </c>
      <c r="S27" s="118"/>
      <c r="T27" s="149"/>
      <c r="U27" s="149"/>
      <c r="V27" s="149"/>
      <c r="W27" s="149"/>
      <c r="X27" s="48" t="s">
        <v>124</v>
      </c>
      <c r="Y27" s="48">
        <v>130</v>
      </c>
      <c r="Z27" s="49">
        <v>6.97</v>
      </c>
      <c r="AA27" s="49">
        <v>3.5994999999999995</v>
      </c>
      <c r="AB27" s="49">
        <v>33.485</v>
      </c>
      <c r="AC27" s="49">
        <f t="shared" si="5"/>
        <v>194.2155</v>
      </c>
      <c r="AD27" s="49">
        <v>0.207</v>
      </c>
      <c r="AE27" s="49">
        <v>0.11499999999999999</v>
      </c>
      <c r="AF27" s="49">
        <v>0</v>
      </c>
      <c r="AG27" s="49">
        <v>0.4</v>
      </c>
      <c r="AH27" s="49">
        <v>0.506</v>
      </c>
      <c r="AI27" s="49">
        <v>27.0825</v>
      </c>
      <c r="AJ27" s="49">
        <v>213.43999999999997</v>
      </c>
      <c r="AK27" s="49">
        <v>142.48499999999999</v>
      </c>
      <c r="AL27" s="49">
        <v>4.83</v>
      </c>
      <c r="AM27" s="49">
        <v>1.1</v>
      </c>
      <c r="AN27" s="49">
        <v>0</v>
      </c>
      <c r="AO27" s="118"/>
    </row>
    <row r="28" spans="1:41" s="49" customFormat="1" ht="15.75" customHeight="1">
      <c r="A28" s="93" t="s">
        <v>95</v>
      </c>
      <c r="B28" s="3" t="s">
        <v>66</v>
      </c>
      <c r="C28" s="3">
        <f>'Сырьё лето'!C30</f>
        <v>200</v>
      </c>
      <c r="D28" s="1">
        <v>2.9</v>
      </c>
      <c r="E28" s="1">
        <v>2.5</v>
      </c>
      <c r="F28" s="1">
        <v>14.7</v>
      </c>
      <c r="G28" s="1">
        <f>F28*4+E28*9+D28*4</f>
        <v>92.89999999999999</v>
      </c>
      <c r="H28" s="1">
        <v>0.02</v>
      </c>
      <c r="I28" s="1">
        <v>0.13</v>
      </c>
      <c r="J28" s="1">
        <v>0.6</v>
      </c>
      <c r="K28" s="1">
        <v>0.12</v>
      </c>
      <c r="L28" s="1">
        <v>0.1</v>
      </c>
      <c r="M28" s="1">
        <v>120.3</v>
      </c>
      <c r="N28" s="1">
        <v>90</v>
      </c>
      <c r="O28" s="1">
        <v>4</v>
      </c>
      <c r="P28" s="1">
        <v>0.13</v>
      </c>
      <c r="Q28" s="1">
        <v>0.4</v>
      </c>
      <c r="R28" s="1">
        <v>0</v>
      </c>
      <c r="S28" s="118"/>
      <c r="T28" s="149"/>
      <c r="U28" s="149"/>
      <c r="V28" s="149"/>
      <c r="W28" s="149"/>
      <c r="X28" s="48" t="s">
        <v>66</v>
      </c>
      <c r="Y28" s="48">
        <v>200</v>
      </c>
      <c r="Z28" s="49">
        <v>2.9</v>
      </c>
      <c r="AA28" s="49">
        <v>2.5</v>
      </c>
      <c r="AB28" s="49">
        <v>14.7</v>
      </c>
      <c r="AC28" s="49">
        <f t="shared" si="5"/>
        <v>92.89999999999999</v>
      </c>
      <c r="AD28" s="49">
        <v>0.02</v>
      </c>
      <c r="AE28" s="49">
        <v>0.13</v>
      </c>
      <c r="AF28" s="49">
        <v>0.6</v>
      </c>
      <c r="AG28" s="49">
        <v>0.1</v>
      </c>
      <c r="AH28" s="49">
        <v>0.1</v>
      </c>
      <c r="AI28" s="49">
        <v>120.3</v>
      </c>
      <c r="AJ28" s="49">
        <v>90</v>
      </c>
      <c r="AK28" s="49">
        <v>14</v>
      </c>
      <c r="AL28" s="49">
        <v>0.13</v>
      </c>
      <c r="AM28" s="49">
        <v>0.4</v>
      </c>
      <c r="AN28" s="49">
        <v>0</v>
      </c>
      <c r="AO28" s="118"/>
    </row>
    <row r="29" spans="1:41" s="49" customFormat="1" ht="15.75" customHeight="1">
      <c r="A29" s="93"/>
      <c r="B29" s="3" t="s">
        <v>4</v>
      </c>
      <c r="C29" s="3">
        <f>'Сырьё лето'!C31</f>
        <v>30</v>
      </c>
      <c r="D29" s="1">
        <f>Z29*'Сырьё лето'!$AK$31</f>
        <v>2.025</v>
      </c>
      <c r="E29" s="1">
        <f>AA29*'Сырьё лето'!$AK$31</f>
        <v>0.25799999999999995</v>
      </c>
      <c r="F29" s="1">
        <f>AB29*'Сырьё лето'!$AK$31</f>
        <v>15.044999999999998</v>
      </c>
      <c r="G29" s="1">
        <f>AC29*'Сырьё лето'!$AK$31</f>
        <v>70.602</v>
      </c>
      <c r="H29" s="1">
        <f>AD29*'Сырьё лето'!$AK$31</f>
        <v>0.036</v>
      </c>
      <c r="I29" s="1">
        <f>AE29*'Сырьё лето'!$AK$31</f>
        <v>0.0075</v>
      </c>
      <c r="J29" s="1">
        <f>AF29*'Сырьё лето'!$AK$31</f>
        <v>0</v>
      </c>
      <c r="K29" s="1">
        <f>AG29*'Сырьё лето'!$AK$31</f>
        <v>0</v>
      </c>
      <c r="L29" s="1">
        <f>AH29*'Сырьё лето'!$AK$31</f>
        <v>0.33</v>
      </c>
      <c r="M29" s="1">
        <f>AI29*'Сырьё лето'!$AK$31</f>
        <v>6</v>
      </c>
      <c r="N29" s="1">
        <f>AJ29*'Сырьё лето'!$AK$31</f>
        <v>19.5</v>
      </c>
      <c r="O29" s="1">
        <f>AK29*'Сырьё лето'!$AK$31</f>
        <v>4.2</v>
      </c>
      <c r="P29" s="1">
        <f>AL29*'Сырьё лето'!$AK$31</f>
        <v>0.33</v>
      </c>
      <c r="Q29" s="1">
        <f>AM29*'Сырьё лето'!$AK$31</f>
        <v>0.22799999999999998</v>
      </c>
      <c r="R29" s="1">
        <f>AN29*'Сырьё лето'!$AK$31</f>
        <v>0</v>
      </c>
      <c r="S29" s="118"/>
      <c r="T29" s="149"/>
      <c r="U29" s="149"/>
      <c r="V29" s="149"/>
      <c r="W29" s="149"/>
      <c r="X29" s="48" t="s">
        <v>4</v>
      </c>
      <c r="Y29" s="48">
        <v>25</v>
      </c>
      <c r="Z29" s="49">
        <v>1.6875</v>
      </c>
      <c r="AA29" s="49">
        <v>0.21499999999999997</v>
      </c>
      <c r="AB29" s="49">
        <v>12.5375</v>
      </c>
      <c r="AC29" s="49">
        <f t="shared" si="5"/>
        <v>58.835</v>
      </c>
      <c r="AD29" s="49">
        <v>0.03</v>
      </c>
      <c r="AE29" s="49">
        <v>0.00625</v>
      </c>
      <c r="AF29" s="49">
        <v>0</v>
      </c>
      <c r="AG29" s="49">
        <v>0</v>
      </c>
      <c r="AH29" s="49">
        <v>0.275</v>
      </c>
      <c r="AI29" s="49">
        <v>5</v>
      </c>
      <c r="AJ29" s="49">
        <v>16.25</v>
      </c>
      <c r="AK29" s="49">
        <v>3.5</v>
      </c>
      <c r="AL29" s="49">
        <v>0.275</v>
      </c>
      <c r="AM29" s="49">
        <v>0.19</v>
      </c>
      <c r="AN29" s="49">
        <v>0</v>
      </c>
      <c r="AO29" s="118"/>
    </row>
    <row r="30" spans="1:41" s="49" customFormat="1" ht="15.75" customHeight="1">
      <c r="A30" s="93"/>
      <c r="B30" s="3" t="s">
        <v>127</v>
      </c>
      <c r="C30" s="3">
        <f>'Сырьё лето'!C32</f>
        <v>30</v>
      </c>
      <c r="D30" s="1">
        <f>Z30*'Сырьё лето'!$AK$32</f>
        <v>1.995</v>
      </c>
      <c r="E30" s="1">
        <f>AA30*'Сырьё лето'!$AK$32</f>
        <v>0.36</v>
      </c>
      <c r="F30" s="1">
        <f>AB30*'Сырьё лето'!$AK$32</f>
        <v>12.554999999999998</v>
      </c>
      <c r="G30" s="1">
        <f>AC30*'Сырьё лето'!$AK$32</f>
        <v>61.43999999999999</v>
      </c>
      <c r="H30" s="1">
        <f>AD30*'Сырьё лето'!$AK$32</f>
        <v>0.15749999999999997</v>
      </c>
      <c r="I30" s="1">
        <f>AE30*'Сырьё лето'!$AK$32</f>
        <v>0.10499999999999997</v>
      </c>
      <c r="J30" s="1">
        <f>AF30*'Сырьё лето'!$AK$32</f>
        <v>0.20999999999999994</v>
      </c>
      <c r="K30" s="1">
        <f>AG30*'Сырьё лето'!$AK$32</f>
        <v>0</v>
      </c>
      <c r="L30" s="1">
        <f>AH30*'Сырьё лето'!$AK$32</f>
        <v>0.15749999999999997</v>
      </c>
      <c r="M30" s="1">
        <f>AI30*'Сырьё лето'!$AK$32</f>
        <v>38.324999999999996</v>
      </c>
      <c r="N30" s="1">
        <f>AJ30*'Сырьё лето'!$AK$32</f>
        <v>65.625</v>
      </c>
      <c r="O30" s="1">
        <v>11</v>
      </c>
      <c r="P30" s="1">
        <v>1.07</v>
      </c>
      <c r="Q30" s="1">
        <f>AM30*'Сырьё лето'!$AK$32</f>
        <v>0.36</v>
      </c>
      <c r="R30" s="1">
        <f>AN30*'Сырьё лето'!$AK$32</f>
        <v>0.012</v>
      </c>
      <c r="S30" s="118"/>
      <c r="T30" s="149"/>
      <c r="U30" s="149"/>
      <c r="V30" s="149"/>
      <c r="W30" s="149"/>
      <c r="X30" s="48" t="s">
        <v>127</v>
      </c>
      <c r="Y30" s="48">
        <v>25</v>
      </c>
      <c r="Z30" s="49">
        <v>1.6625</v>
      </c>
      <c r="AA30" s="49">
        <v>0.3</v>
      </c>
      <c r="AB30" s="49">
        <v>10.462499999999999</v>
      </c>
      <c r="AC30" s="49">
        <f t="shared" si="5"/>
        <v>51.199999999999996</v>
      </c>
      <c r="AD30" s="49">
        <v>0.13124999999999998</v>
      </c>
      <c r="AE30" s="49">
        <v>0.08749999999999998</v>
      </c>
      <c r="AF30" s="49">
        <v>0.17499999999999996</v>
      </c>
      <c r="AG30" s="49">
        <v>0</v>
      </c>
      <c r="AH30" s="49">
        <v>0.13124999999999998</v>
      </c>
      <c r="AI30" s="49">
        <v>31.937499999999996</v>
      </c>
      <c r="AJ30" s="49">
        <v>54.6875</v>
      </c>
      <c r="AK30" s="49">
        <v>17.5</v>
      </c>
      <c r="AL30" s="49">
        <v>1.2249999999999999</v>
      </c>
      <c r="AM30" s="49">
        <v>0.3</v>
      </c>
      <c r="AN30" s="49">
        <v>0.01</v>
      </c>
      <c r="AO30" s="118"/>
    </row>
    <row r="31" spans="1:41" ht="15.75" customHeight="1">
      <c r="A31" s="93"/>
      <c r="B31" s="3" t="s">
        <v>125</v>
      </c>
      <c r="C31" s="3">
        <f>'Сырьё лето'!C33</f>
        <v>150</v>
      </c>
      <c r="D31" s="1">
        <v>0.7530120481927711</v>
      </c>
      <c r="E31" s="1">
        <v>0</v>
      </c>
      <c r="F31" s="1">
        <v>15.210843373493976</v>
      </c>
      <c r="G31" s="1">
        <f>F31*4+E31*9+D31*4</f>
        <v>63.855421686746986</v>
      </c>
      <c r="H31" s="1">
        <v>0.015060240963855423</v>
      </c>
      <c r="I31" s="1">
        <v>0.015060240963855423</v>
      </c>
      <c r="J31" s="1">
        <v>3.0120481927710845</v>
      </c>
      <c r="K31" s="1">
        <v>0</v>
      </c>
      <c r="L31" s="1">
        <v>0.15060240963855423</v>
      </c>
      <c r="M31" s="1">
        <v>10.542168674698795</v>
      </c>
      <c r="N31" s="1">
        <v>10.542168674698795</v>
      </c>
      <c r="O31" s="1">
        <v>6.024096385542169</v>
      </c>
      <c r="P31" s="1">
        <v>1.08</v>
      </c>
      <c r="Q31" s="1">
        <v>0.03</v>
      </c>
      <c r="R31" s="1">
        <v>0</v>
      </c>
      <c r="S31" s="118"/>
      <c r="X31" s="48" t="s">
        <v>125</v>
      </c>
      <c r="Y31" s="48">
        <v>150</v>
      </c>
      <c r="Z31" s="49">
        <v>0.7530120481927711</v>
      </c>
      <c r="AA31" s="49">
        <v>0</v>
      </c>
      <c r="AB31" s="49">
        <v>15.210843373493976</v>
      </c>
      <c r="AC31" s="44">
        <f t="shared" si="5"/>
        <v>63.855421686746986</v>
      </c>
      <c r="AD31" s="49">
        <v>0.015060240963855423</v>
      </c>
      <c r="AE31" s="49">
        <v>0.015060240963855423</v>
      </c>
      <c r="AF31" s="49">
        <v>3.0120481927710845</v>
      </c>
      <c r="AG31" s="49">
        <v>0</v>
      </c>
      <c r="AH31" s="49">
        <v>0.15060240963855423</v>
      </c>
      <c r="AI31" s="49">
        <v>10.542168674698795</v>
      </c>
      <c r="AJ31" s="49">
        <v>10.542168674698795</v>
      </c>
      <c r="AK31" s="49">
        <v>6.024096385542169</v>
      </c>
      <c r="AL31" s="49">
        <v>2.108433734939759</v>
      </c>
      <c r="AM31" s="49">
        <v>0.03</v>
      </c>
      <c r="AN31" s="49">
        <v>0</v>
      </c>
      <c r="AO31" s="118"/>
    </row>
    <row r="32" spans="1:41" s="49" customFormat="1" ht="15.75" customHeight="1">
      <c r="A32" s="9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18"/>
      <c r="T32" s="122"/>
      <c r="U32" s="122"/>
      <c r="V32" s="122"/>
      <c r="W32" s="122"/>
      <c r="AO32" s="118"/>
    </row>
    <row r="33" spans="1:41" s="49" customFormat="1" ht="15.75" customHeight="1">
      <c r="A33" s="161"/>
      <c r="B33" s="162" t="s">
        <v>21</v>
      </c>
      <c r="C33" s="163">
        <f>SUM(C25:C31)</f>
        <v>810</v>
      </c>
      <c r="D33" s="163">
        <f>SUM(D25:D31)</f>
        <v>26.356387048192772</v>
      </c>
      <c r="E33" s="163">
        <f aca="true" t="shared" si="6" ref="E33:R33">SUM(E25:E31)</f>
        <v>25.711830000000003</v>
      </c>
      <c r="F33" s="163">
        <f t="shared" si="6"/>
        <v>120.57034337349397</v>
      </c>
      <c r="G33" s="163">
        <f t="shared" si="6"/>
        <v>787.089921686747</v>
      </c>
      <c r="H33" s="163">
        <f t="shared" si="6"/>
        <v>0.7202402409638554</v>
      </c>
      <c r="I33" s="163">
        <f t="shared" si="6"/>
        <v>0.6607602409638553</v>
      </c>
      <c r="J33" s="163">
        <f t="shared" si="6"/>
        <v>8.380348192771084</v>
      </c>
      <c r="K33" s="163">
        <f t="shared" si="6"/>
        <v>0.92</v>
      </c>
      <c r="L33" s="163">
        <f t="shared" si="6"/>
        <v>5.4075924096385535</v>
      </c>
      <c r="M33" s="163">
        <f t="shared" si="6"/>
        <v>337.6382186746988</v>
      </c>
      <c r="N33" s="163">
        <f t="shared" si="6"/>
        <v>649.9183686746987</v>
      </c>
      <c r="O33" s="163">
        <f t="shared" si="6"/>
        <v>110.02689638554216</v>
      </c>
      <c r="P33" s="163">
        <f t="shared" si="6"/>
        <v>15.655500000000002</v>
      </c>
      <c r="Q33" s="163">
        <f t="shared" si="6"/>
        <v>5.542000000000001</v>
      </c>
      <c r="R33" s="163">
        <f t="shared" si="6"/>
        <v>0.14500000000000002</v>
      </c>
      <c r="S33" s="118"/>
      <c r="T33" s="122"/>
      <c r="U33" s="122"/>
      <c r="V33" s="122"/>
      <c r="W33" s="122"/>
      <c r="X33" s="53" t="s">
        <v>21</v>
      </c>
      <c r="Y33" s="54">
        <f>SUM(Y25:Y31)</f>
        <v>685</v>
      </c>
      <c r="Z33" s="54">
        <f>SUM(Z25:Z31)</f>
        <v>24.523712048192774</v>
      </c>
      <c r="AA33" s="54">
        <f aca="true" t="shared" si="7" ref="AA33:AN33">SUM(AA25:AA31)</f>
        <v>19.44602</v>
      </c>
      <c r="AB33" s="54">
        <f t="shared" si="7"/>
        <v>99.76472337349396</v>
      </c>
      <c r="AC33" s="54">
        <f t="shared" si="7"/>
        <v>672.167921686747</v>
      </c>
      <c r="AD33" s="54">
        <f t="shared" si="7"/>
        <v>0.5371502409638554</v>
      </c>
      <c r="AE33" s="54">
        <f t="shared" si="7"/>
        <v>0.5257302409638553</v>
      </c>
      <c r="AF33" s="54">
        <f t="shared" si="7"/>
        <v>21.05504819277109</v>
      </c>
      <c r="AG33" s="54">
        <f t="shared" si="7"/>
        <v>1.31</v>
      </c>
      <c r="AH33" s="54">
        <f t="shared" si="7"/>
        <v>4.127852409638554</v>
      </c>
      <c r="AI33" s="54">
        <f t="shared" si="7"/>
        <v>286.4685686746988</v>
      </c>
      <c r="AJ33" s="54">
        <f t="shared" si="7"/>
        <v>488.33726867469875</v>
      </c>
      <c r="AK33" s="54">
        <f t="shared" si="7"/>
        <v>218.82109638554215</v>
      </c>
      <c r="AL33" s="54">
        <f t="shared" si="7"/>
        <v>38.40027373493976</v>
      </c>
      <c r="AM33" s="54">
        <f t="shared" si="7"/>
        <v>4.156000000000001</v>
      </c>
      <c r="AN33" s="54">
        <f t="shared" si="7"/>
        <v>0.11</v>
      </c>
      <c r="AO33" s="118"/>
    </row>
    <row r="34" spans="1:41" s="49" customFormat="1" ht="15.75" customHeight="1">
      <c r="A34" s="155"/>
      <c r="B34" s="174" t="s">
        <v>98</v>
      </c>
      <c r="C34" s="174"/>
      <c r="D34" s="1">
        <v>22.5</v>
      </c>
      <c r="E34" s="1">
        <v>23</v>
      </c>
      <c r="F34" s="1">
        <v>95.75</v>
      </c>
      <c r="G34" s="1">
        <v>678.25</v>
      </c>
      <c r="H34" s="1">
        <v>0.35</v>
      </c>
      <c r="I34" s="1">
        <v>0.4</v>
      </c>
      <c r="J34" s="1">
        <v>17.5</v>
      </c>
      <c r="K34" s="1">
        <v>0.23</v>
      </c>
      <c r="L34" s="1">
        <v>3</v>
      </c>
      <c r="M34" s="1">
        <v>300</v>
      </c>
      <c r="N34" s="1">
        <v>450</v>
      </c>
      <c r="O34" s="1">
        <v>75</v>
      </c>
      <c r="P34" s="1">
        <v>4.25</v>
      </c>
      <c r="Q34" s="1">
        <v>3.5</v>
      </c>
      <c r="R34" s="1">
        <v>0.025</v>
      </c>
      <c r="S34" s="118"/>
      <c r="T34" s="122"/>
      <c r="U34" s="122"/>
      <c r="V34" s="122"/>
      <c r="W34" s="122"/>
      <c r="X34" s="55" t="s">
        <v>98</v>
      </c>
      <c r="Y34" s="55"/>
      <c r="Z34" s="56">
        <v>19.25</v>
      </c>
      <c r="AA34" s="56">
        <v>19.75</v>
      </c>
      <c r="AB34" s="56">
        <v>83.75</v>
      </c>
      <c r="AC34" s="56">
        <v>587.5</v>
      </c>
      <c r="AD34" s="56">
        <v>0.3</v>
      </c>
      <c r="AE34" s="56">
        <v>0.35</v>
      </c>
      <c r="AF34" s="56">
        <v>15</v>
      </c>
      <c r="AG34" s="56">
        <v>0.175</v>
      </c>
      <c r="AH34" s="56">
        <v>2.5</v>
      </c>
      <c r="AI34" s="56">
        <v>275</v>
      </c>
      <c r="AJ34" s="56">
        <v>412.5</v>
      </c>
      <c r="AK34" s="56">
        <v>62.5</v>
      </c>
      <c r="AL34" s="56">
        <v>3</v>
      </c>
      <c r="AM34" s="56">
        <v>2.5</v>
      </c>
      <c r="AN34" s="56">
        <v>0.025</v>
      </c>
      <c r="AO34" s="118"/>
    </row>
    <row r="35" spans="1:41" s="60" customFormat="1" ht="15.75" customHeight="1">
      <c r="A35" s="211" t="s">
        <v>111</v>
      </c>
      <c r="B35" s="21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20"/>
      <c r="T35" s="123"/>
      <c r="U35" s="123"/>
      <c r="V35" s="123"/>
      <c r="W35" s="123"/>
      <c r="X35" s="123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120"/>
    </row>
    <row r="36" spans="1:41" s="49" customFormat="1" ht="15.75" customHeight="1">
      <c r="A36" s="93"/>
      <c r="B36" s="3" t="s">
        <v>126</v>
      </c>
      <c r="C36" s="3">
        <f>'Сырьё лето'!C38</f>
        <v>100</v>
      </c>
      <c r="D36" s="1">
        <f>Z36*'Сырьё лето'!$AK$38</f>
        <v>1.3133750000000002</v>
      </c>
      <c r="E36" s="1">
        <f>AA36*'Сырьё лето'!$AK$38</f>
        <v>0.2394</v>
      </c>
      <c r="F36" s="1">
        <f>AB36*'Сырьё лето'!$AK$38</f>
        <v>4.5486</v>
      </c>
      <c r="G36" s="1">
        <f>F36*4+E36*9+D36*4</f>
        <v>25.6025</v>
      </c>
      <c r="H36" s="1">
        <f>AD36*'Сырьё лето'!$AK$38</f>
        <v>0.07980000000000001</v>
      </c>
      <c r="I36" s="1">
        <f>AE36*'Сырьё лето'!$AK$38</f>
        <v>0.039900000000000005</v>
      </c>
      <c r="J36" s="1">
        <v>5.88</v>
      </c>
      <c r="K36" s="1">
        <f>AG36*'Сырьё лето'!$AK$38</f>
        <v>0</v>
      </c>
      <c r="L36" s="1">
        <f>AH36*'Сырьё лето'!$AK$38</f>
        <v>0.83125</v>
      </c>
      <c r="M36" s="1">
        <f>AI36*'Сырьё лето'!$AK$38</f>
        <v>16.758000000000003</v>
      </c>
      <c r="N36" s="1">
        <f>AJ36*'Сырьё лето'!$AK$38</f>
        <v>31.122</v>
      </c>
      <c r="O36" s="1">
        <v>15.94</v>
      </c>
      <c r="P36" s="1">
        <f>AL36*'Сырьё лето'!$AK$38</f>
        <v>1.0773000000000001</v>
      </c>
      <c r="Q36" s="1">
        <f>AM36*'Сырьё лето'!$AK$38</f>
        <v>0.17</v>
      </c>
      <c r="R36" s="1">
        <f>AN36*'Сырьё лето'!$AK$38</f>
        <v>0</v>
      </c>
      <c r="S36" s="118"/>
      <c r="T36" s="149"/>
      <c r="U36" s="149"/>
      <c r="V36" s="149"/>
      <c r="W36" s="149"/>
      <c r="X36" s="48" t="s">
        <v>126</v>
      </c>
      <c r="Y36" s="48">
        <v>80</v>
      </c>
      <c r="Z36" s="49">
        <v>1.0507000000000002</v>
      </c>
      <c r="AA36" s="49">
        <v>0.19152</v>
      </c>
      <c r="AB36" s="49">
        <v>3.6388800000000003</v>
      </c>
      <c r="AC36" s="49">
        <f aca="true" t="shared" si="8" ref="AC36:AC41">AB36*4+AA36*9+Z36*4</f>
        <v>20.482000000000003</v>
      </c>
      <c r="AD36" s="49">
        <v>0.06384000000000001</v>
      </c>
      <c r="AE36" s="49">
        <v>0.031920000000000004</v>
      </c>
      <c r="AF36" s="49">
        <v>16.758</v>
      </c>
      <c r="AG36" s="49">
        <v>0</v>
      </c>
      <c r="AH36" s="49">
        <v>0.665</v>
      </c>
      <c r="AI36" s="49">
        <v>13.406400000000001</v>
      </c>
      <c r="AJ36" s="49">
        <v>24.8976</v>
      </c>
      <c r="AK36" s="49">
        <v>19.152</v>
      </c>
      <c r="AL36" s="49">
        <v>0.86184</v>
      </c>
      <c r="AM36" s="49">
        <v>0.136</v>
      </c>
      <c r="AN36" s="49">
        <v>0</v>
      </c>
      <c r="AO36" s="118"/>
    </row>
    <row r="37" spans="1:41" s="49" customFormat="1" ht="15.75" customHeight="1">
      <c r="A37" s="93" t="s">
        <v>105</v>
      </c>
      <c r="B37" s="3" t="s">
        <v>104</v>
      </c>
      <c r="C37" s="3">
        <f>'Сырьё лето'!C39</f>
        <v>160</v>
      </c>
      <c r="D37" s="1">
        <v>10.21</v>
      </c>
      <c r="E37" s="1">
        <f>AA37*'Сырьё лето'!$AK$39</f>
        <v>12.600500000000002</v>
      </c>
      <c r="F37" s="1">
        <f>AB37*'Сырьё лето'!$AK$39</f>
        <v>15.514999999999999</v>
      </c>
      <c r="G37" s="1">
        <v>186.3</v>
      </c>
      <c r="H37" s="1">
        <f>AD37*'Сырьё лето'!$AK$39</f>
        <v>0.0812</v>
      </c>
      <c r="I37" s="1">
        <f>AE37*'Сырьё лето'!$AK$39</f>
        <v>0.11599999999999999</v>
      </c>
      <c r="J37" s="1">
        <f>AF37*'Сырьё лето'!$AK$39</f>
        <v>4.1035</v>
      </c>
      <c r="K37" s="1">
        <v>0.19</v>
      </c>
      <c r="L37" s="1">
        <f>AH37*'Сырьё лето'!$AK$39</f>
        <v>0</v>
      </c>
      <c r="M37" s="1">
        <f>AI37*'Сырьё лето'!$AK$39</f>
        <v>100.224</v>
      </c>
      <c r="N37" s="1">
        <f>AJ37*'Сырьё лето'!$AK$39</f>
        <v>131.631</v>
      </c>
      <c r="O37" s="1">
        <v>18.94</v>
      </c>
      <c r="P37" s="1">
        <f>AL37*'Сырьё лето'!$AK$39</f>
        <v>0.7424</v>
      </c>
      <c r="Q37" s="1">
        <f>AM37*'Сырьё лето'!$AK$39</f>
        <v>0.9859999999999999</v>
      </c>
      <c r="R37" s="1">
        <f>AN37*'Сырьё лето'!$AK$39</f>
        <v>0.145</v>
      </c>
      <c r="S37" s="118"/>
      <c r="T37" s="149"/>
      <c r="U37" s="149"/>
      <c r="V37" s="149"/>
      <c r="W37" s="149"/>
      <c r="X37" s="48" t="s">
        <v>104</v>
      </c>
      <c r="Y37" s="48">
        <v>110</v>
      </c>
      <c r="Z37" s="49">
        <f>6.4+1.33</f>
        <v>7.73</v>
      </c>
      <c r="AA37" s="49">
        <f>4.08+4.61</f>
        <v>8.690000000000001</v>
      </c>
      <c r="AB37" s="49">
        <f>5.8+4.9</f>
        <v>10.7</v>
      </c>
      <c r="AC37" s="49">
        <f t="shared" si="8"/>
        <v>151.93</v>
      </c>
      <c r="AD37" s="49">
        <v>0.056</v>
      </c>
      <c r="AE37" s="49">
        <v>0.08</v>
      </c>
      <c r="AF37" s="49">
        <f>2.67+0.16</f>
        <v>2.83</v>
      </c>
      <c r="AG37" s="49">
        <v>0.41</v>
      </c>
      <c r="AH37" s="49">
        <v>0</v>
      </c>
      <c r="AI37" s="49">
        <f>35.72+33.4</f>
        <v>69.12</v>
      </c>
      <c r="AJ37" s="49">
        <f>61.69+29.09</f>
        <v>90.78</v>
      </c>
      <c r="AK37" s="49">
        <f>14.12+5.84</f>
        <v>19.96</v>
      </c>
      <c r="AL37" s="49">
        <f>0.372+0.14</f>
        <v>0.512</v>
      </c>
      <c r="AM37" s="49">
        <f>0.48+0.2</f>
        <v>0.6799999999999999</v>
      </c>
      <c r="AN37" s="49">
        <v>0.1</v>
      </c>
      <c r="AO37" s="118"/>
    </row>
    <row r="38" spans="1:41" s="49" customFormat="1" ht="15.75" customHeight="1">
      <c r="A38" s="93">
        <v>312</v>
      </c>
      <c r="B38" s="3" t="s">
        <v>75</v>
      </c>
      <c r="C38" s="3">
        <f>'Сырьё лето'!C40</f>
        <v>180</v>
      </c>
      <c r="D38" s="1">
        <f>Z38*'Сырьё лето'!$AK$40</f>
        <v>4.14936</v>
      </c>
      <c r="E38" s="1">
        <f>AA38*'Сырьё лето'!$AK$40</f>
        <v>6.508799999999999</v>
      </c>
      <c r="F38" s="1">
        <f>AB38*'Сырьё лето'!$AK$40</f>
        <v>27.662399999999995</v>
      </c>
      <c r="G38" s="1">
        <f>F38*4+E38*9+D38*4</f>
        <v>185.82623999999998</v>
      </c>
      <c r="H38" s="1">
        <f>AD38*'Сырьё лето'!$AK$40</f>
        <v>0.18984</v>
      </c>
      <c r="I38" s="1">
        <f>AE38*'Сырьё лето'!$AK$40</f>
        <v>0.14916</v>
      </c>
      <c r="J38" s="1">
        <f>AF38*'Сырьё лето'!$AK$40</f>
        <v>24.543599999999998</v>
      </c>
      <c r="K38" s="1">
        <f>AG38*'Сырьё лето'!$AK$40</f>
        <v>0</v>
      </c>
      <c r="L38" s="1">
        <f>AH38*'Сырьё лето'!$AK$40</f>
        <v>0.24407999999999996</v>
      </c>
      <c r="M38" s="1">
        <f>AI38*'Сырьё лето'!$AK$40</f>
        <v>50.03639999999999</v>
      </c>
      <c r="N38" s="1">
        <f>AJ38*'Сырьё лето'!$AK$40</f>
        <v>117.29399999999998</v>
      </c>
      <c r="O38" s="1">
        <v>17.63</v>
      </c>
      <c r="P38" s="1">
        <f>AL38*'Сырьё лето'!$AK$40</f>
        <v>1.3695599999999999</v>
      </c>
      <c r="Q38" s="1">
        <f>AM38*'Сырьё лето'!$AK$40</f>
        <v>0.768</v>
      </c>
      <c r="R38" s="1">
        <f>AN38*'Сырьё лето'!$AK$40</f>
        <v>0.0012</v>
      </c>
      <c r="S38" s="118"/>
      <c r="T38" s="149"/>
      <c r="U38" s="149"/>
      <c r="V38" s="149"/>
      <c r="W38" s="149"/>
      <c r="X38" s="48" t="s">
        <v>75</v>
      </c>
      <c r="Y38" s="48">
        <v>150</v>
      </c>
      <c r="Z38" s="49">
        <v>3.4577999999999998</v>
      </c>
      <c r="AA38" s="49">
        <v>5.4239999999999995</v>
      </c>
      <c r="AB38" s="49">
        <v>23.051999999999996</v>
      </c>
      <c r="AC38" s="49">
        <f t="shared" si="8"/>
        <v>154.85519999999997</v>
      </c>
      <c r="AD38" s="49">
        <v>0.1582</v>
      </c>
      <c r="AE38" s="49">
        <v>0.1243</v>
      </c>
      <c r="AF38" s="49">
        <v>20.453</v>
      </c>
      <c r="AG38" s="49">
        <v>0</v>
      </c>
      <c r="AH38" s="49">
        <v>0.20339999999999997</v>
      </c>
      <c r="AI38" s="49">
        <v>41.696999999999996</v>
      </c>
      <c r="AJ38" s="49">
        <v>97.74499999999999</v>
      </c>
      <c r="AK38" s="49">
        <v>31.357499999999998</v>
      </c>
      <c r="AL38" s="49">
        <v>1.1413</v>
      </c>
      <c r="AM38" s="49">
        <v>0.64</v>
      </c>
      <c r="AN38" s="49">
        <v>0.001</v>
      </c>
      <c r="AO38" s="118"/>
    </row>
    <row r="39" spans="1:41" s="49" customFormat="1" ht="15.75" customHeight="1">
      <c r="A39" s="93">
        <v>377</v>
      </c>
      <c r="B39" s="3" t="s">
        <v>38</v>
      </c>
      <c r="C39" s="3">
        <f>'Сырьё лето'!C41</f>
        <v>200</v>
      </c>
      <c r="D39" s="160">
        <v>0.13</v>
      </c>
      <c r="E39" s="160">
        <v>0.018000000000000002</v>
      </c>
      <c r="F39" s="160">
        <f>15.2-4.95</f>
        <v>10.25</v>
      </c>
      <c r="G39" s="1">
        <f>F39*4+E39*9+D39*4</f>
        <v>41.682</v>
      </c>
      <c r="H39" s="160">
        <v>0</v>
      </c>
      <c r="I39" s="160">
        <v>0</v>
      </c>
      <c r="J39" s="160">
        <v>2.83</v>
      </c>
      <c r="K39" s="160">
        <v>0</v>
      </c>
      <c r="L39" s="160">
        <v>0.05</v>
      </c>
      <c r="M39" s="160">
        <v>14.05</v>
      </c>
      <c r="N39" s="160">
        <v>4.4</v>
      </c>
      <c r="O39" s="160">
        <v>2.4</v>
      </c>
      <c r="P39" s="160">
        <v>0.38</v>
      </c>
      <c r="Q39" s="160">
        <v>0.02</v>
      </c>
      <c r="R39" s="1">
        <v>0</v>
      </c>
      <c r="S39" s="118"/>
      <c r="T39" s="149"/>
      <c r="U39" s="149"/>
      <c r="V39" s="149"/>
      <c r="W39" s="149"/>
      <c r="X39" s="48" t="s">
        <v>38</v>
      </c>
      <c r="Y39" s="48">
        <v>200</v>
      </c>
      <c r="Z39" s="52">
        <v>0.13</v>
      </c>
      <c r="AA39" s="52">
        <v>0.018000000000000002</v>
      </c>
      <c r="AB39" s="52">
        <f>15.2-4.95</f>
        <v>10.25</v>
      </c>
      <c r="AC39" s="49">
        <f t="shared" si="8"/>
        <v>41.682</v>
      </c>
      <c r="AD39" s="52">
        <v>0</v>
      </c>
      <c r="AE39" s="52">
        <v>0</v>
      </c>
      <c r="AF39" s="52">
        <v>2.83</v>
      </c>
      <c r="AG39" s="52">
        <v>0</v>
      </c>
      <c r="AH39" s="52">
        <v>0.05</v>
      </c>
      <c r="AI39" s="52">
        <v>14.05</v>
      </c>
      <c r="AJ39" s="52">
        <v>4.4</v>
      </c>
      <c r="AK39" s="52">
        <v>2.4</v>
      </c>
      <c r="AL39" s="52">
        <v>0.38</v>
      </c>
      <c r="AM39" s="52">
        <v>0.02</v>
      </c>
      <c r="AN39" s="49">
        <v>0</v>
      </c>
      <c r="AO39" s="118"/>
    </row>
    <row r="40" spans="1:41" s="49" customFormat="1" ht="15.75" customHeight="1">
      <c r="A40" s="93"/>
      <c r="B40" s="3" t="s">
        <v>127</v>
      </c>
      <c r="C40" s="3">
        <f>'Сырьё лето'!C42</f>
        <v>50</v>
      </c>
      <c r="D40" s="1">
        <f>Z40*'Сырьё лето'!$AK$42</f>
        <v>3.325</v>
      </c>
      <c r="E40" s="1">
        <f>AA40*'Сырьё лето'!$AK$42</f>
        <v>0.6</v>
      </c>
      <c r="F40" s="1">
        <f>AB40*'Сырьё лето'!$AK$42</f>
        <v>20.924999999999997</v>
      </c>
      <c r="G40" s="1">
        <f>F40*4+E40*9+D40*4</f>
        <v>102.39999999999999</v>
      </c>
      <c r="H40" s="1">
        <f>AD40*'Сырьё лето'!$AK$42</f>
        <v>0.26249999999999996</v>
      </c>
      <c r="I40" s="1">
        <f>AE40*'Сырьё лето'!$AK$42</f>
        <v>0.17499999999999996</v>
      </c>
      <c r="J40" s="1">
        <f>AF40*'Сырьё лето'!$AK$42</f>
        <v>0.3499999999999999</v>
      </c>
      <c r="K40" s="1">
        <f>AG40*'Сырьё лето'!$AK$42</f>
        <v>0</v>
      </c>
      <c r="L40" s="1">
        <f>AH40*'Сырьё лето'!$AK$42</f>
        <v>0.26249999999999996</v>
      </c>
      <c r="M40" s="1">
        <f>AI40*'Сырьё лето'!$AK$42</f>
        <v>63.87499999999999</v>
      </c>
      <c r="N40" s="1">
        <f>AJ40*'Сырьё лето'!$AK$42</f>
        <v>109.375</v>
      </c>
      <c r="O40" s="1">
        <v>21</v>
      </c>
      <c r="P40" s="1">
        <v>1.57</v>
      </c>
      <c r="Q40" s="1">
        <f>AM40*'Сырьё лето'!$AK$42</f>
        <v>0.6</v>
      </c>
      <c r="R40" s="1">
        <f>AN40*'Сырьё лето'!$AK$42</f>
        <v>0.04</v>
      </c>
      <c r="S40" s="118"/>
      <c r="T40" s="149"/>
      <c r="U40" s="149"/>
      <c r="V40" s="149"/>
      <c r="W40" s="149"/>
      <c r="X40" s="48" t="s">
        <v>127</v>
      </c>
      <c r="Y40" s="48">
        <v>25</v>
      </c>
      <c r="Z40" s="49">
        <v>1.6625</v>
      </c>
      <c r="AA40" s="49">
        <v>0.3</v>
      </c>
      <c r="AB40" s="49">
        <v>10.462499999999999</v>
      </c>
      <c r="AC40" s="49">
        <f t="shared" si="8"/>
        <v>51.199999999999996</v>
      </c>
      <c r="AD40" s="49">
        <v>0.13124999999999998</v>
      </c>
      <c r="AE40" s="49">
        <v>0.08749999999999998</v>
      </c>
      <c r="AF40" s="49">
        <v>0.17499999999999996</v>
      </c>
      <c r="AG40" s="49">
        <v>0</v>
      </c>
      <c r="AH40" s="49">
        <v>0.13124999999999998</v>
      </c>
      <c r="AI40" s="49">
        <v>31.937499999999996</v>
      </c>
      <c r="AJ40" s="49">
        <v>54.6875</v>
      </c>
      <c r="AK40" s="49">
        <v>17.5</v>
      </c>
      <c r="AL40" s="49">
        <v>1.2249999999999999</v>
      </c>
      <c r="AM40" s="49">
        <v>0.3</v>
      </c>
      <c r="AN40" s="49">
        <v>0.02</v>
      </c>
      <c r="AO40" s="118"/>
    </row>
    <row r="41" spans="1:41" s="49" customFormat="1" ht="15.75" customHeight="1">
      <c r="A41" s="93" t="s">
        <v>39</v>
      </c>
      <c r="B41" s="3" t="s">
        <v>94</v>
      </c>
      <c r="C41" s="3">
        <f>'Сырьё лето'!C43</f>
        <v>50</v>
      </c>
      <c r="D41" s="1">
        <v>3.1</v>
      </c>
      <c r="E41" s="160">
        <v>4.3</v>
      </c>
      <c r="F41" s="160">
        <v>23.8</v>
      </c>
      <c r="G41" s="1">
        <f>F41*4+E41*9+D41*4</f>
        <v>146.3</v>
      </c>
      <c r="H41" s="160">
        <v>0.055</v>
      </c>
      <c r="I41" s="160">
        <v>0.048</v>
      </c>
      <c r="J41" s="160">
        <v>1.7</v>
      </c>
      <c r="K41" s="160">
        <v>0.32</v>
      </c>
      <c r="L41" s="160">
        <v>0.605</v>
      </c>
      <c r="M41" s="160">
        <v>26.7</v>
      </c>
      <c r="N41" s="160">
        <v>40.4</v>
      </c>
      <c r="O41" s="160">
        <v>7.3</v>
      </c>
      <c r="P41" s="160">
        <v>0.172</v>
      </c>
      <c r="Q41" s="160">
        <v>0.2548</v>
      </c>
      <c r="R41" s="1">
        <v>0</v>
      </c>
      <c r="S41" s="118"/>
      <c r="T41" s="122"/>
      <c r="U41" s="122"/>
      <c r="V41" s="122"/>
      <c r="W41" s="122"/>
      <c r="X41" s="48" t="s">
        <v>94</v>
      </c>
      <c r="Y41" s="48">
        <v>50</v>
      </c>
      <c r="Z41" s="49">
        <v>3.1</v>
      </c>
      <c r="AA41" s="52">
        <v>4.3</v>
      </c>
      <c r="AB41" s="52">
        <v>23.8</v>
      </c>
      <c r="AC41" s="49">
        <f t="shared" si="8"/>
        <v>146.3</v>
      </c>
      <c r="AD41" s="52">
        <v>0.055</v>
      </c>
      <c r="AE41" s="52">
        <v>0.048</v>
      </c>
      <c r="AF41" s="52">
        <v>1.7</v>
      </c>
      <c r="AG41" s="52">
        <v>0.62</v>
      </c>
      <c r="AH41" s="52">
        <v>0.605</v>
      </c>
      <c r="AI41" s="52">
        <v>26.7</v>
      </c>
      <c r="AJ41" s="52">
        <v>40.4</v>
      </c>
      <c r="AK41" s="52">
        <v>7.3</v>
      </c>
      <c r="AL41" s="52">
        <v>0.172</v>
      </c>
      <c r="AM41" s="52">
        <v>0.2548</v>
      </c>
      <c r="AN41" s="49">
        <v>0</v>
      </c>
      <c r="AO41" s="118"/>
    </row>
    <row r="42" spans="1:41" s="49" customFormat="1" ht="15.75" customHeight="1">
      <c r="A42" s="9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18"/>
      <c r="T42" s="122"/>
      <c r="U42" s="122"/>
      <c r="V42" s="122"/>
      <c r="W42" s="122"/>
      <c r="AO42" s="118"/>
    </row>
    <row r="43" spans="1:41" ht="15.75" customHeight="1">
      <c r="A43" s="161"/>
      <c r="B43" s="162" t="s">
        <v>21</v>
      </c>
      <c r="C43" s="163">
        <f aca="true" t="shared" si="9" ref="C43:R43">SUM(C36:C41)</f>
        <v>740</v>
      </c>
      <c r="D43" s="163">
        <f t="shared" si="9"/>
        <v>22.227735000000003</v>
      </c>
      <c r="E43" s="163">
        <f t="shared" si="9"/>
        <v>24.266700000000004</v>
      </c>
      <c r="F43" s="163">
        <f t="shared" si="9"/>
        <v>102.701</v>
      </c>
      <c r="G43" s="163">
        <f t="shared" si="9"/>
        <v>688.1107400000001</v>
      </c>
      <c r="H43" s="163">
        <f t="shared" si="9"/>
        <v>0.66834</v>
      </c>
      <c r="I43" s="163">
        <f t="shared" si="9"/>
        <v>0.52806</v>
      </c>
      <c r="J43" s="163">
        <f t="shared" si="9"/>
        <v>39.4071</v>
      </c>
      <c r="K43" s="163">
        <f t="shared" si="9"/>
        <v>0.51</v>
      </c>
      <c r="L43" s="163">
        <f t="shared" si="9"/>
        <v>1.99283</v>
      </c>
      <c r="M43" s="163">
        <f t="shared" si="9"/>
        <v>271.6434</v>
      </c>
      <c r="N43" s="163">
        <f t="shared" si="9"/>
        <v>434.2219999999999</v>
      </c>
      <c r="O43" s="163">
        <f t="shared" si="9"/>
        <v>83.21</v>
      </c>
      <c r="P43" s="163">
        <f t="shared" si="9"/>
        <v>5.31126</v>
      </c>
      <c r="Q43" s="163">
        <f t="shared" si="9"/>
        <v>2.7988</v>
      </c>
      <c r="R43" s="163">
        <f t="shared" si="9"/>
        <v>0.1862</v>
      </c>
      <c r="S43" s="118"/>
      <c r="X43" s="53" t="s">
        <v>21</v>
      </c>
      <c r="Y43" s="54">
        <f aca="true" t="shared" si="10" ref="Y43:AN43">SUM(Y36:Y41)</f>
        <v>615</v>
      </c>
      <c r="Z43" s="54">
        <f t="shared" si="10"/>
        <v>17.131000000000004</v>
      </c>
      <c r="AA43" s="54">
        <f t="shared" si="10"/>
        <v>18.923520000000003</v>
      </c>
      <c r="AB43" s="54">
        <f t="shared" si="10"/>
        <v>81.90338</v>
      </c>
      <c r="AC43" s="54">
        <f t="shared" si="10"/>
        <v>566.4492</v>
      </c>
      <c r="AD43" s="54">
        <f t="shared" si="10"/>
        <v>0.46429</v>
      </c>
      <c r="AE43" s="54">
        <f t="shared" si="10"/>
        <v>0.37171999999999994</v>
      </c>
      <c r="AF43" s="54">
        <f t="shared" si="10"/>
        <v>44.745999999999995</v>
      </c>
      <c r="AG43" s="54">
        <f t="shared" si="10"/>
        <v>1.03</v>
      </c>
      <c r="AH43" s="54">
        <f t="shared" si="10"/>
        <v>1.6546500000000002</v>
      </c>
      <c r="AI43" s="54">
        <f t="shared" si="10"/>
        <v>196.9109</v>
      </c>
      <c r="AJ43" s="54">
        <f t="shared" si="10"/>
        <v>312.91009999999994</v>
      </c>
      <c r="AK43" s="54">
        <f t="shared" si="10"/>
        <v>97.6695</v>
      </c>
      <c r="AL43" s="54">
        <f t="shared" si="10"/>
        <v>4.292139999999999</v>
      </c>
      <c r="AM43" s="54">
        <f t="shared" si="10"/>
        <v>2.0308</v>
      </c>
      <c r="AN43" s="54">
        <f t="shared" si="10"/>
        <v>0.12100000000000001</v>
      </c>
      <c r="AO43" s="118"/>
    </row>
    <row r="44" spans="1:41" ht="15.75" customHeight="1">
      <c r="A44" s="155"/>
      <c r="B44" s="174" t="s">
        <v>98</v>
      </c>
      <c r="C44" s="174"/>
      <c r="D44" s="1">
        <v>22.5</v>
      </c>
      <c r="E44" s="1">
        <v>23</v>
      </c>
      <c r="F44" s="1">
        <v>95.75</v>
      </c>
      <c r="G44" s="1">
        <v>678.25</v>
      </c>
      <c r="H44" s="1">
        <v>0.35</v>
      </c>
      <c r="I44" s="1">
        <v>0.4</v>
      </c>
      <c r="J44" s="1">
        <v>17.5</v>
      </c>
      <c r="K44" s="1">
        <v>0.23</v>
      </c>
      <c r="L44" s="1">
        <v>3</v>
      </c>
      <c r="M44" s="1">
        <v>300</v>
      </c>
      <c r="N44" s="1">
        <v>450</v>
      </c>
      <c r="O44" s="1">
        <v>75</v>
      </c>
      <c r="P44" s="1">
        <v>4.25</v>
      </c>
      <c r="Q44" s="1">
        <v>3.5</v>
      </c>
      <c r="R44" s="1">
        <v>0.025</v>
      </c>
      <c r="S44" s="118"/>
      <c r="X44" s="55" t="s">
        <v>98</v>
      </c>
      <c r="Y44" s="55"/>
      <c r="Z44" s="56">
        <v>19.25</v>
      </c>
      <c r="AA44" s="56">
        <v>19.75</v>
      </c>
      <c r="AB44" s="56">
        <v>83.75</v>
      </c>
      <c r="AC44" s="56">
        <v>587.5</v>
      </c>
      <c r="AD44" s="56">
        <v>0.3</v>
      </c>
      <c r="AE44" s="56">
        <v>0.35</v>
      </c>
      <c r="AF44" s="56">
        <v>15</v>
      </c>
      <c r="AG44" s="56">
        <v>0.175</v>
      </c>
      <c r="AH44" s="56">
        <v>2.5</v>
      </c>
      <c r="AI44" s="56">
        <v>275</v>
      </c>
      <c r="AJ44" s="56">
        <v>412.5</v>
      </c>
      <c r="AK44" s="56">
        <v>62.5</v>
      </c>
      <c r="AL44" s="56">
        <v>3</v>
      </c>
      <c r="AM44" s="56">
        <v>2.5</v>
      </c>
      <c r="AN44" s="56">
        <v>0.025</v>
      </c>
      <c r="AO44" s="118"/>
    </row>
    <row r="45" spans="1:41" ht="15.75" customHeight="1">
      <c r="A45" s="211" t="s">
        <v>112</v>
      </c>
      <c r="B45" s="21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18"/>
      <c r="X45" s="122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118"/>
    </row>
    <row r="46" spans="1:41" s="49" customFormat="1" ht="15.75" customHeight="1">
      <c r="A46" s="156"/>
      <c r="B46" s="92" t="s">
        <v>128</v>
      </c>
      <c r="C46" s="3">
        <f>'Сырьё лето'!C48</f>
        <v>100</v>
      </c>
      <c r="D46" s="1">
        <f>Z46*'Сырьё лето'!$AK$48</f>
        <v>0.6966959999999999</v>
      </c>
      <c r="E46" s="1">
        <f>AA46*'Сырьё лето'!$AK$48</f>
        <v>0.09952799999999999</v>
      </c>
      <c r="F46" s="1">
        <f>AB46*'Сырьё лето'!$AK$48</f>
        <v>1.8910319999999996</v>
      </c>
      <c r="G46" s="1">
        <f>F46*4+E46*9+D46*4</f>
        <v>11.246663999999997</v>
      </c>
      <c r="H46" s="1">
        <f>AD46*'Сырьё лето'!$AK$48</f>
        <v>0.033176</v>
      </c>
      <c r="I46" s="1">
        <f>AE46*'Сырьё лето'!$AK$48</f>
        <v>0.016588</v>
      </c>
      <c r="J46" s="1">
        <v>3.88</v>
      </c>
      <c r="K46" s="1">
        <f>AG46*'Сырьё лето'!$AK$48</f>
        <v>0</v>
      </c>
      <c r="L46" s="1">
        <f>AH46*'Сырьё лето'!$AK$48</f>
        <v>0.09952799999999999</v>
      </c>
      <c r="M46" s="1">
        <f>AI46*'Сырьё лето'!$AK$48</f>
        <v>16.919759999999997</v>
      </c>
      <c r="N46" s="1">
        <f>AJ46*'Сырьё лето'!$AK$48</f>
        <v>29.858399999999996</v>
      </c>
      <c r="O46" s="1">
        <f>AK46*'Сырьё лето'!$AK$48</f>
        <v>13.933919999999999</v>
      </c>
      <c r="P46" s="1">
        <f>AL46*'Сырьё лето'!$AK$48</f>
        <v>0.49763999999999997</v>
      </c>
      <c r="Q46" s="1">
        <f>AM46*'Сырьё лето'!$AK$48</f>
        <v>0.1573</v>
      </c>
      <c r="R46" s="1">
        <f>AN46*'Сырьё лето'!$AK$48</f>
        <v>0</v>
      </c>
      <c r="S46" s="118"/>
      <c r="T46" s="149"/>
      <c r="U46" s="149"/>
      <c r="V46" s="149"/>
      <c r="W46" s="149"/>
      <c r="X46" s="150" t="s">
        <v>128</v>
      </c>
      <c r="Y46" s="150">
        <v>70</v>
      </c>
      <c r="Z46" s="49">
        <v>0.48719999999999997</v>
      </c>
      <c r="AA46" s="49">
        <v>0.0696</v>
      </c>
      <c r="AB46" s="49">
        <v>1.3223999999999998</v>
      </c>
      <c r="AC46" s="49">
        <f aca="true" t="shared" si="11" ref="AC46:AC51">AB46*4+AA46*9+Z46*4</f>
        <v>7.864799999999999</v>
      </c>
      <c r="AD46" s="49">
        <v>0.0232</v>
      </c>
      <c r="AE46" s="49">
        <v>0.0116</v>
      </c>
      <c r="AF46" s="49">
        <v>3.4103999999999997</v>
      </c>
      <c r="AG46" s="49">
        <v>0</v>
      </c>
      <c r="AH46" s="49">
        <v>0.0696</v>
      </c>
      <c r="AI46" s="49">
        <v>11.831999999999999</v>
      </c>
      <c r="AJ46" s="49">
        <v>20.88</v>
      </c>
      <c r="AK46" s="49">
        <v>9.744</v>
      </c>
      <c r="AL46" s="49">
        <v>0.348</v>
      </c>
      <c r="AM46" s="49">
        <v>0.11</v>
      </c>
      <c r="AN46" s="49">
        <v>0</v>
      </c>
      <c r="AO46" s="118"/>
    </row>
    <row r="47" spans="1:41" s="49" customFormat="1" ht="15.75" customHeight="1">
      <c r="A47" s="93">
        <v>212</v>
      </c>
      <c r="B47" s="3" t="s">
        <v>96</v>
      </c>
      <c r="C47" s="3">
        <f>'Сырьё лето'!C49</f>
        <v>210</v>
      </c>
      <c r="D47" s="1">
        <v>18.08</v>
      </c>
      <c r="E47" s="1">
        <f>AA47*'Сырьё лето'!$AK$49</f>
        <v>42.57316</v>
      </c>
      <c r="F47" s="1">
        <f>AB47*'Сырьё лето'!$AK$49</f>
        <v>3.8049199999999996</v>
      </c>
      <c r="G47" s="160">
        <v>370.7</v>
      </c>
      <c r="H47" s="1">
        <f>AD47*'Сырьё лето'!$AK$49</f>
        <v>0.20972000000000002</v>
      </c>
      <c r="I47" s="1">
        <f>AE47*'Сырьё лето'!$AK$49</f>
        <v>0.65912</v>
      </c>
      <c r="J47" s="1">
        <f>AF47*'Сырьё лето'!$AK$49</f>
        <v>0.29960000000000003</v>
      </c>
      <c r="K47" s="1">
        <v>0.28</v>
      </c>
      <c r="L47" s="1">
        <v>4.96</v>
      </c>
      <c r="M47" s="1">
        <f>AI47*'Сырьё лето'!$AK$49</f>
        <v>133.6216</v>
      </c>
      <c r="N47" s="1">
        <v>313.34</v>
      </c>
      <c r="O47" s="1">
        <f>AK47*'Сырьё лето'!$AK$49</f>
        <v>28.072519999999997</v>
      </c>
      <c r="P47" s="1">
        <f>AL47*'Сырьё лето'!$AK$49</f>
        <v>3.8948000000000005</v>
      </c>
      <c r="Q47" s="1">
        <f>AM47*'Сырьё лето'!$AK$49</f>
        <v>2.408</v>
      </c>
      <c r="R47" s="1">
        <f>AN47*'Сырьё лето'!$AK$49</f>
        <v>0.013999999999999999</v>
      </c>
      <c r="S47" s="118"/>
      <c r="T47" s="149"/>
      <c r="U47" s="149"/>
      <c r="V47" s="149"/>
      <c r="W47" s="149"/>
      <c r="X47" s="48" t="s">
        <v>96</v>
      </c>
      <c r="Y47" s="48">
        <v>150</v>
      </c>
      <c r="Z47" s="49">
        <v>15.7718</v>
      </c>
      <c r="AA47" s="49">
        <v>30.409400000000005</v>
      </c>
      <c r="AB47" s="49">
        <v>2.7178</v>
      </c>
      <c r="AC47" s="49">
        <f t="shared" si="11"/>
        <v>347.64300000000003</v>
      </c>
      <c r="AD47" s="49">
        <v>0.14980000000000002</v>
      </c>
      <c r="AE47" s="49">
        <v>0.47080000000000005</v>
      </c>
      <c r="AF47" s="49">
        <v>0.21400000000000002</v>
      </c>
      <c r="AG47" s="49">
        <v>2.88</v>
      </c>
      <c r="AH47" s="49">
        <v>7.8</v>
      </c>
      <c r="AI47" s="49">
        <v>95.444</v>
      </c>
      <c r="AJ47" s="49">
        <v>245.244</v>
      </c>
      <c r="AK47" s="49">
        <v>20.0518</v>
      </c>
      <c r="AL47" s="49">
        <v>2.7820000000000005</v>
      </c>
      <c r="AM47" s="49">
        <v>1.72</v>
      </c>
      <c r="AN47" s="49">
        <v>0.01</v>
      </c>
      <c r="AO47" s="118"/>
    </row>
    <row r="48" spans="1:41" s="49" customFormat="1" ht="15.75" customHeight="1">
      <c r="A48" s="93"/>
      <c r="B48" s="3" t="s">
        <v>92</v>
      </c>
      <c r="C48" s="3">
        <f>'Сырьё лето'!C50</f>
        <v>200</v>
      </c>
      <c r="D48" s="1">
        <v>0.6</v>
      </c>
      <c r="E48" s="1">
        <v>0.4</v>
      </c>
      <c r="F48" s="1">
        <v>10.4</v>
      </c>
      <c r="G48" s="1">
        <f>F48*4+E48*9+D48*4</f>
        <v>47.6</v>
      </c>
      <c r="H48" s="1">
        <v>0.02</v>
      </c>
      <c r="I48" s="1">
        <v>0.04</v>
      </c>
      <c r="J48" s="1">
        <v>3.4</v>
      </c>
      <c r="K48" s="1">
        <v>0</v>
      </c>
      <c r="L48" s="1">
        <v>0.4</v>
      </c>
      <c r="M48" s="1">
        <v>21.2</v>
      </c>
      <c r="N48" s="1">
        <v>22.6</v>
      </c>
      <c r="O48" s="1">
        <v>4.6</v>
      </c>
      <c r="P48" s="1">
        <v>1.2</v>
      </c>
      <c r="Q48" s="1">
        <v>0.12</v>
      </c>
      <c r="R48" s="1">
        <v>0</v>
      </c>
      <c r="S48" s="118"/>
      <c r="T48" s="149"/>
      <c r="U48" s="149"/>
      <c r="V48" s="149"/>
      <c r="W48" s="149"/>
      <c r="X48" s="48" t="s">
        <v>92</v>
      </c>
      <c r="Y48" s="48">
        <v>200</v>
      </c>
      <c r="Z48" s="49">
        <v>0.6</v>
      </c>
      <c r="AA48" s="49">
        <v>0.4</v>
      </c>
      <c r="AB48" s="49">
        <v>10.4</v>
      </c>
      <c r="AC48" s="49">
        <f t="shared" si="11"/>
        <v>47.6</v>
      </c>
      <c r="AD48" s="49">
        <v>0.02</v>
      </c>
      <c r="AE48" s="49">
        <v>0.04</v>
      </c>
      <c r="AF48" s="49">
        <v>3.4</v>
      </c>
      <c r="AG48" s="49">
        <v>0</v>
      </c>
      <c r="AH48" s="49">
        <v>0.4</v>
      </c>
      <c r="AI48" s="49">
        <v>21.2</v>
      </c>
      <c r="AJ48" s="49">
        <v>22.6</v>
      </c>
      <c r="AK48" s="49">
        <v>14.6</v>
      </c>
      <c r="AL48" s="49">
        <v>3.2</v>
      </c>
      <c r="AM48" s="49">
        <v>0.12</v>
      </c>
      <c r="AN48" s="49">
        <v>0</v>
      </c>
      <c r="AO48" s="118"/>
    </row>
    <row r="49" spans="1:41" s="49" customFormat="1" ht="15.75" customHeight="1">
      <c r="A49" s="167"/>
      <c r="B49" s="3" t="s">
        <v>4</v>
      </c>
      <c r="C49" s="3">
        <f>'Сырьё лето'!C51</f>
        <v>60</v>
      </c>
      <c r="D49" s="1">
        <f>Z49*'Сырьё лето'!$AK$51</f>
        <v>4.050000000000001</v>
      </c>
      <c r="E49" s="1">
        <f>AA49*'Сырьё лето'!$AK$51</f>
        <v>0.516</v>
      </c>
      <c r="F49" s="1">
        <f>AB49*'Сырьё лето'!$AK$51</f>
        <v>30.089999999999996</v>
      </c>
      <c r="G49" s="160">
        <f>F49*4+E49*9+D49*4</f>
        <v>141.204</v>
      </c>
      <c r="H49" s="1">
        <f>AD49*'Сырьё лето'!$AK$51</f>
        <v>0.036000000000000004</v>
      </c>
      <c r="I49" s="1">
        <f>AE49*'Сырьё лето'!$AK$51</f>
        <v>0.0075</v>
      </c>
      <c r="J49" s="1">
        <f>AF49*'Сырьё лето'!$AK$51</f>
        <v>0</v>
      </c>
      <c r="K49" s="1">
        <f>AG49*'Сырьё лето'!$AK$51</f>
        <v>0</v>
      </c>
      <c r="L49" s="1">
        <f>AH49*'Сырьё лето'!$AK$51</f>
        <v>0.63</v>
      </c>
      <c r="M49" s="1">
        <f>AI49*'Сырьё лето'!$AK$51</f>
        <v>12</v>
      </c>
      <c r="N49" s="1">
        <f>AJ49*'Сырьё лето'!$AK$51</f>
        <v>39</v>
      </c>
      <c r="O49" s="1">
        <f>AK49*'Сырьё лето'!$AK$51</f>
        <v>8.399999999999999</v>
      </c>
      <c r="P49" s="1">
        <f>AL49*'Сырьё лето'!$AK$51</f>
        <v>0.6000000000000001</v>
      </c>
      <c r="Q49" s="1">
        <f>AM49*'Сырьё лето'!$AK$51</f>
        <v>0.44999999999999996</v>
      </c>
      <c r="R49" s="1">
        <f>AN49*'Сырьё лето'!$AK$51</f>
        <v>0</v>
      </c>
      <c r="S49" s="118"/>
      <c r="T49" s="149"/>
      <c r="U49" s="149"/>
      <c r="V49" s="149"/>
      <c r="W49" s="149"/>
      <c r="X49" s="48" t="s">
        <v>4</v>
      </c>
      <c r="Y49" s="48">
        <v>40</v>
      </c>
      <c r="Z49" s="49">
        <f>1.35*2</f>
        <v>2.7</v>
      </c>
      <c r="AA49" s="49">
        <f>0.172*2</f>
        <v>0.344</v>
      </c>
      <c r="AB49" s="49">
        <f>10.03*2</f>
        <v>20.06</v>
      </c>
      <c r="AC49" s="49">
        <f t="shared" si="11"/>
        <v>94.136</v>
      </c>
      <c r="AD49" s="49">
        <v>0.024</v>
      </c>
      <c r="AE49" s="49">
        <v>0.005</v>
      </c>
      <c r="AF49" s="49">
        <v>0</v>
      </c>
      <c r="AG49" s="49">
        <v>0</v>
      </c>
      <c r="AH49" s="49">
        <v>0.42</v>
      </c>
      <c r="AI49" s="49">
        <v>8</v>
      </c>
      <c r="AJ49" s="49">
        <v>26</v>
      </c>
      <c r="AK49" s="49">
        <v>5.6</v>
      </c>
      <c r="AL49" s="49">
        <v>0.4</v>
      </c>
      <c r="AM49" s="49">
        <v>0.3</v>
      </c>
      <c r="AN49" s="49">
        <v>0</v>
      </c>
      <c r="AO49" s="118"/>
    </row>
    <row r="50" spans="1:41" s="49" customFormat="1" ht="15.75" customHeight="1">
      <c r="A50" s="167"/>
      <c r="B50" s="3" t="s">
        <v>127</v>
      </c>
      <c r="C50" s="3">
        <f>'Сырьё лето'!C52</f>
        <v>30</v>
      </c>
      <c r="D50" s="1">
        <f>Z50*'Сырьё лето'!$AK$52</f>
        <v>1.995</v>
      </c>
      <c r="E50" s="1">
        <f>AA50*'Сырьё лето'!$AK$52</f>
        <v>0.36</v>
      </c>
      <c r="F50" s="1">
        <f>AB50*'Сырьё лето'!$AK$52</f>
        <v>12.554999999999998</v>
      </c>
      <c r="G50" s="160">
        <f>F50*4+E50*9+D50*4</f>
        <v>61.44</v>
      </c>
      <c r="H50" s="1">
        <f>AD50*'Сырьё лето'!$AK$52</f>
        <v>0.15749999999999997</v>
      </c>
      <c r="I50" s="1">
        <f>AE50*'Сырьё лето'!$AK$52</f>
        <v>0.10499999999999997</v>
      </c>
      <c r="J50" s="1">
        <f>AF50*'Сырьё лето'!$AK$52</f>
        <v>0.20999999999999994</v>
      </c>
      <c r="K50" s="1">
        <f>AG50*'Сырьё лето'!$AK$52</f>
        <v>0</v>
      </c>
      <c r="L50" s="1">
        <f>AH50*'Сырьё лето'!$AK$52</f>
        <v>0.15749999999999997</v>
      </c>
      <c r="M50" s="1">
        <f>AI50*'Сырьё лето'!$AK$52</f>
        <v>38.324999999999996</v>
      </c>
      <c r="N50" s="1">
        <f>AJ50*'Сырьё лето'!$AK$52</f>
        <v>65.625</v>
      </c>
      <c r="O50" s="1">
        <v>11</v>
      </c>
      <c r="P50" s="1">
        <v>1.07</v>
      </c>
      <c r="Q50" s="1">
        <f>AM50*'Сырьё лето'!$AK$52</f>
        <v>0.36</v>
      </c>
      <c r="R50" s="1">
        <f>AN50*'Сырьё лето'!$AK$52</f>
        <v>0.024</v>
      </c>
      <c r="S50" s="118"/>
      <c r="T50" s="149"/>
      <c r="U50" s="149"/>
      <c r="V50" s="149"/>
      <c r="W50" s="149"/>
      <c r="X50" s="48" t="s">
        <v>127</v>
      </c>
      <c r="Y50" s="48">
        <v>25</v>
      </c>
      <c r="Z50" s="49">
        <v>1.6625</v>
      </c>
      <c r="AA50" s="49">
        <v>0.3</v>
      </c>
      <c r="AB50" s="49">
        <v>10.462499999999999</v>
      </c>
      <c r="AC50" s="49">
        <f t="shared" si="11"/>
        <v>51.199999999999996</v>
      </c>
      <c r="AD50" s="49">
        <v>0.13124999999999998</v>
      </c>
      <c r="AE50" s="49">
        <v>0.08749999999999998</v>
      </c>
      <c r="AF50" s="49">
        <v>0.17499999999999996</v>
      </c>
      <c r="AG50" s="49">
        <v>0</v>
      </c>
      <c r="AH50" s="49">
        <v>0.13124999999999998</v>
      </c>
      <c r="AI50" s="49">
        <v>31.937499999999996</v>
      </c>
      <c r="AJ50" s="49">
        <v>54.6875</v>
      </c>
      <c r="AK50" s="49">
        <v>17.5</v>
      </c>
      <c r="AL50" s="49">
        <v>1.2249999999999999</v>
      </c>
      <c r="AM50" s="49">
        <v>0.3</v>
      </c>
      <c r="AN50" s="49">
        <v>0.02</v>
      </c>
      <c r="AO50" s="118"/>
    </row>
    <row r="51" spans="1:41" s="49" customFormat="1" ht="15.75" customHeight="1">
      <c r="A51" s="93">
        <v>368</v>
      </c>
      <c r="B51" s="3" t="s">
        <v>135</v>
      </c>
      <c r="C51" s="3">
        <f>'Сырьё лето'!C53</f>
        <v>120</v>
      </c>
      <c r="D51" s="160">
        <v>0.5</v>
      </c>
      <c r="E51" s="160">
        <v>0.5</v>
      </c>
      <c r="F51" s="160">
        <v>12.8</v>
      </c>
      <c r="G51" s="1">
        <f>F51*4+E51*9+D51*4</f>
        <v>57.7</v>
      </c>
      <c r="H51" s="160">
        <v>0.04</v>
      </c>
      <c r="I51" s="160">
        <v>0.01</v>
      </c>
      <c r="J51" s="160">
        <v>4</v>
      </c>
      <c r="K51" s="160">
        <v>0</v>
      </c>
      <c r="L51" s="160">
        <v>0.33</v>
      </c>
      <c r="M51" s="160">
        <v>25</v>
      </c>
      <c r="N51" s="160">
        <v>18.3</v>
      </c>
      <c r="O51" s="160">
        <v>14.16</v>
      </c>
      <c r="P51" s="160">
        <v>0.5</v>
      </c>
      <c r="Q51" s="1">
        <v>0.48</v>
      </c>
      <c r="R51" s="1">
        <v>1E-05</v>
      </c>
      <c r="S51" s="118"/>
      <c r="T51" s="122"/>
      <c r="U51" s="122"/>
      <c r="V51" s="122"/>
      <c r="W51" s="122"/>
      <c r="X51" s="48" t="s">
        <v>135</v>
      </c>
      <c r="Y51" s="48">
        <v>120</v>
      </c>
      <c r="Z51" s="52">
        <v>0.5</v>
      </c>
      <c r="AA51" s="52">
        <v>0.5</v>
      </c>
      <c r="AB51" s="52">
        <v>12.8</v>
      </c>
      <c r="AC51" s="49">
        <f t="shared" si="11"/>
        <v>57.7</v>
      </c>
      <c r="AD51" s="52">
        <v>0.04</v>
      </c>
      <c r="AE51" s="52">
        <v>0.01</v>
      </c>
      <c r="AF51" s="52">
        <v>5</v>
      </c>
      <c r="AG51" s="52">
        <v>0</v>
      </c>
      <c r="AH51" s="52">
        <v>0.33</v>
      </c>
      <c r="AI51" s="52">
        <v>25</v>
      </c>
      <c r="AJ51" s="52">
        <v>18.3</v>
      </c>
      <c r="AK51" s="52">
        <v>14.16</v>
      </c>
      <c r="AL51" s="52">
        <v>0.5</v>
      </c>
      <c r="AM51" s="49">
        <v>0.48</v>
      </c>
      <c r="AN51" s="49">
        <v>1E-05</v>
      </c>
      <c r="AO51" s="118"/>
    </row>
    <row r="52" spans="1:41" s="49" customFormat="1" ht="15.75" customHeight="1">
      <c r="A52" s="9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18"/>
      <c r="T52" s="122"/>
      <c r="U52" s="122"/>
      <c r="V52" s="122"/>
      <c r="W52" s="122"/>
      <c r="AO52" s="118"/>
    </row>
    <row r="53" spans="1:41" ht="15.75" customHeight="1">
      <c r="A53" s="161"/>
      <c r="B53" s="162" t="s">
        <v>21</v>
      </c>
      <c r="C53" s="163">
        <f>SUM(C46:C51)</f>
        <v>720</v>
      </c>
      <c r="D53" s="163">
        <f aca="true" t="shared" si="12" ref="D53:R53">SUM(D46:D51)</f>
        <v>25.921696</v>
      </c>
      <c r="E53" s="163">
        <f t="shared" si="12"/>
        <v>44.448688</v>
      </c>
      <c r="F53" s="163">
        <f t="shared" si="12"/>
        <v>71.540952</v>
      </c>
      <c r="G53" s="163">
        <f t="shared" si="12"/>
        <v>689.890664</v>
      </c>
      <c r="H53" s="163">
        <f t="shared" si="12"/>
        <v>0.496396</v>
      </c>
      <c r="I53" s="163">
        <f t="shared" si="12"/>
        <v>0.8382080000000001</v>
      </c>
      <c r="J53" s="163">
        <f t="shared" si="12"/>
        <v>11.7896</v>
      </c>
      <c r="K53" s="163">
        <f t="shared" si="12"/>
        <v>0.28</v>
      </c>
      <c r="L53" s="163">
        <f t="shared" si="12"/>
        <v>6.577028</v>
      </c>
      <c r="M53" s="163">
        <f t="shared" si="12"/>
        <v>247.06635999999997</v>
      </c>
      <c r="N53" s="163">
        <f t="shared" si="12"/>
        <v>488.7234</v>
      </c>
      <c r="O53" s="163">
        <f t="shared" si="12"/>
        <v>80.16644</v>
      </c>
      <c r="P53" s="163">
        <f t="shared" si="12"/>
        <v>7.762440000000002</v>
      </c>
      <c r="Q53" s="163">
        <f t="shared" si="12"/>
        <v>3.9753</v>
      </c>
      <c r="R53" s="163">
        <f t="shared" si="12"/>
        <v>0.03801</v>
      </c>
      <c r="S53" s="118"/>
      <c r="X53" s="53" t="s">
        <v>21</v>
      </c>
      <c r="Y53" s="54">
        <f>SUM(Y46:Y51)</f>
        <v>605</v>
      </c>
      <c r="Z53" s="54">
        <f aca="true" t="shared" si="13" ref="Z53:AN53">SUM(Z46:Z51)</f>
        <v>21.721500000000002</v>
      </c>
      <c r="AA53" s="54">
        <f t="shared" si="13"/>
        <v>32.02300000000001</v>
      </c>
      <c r="AB53" s="54">
        <f t="shared" si="13"/>
        <v>57.762699999999995</v>
      </c>
      <c r="AC53" s="54">
        <f t="shared" si="13"/>
        <v>606.1438000000002</v>
      </c>
      <c r="AD53" s="54">
        <f t="shared" si="13"/>
        <v>0.38824999999999993</v>
      </c>
      <c r="AE53" s="54">
        <f t="shared" si="13"/>
        <v>0.6249000000000001</v>
      </c>
      <c r="AF53" s="54">
        <f t="shared" si="13"/>
        <v>12.1994</v>
      </c>
      <c r="AG53" s="54">
        <f t="shared" si="13"/>
        <v>2.88</v>
      </c>
      <c r="AH53" s="54">
        <f t="shared" si="13"/>
        <v>9.15085</v>
      </c>
      <c r="AI53" s="54">
        <f t="shared" si="13"/>
        <v>193.4135</v>
      </c>
      <c r="AJ53" s="54">
        <f t="shared" si="13"/>
        <v>387.71150000000006</v>
      </c>
      <c r="AK53" s="54">
        <f t="shared" si="13"/>
        <v>81.6558</v>
      </c>
      <c r="AL53" s="54">
        <f t="shared" si="13"/>
        <v>8.455</v>
      </c>
      <c r="AM53" s="54">
        <f t="shared" si="13"/>
        <v>3.03</v>
      </c>
      <c r="AN53" s="54">
        <f t="shared" si="13"/>
        <v>0.03001</v>
      </c>
      <c r="AO53" s="118"/>
    </row>
    <row r="54" spans="1:41" s="49" customFormat="1" ht="15.75" customHeight="1">
      <c r="A54" s="93"/>
      <c r="B54" s="174" t="s">
        <v>98</v>
      </c>
      <c r="C54" s="174"/>
      <c r="D54" s="1">
        <v>22.5</v>
      </c>
      <c r="E54" s="1">
        <v>23</v>
      </c>
      <c r="F54" s="1">
        <v>95.75</v>
      </c>
      <c r="G54" s="1">
        <v>678.25</v>
      </c>
      <c r="H54" s="1">
        <v>0.35</v>
      </c>
      <c r="I54" s="1">
        <v>0.4</v>
      </c>
      <c r="J54" s="1">
        <v>17.5</v>
      </c>
      <c r="K54" s="1">
        <v>0.23</v>
      </c>
      <c r="L54" s="1">
        <v>3</v>
      </c>
      <c r="M54" s="1">
        <v>300</v>
      </c>
      <c r="N54" s="1">
        <v>450</v>
      </c>
      <c r="O54" s="1">
        <v>75</v>
      </c>
      <c r="P54" s="1">
        <v>4.25</v>
      </c>
      <c r="Q54" s="1">
        <v>3.5</v>
      </c>
      <c r="R54" s="1">
        <v>0.025</v>
      </c>
      <c r="S54" s="118"/>
      <c r="T54" s="122"/>
      <c r="U54" s="122"/>
      <c r="V54" s="122"/>
      <c r="W54" s="122"/>
      <c r="X54" s="55" t="s">
        <v>98</v>
      </c>
      <c r="Y54" s="55"/>
      <c r="Z54" s="56">
        <v>19.25</v>
      </c>
      <c r="AA54" s="56">
        <v>19.75</v>
      </c>
      <c r="AB54" s="56">
        <v>83.75</v>
      </c>
      <c r="AC54" s="56">
        <v>587.5</v>
      </c>
      <c r="AD54" s="56">
        <v>0.3</v>
      </c>
      <c r="AE54" s="56">
        <v>0.35</v>
      </c>
      <c r="AF54" s="56">
        <v>15</v>
      </c>
      <c r="AG54" s="56">
        <v>0.175</v>
      </c>
      <c r="AH54" s="56">
        <v>2.5</v>
      </c>
      <c r="AI54" s="56">
        <v>275</v>
      </c>
      <c r="AJ54" s="56">
        <v>412.5</v>
      </c>
      <c r="AK54" s="56">
        <v>62.5</v>
      </c>
      <c r="AL54" s="56">
        <v>3</v>
      </c>
      <c r="AM54" s="56">
        <v>2.5</v>
      </c>
      <c r="AN54" s="56">
        <v>0.025</v>
      </c>
      <c r="AO54" s="118"/>
    </row>
    <row r="55" spans="1:41" s="50" customFormat="1" ht="15.75" customHeight="1">
      <c r="A55" s="211" t="s">
        <v>113</v>
      </c>
      <c r="B55" s="2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18"/>
      <c r="T55" s="122"/>
      <c r="U55" s="122"/>
      <c r="V55" s="122"/>
      <c r="W55" s="122"/>
      <c r="X55" s="12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118"/>
    </row>
    <row r="56" spans="1:41" s="49" customFormat="1" ht="15.75" customHeight="1">
      <c r="A56" s="93"/>
      <c r="B56" s="3" t="s">
        <v>119</v>
      </c>
      <c r="C56" s="3">
        <f>'Сырьё лето'!C58</f>
        <v>100</v>
      </c>
      <c r="D56" s="1">
        <f>Z56*'Сырьё лето'!$AK$58</f>
        <v>0.63</v>
      </c>
      <c r="E56" s="1">
        <f>AA56*'Сырьё лето'!$AK$58</f>
        <v>0.09</v>
      </c>
      <c r="F56" s="1">
        <f>AB56*'Сырьё лето'!$AK$58</f>
        <v>1.71</v>
      </c>
      <c r="G56" s="160">
        <f>F56*4+E56*9+D56*4</f>
        <v>10.17</v>
      </c>
      <c r="H56" s="1">
        <f>AD56*'Сырьё лето'!$AK$58</f>
        <v>0.03</v>
      </c>
      <c r="I56" s="1">
        <f>AE56*'Сырьё лето'!$AK$58</f>
        <v>0.015</v>
      </c>
      <c r="J56" s="1">
        <v>3.88</v>
      </c>
      <c r="K56" s="1">
        <f>AG56*'Сырьё лето'!$AK$58</f>
        <v>0</v>
      </c>
      <c r="L56" s="1">
        <f>AH56*'Сырьё лето'!$AK$58</f>
        <v>0.09</v>
      </c>
      <c r="M56" s="1">
        <f>AI56*'Сырьё лето'!$AK$58</f>
        <v>15.299999999999999</v>
      </c>
      <c r="N56" s="1">
        <f>AJ56*'Сырьё лето'!$AK$58</f>
        <v>27</v>
      </c>
      <c r="O56" s="1">
        <f>AK56*'Сырьё лето'!$AK$58</f>
        <v>12.600000000000001</v>
      </c>
      <c r="P56" s="1">
        <f>AL56*'Сырьё лето'!$AK$58</f>
        <v>0.44999999999999996</v>
      </c>
      <c r="Q56" s="1">
        <f>AM56*'Сырьё лето'!$AK$58</f>
        <v>0.153</v>
      </c>
      <c r="R56" s="1">
        <f>AN56*'Сырьё лето'!$AK$58</f>
        <v>0</v>
      </c>
      <c r="S56" s="118"/>
      <c r="T56" s="149"/>
      <c r="U56" s="149"/>
      <c r="V56" s="149"/>
      <c r="W56" s="149"/>
      <c r="X56" s="48" t="s">
        <v>119</v>
      </c>
      <c r="Y56" s="48">
        <v>60</v>
      </c>
      <c r="Z56" s="52">
        <v>0.42</v>
      </c>
      <c r="AA56" s="52">
        <v>0.06</v>
      </c>
      <c r="AB56" s="52">
        <v>1.14</v>
      </c>
      <c r="AC56" s="52">
        <f>AB56*4+AA56*9+Z56*4</f>
        <v>6.779999999999999</v>
      </c>
      <c r="AD56" s="52">
        <v>0.02</v>
      </c>
      <c r="AE56" s="52">
        <v>0.01</v>
      </c>
      <c r="AF56" s="52">
        <v>2.94</v>
      </c>
      <c r="AG56" s="52">
        <v>0</v>
      </c>
      <c r="AH56" s="52">
        <v>0.06</v>
      </c>
      <c r="AI56" s="52">
        <v>10.2</v>
      </c>
      <c r="AJ56" s="52">
        <v>18</v>
      </c>
      <c r="AK56" s="52">
        <v>8.4</v>
      </c>
      <c r="AL56" s="52">
        <v>0.3</v>
      </c>
      <c r="AM56" s="49">
        <v>0.102</v>
      </c>
      <c r="AN56" s="49">
        <v>0</v>
      </c>
      <c r="AO56" s="118"/>
    </row>
    <row r="57" spans="1:41" s="49" customFormat="1" ht="15.75" customHeight="1">
      <c r="A57" s="93">
        <v>269</v>
      </c>
      <c r="B57" s="3" t="s">
        <v>88</v>
      </c>
      <c r="C57" s="3">
        <f>'Сырьё лето'!C59</f>
        <v>100</v>
      </c>
      <c r="D57" s="1">
        <v>9.22</v>
      </c>
      <c r="E57" s="1">
        <f>AA57*'Сырьё лето'!$AK$59</f>
        <v>13.431308411214953</v>
      </c>
      <c r="F57" s="1">
        <f>AB57*'Сырьё лето'!$AK$59</f>
        <v>10.344112149532709</v>
      </c>
      <c r="G57" s="1">
        <v>122.06</v>
      </c>
      <c r="H57" s="1">
        <f>AD57*'Сырьё лето'!$AK$59</f>
        <v>0.12028037383177569</v>
      </c>
      <c r="I57" s="1">
        <f>AE57*'Сырьё лето'!$AK$59</f>
        <v>0.12028037383177569</v>
      </c>
      <c r="J57" s="1">
        <f>AF57*'Сырьё лето'!$AK$59</f>
        <v>0.18042056074766355</v>
      </c>
      <c r="K57" s="1">
        <f>AG57*'Сырьё лето'!$AK$59</f>
        <v>0.143</v>
      </c>
      <c r="L57" s="1">
        <f>AH57*'Сырьё лето'!$AK$59</f>
        <v>0.6014018691588785</v>
      </c>
      <c r="M57" s="1">
        <f>AI57*'Сырьё лето'!$AK$59</f>
        <v>29.428598130841117</v>
      </c>
      <c r="N57" s="1">
        <f>AJ57*'Сырьё лето'!$AK$59</f>
        <v>125.25196261682242</v>
      </c>
      <c r="O57" s="1">
        <v>13.39</v>
      </c>
      <c r="P57" s="1">
        <v>1.07</v>
      </c>
      <c r="Q57" s="1">
        <f>AM57*'Сырьё лето'!$AK$59</f>
        <v>3.3175999999999997</v>
      </c>
      <c r="R57" s="1">
        <f>AN57*'Сырьё лето'!$AK$59</f>
        <v>0</v>
      </c>
      <c r="S57" s="118"/>
      <c r="T57" s="149"/>
      <c r="U57" s="149"/>
      <c r="V57" s="149"/>
      <c r="W57" s="149"/>
      <c r="X57" s="48" t="s">
        <v>88</v>
      </c>
      <c r="Y57" s="48">
        <f>50*1.4</f>
        <v>70</v>
      </c>
      <c r="Z57" s="49">
        <v>7.149532710280374</v>
      </c>
      <c r="AA57" s="49">
        <v>9.392523364485982</v>
      </c>
      <c r="AB57" s="49">
        <v>7.233644859813084</v>
      </c>
      <c r="AC57" s="49">
        <v>142.06542056074767</v>
      </c>
      <c r="AD57" s="49">
        <v>0.08411214953271028</v>
      </c>
      <c r="AE57" s="49">
        <v>0.08411214953271028</v>
      </c>
      <c r="AF57" s="49">
        <v>0.12616822429906543</v>
      </c>
      <c r="AG57" s="49">
        <v>0.1</v>
      </c>
      <c r="AH57" s="49">
        <v>0.4205607476635514</v>
      </c>
      <c r="AI57" s="49">
        <v>20.579439252336446</v>
      </c>
      <c r="AJ57" s="49">
        <v>87.58878504672897</v>
      </c>
      <c r="AK57" s="49">
        <v>16.355140186915886</v>
      </c>
      <c r="AL57" s="49">
        <v>1.1869158878504673</v>
      </c>
      <c r="AM57" s="49">
        <v>2.32</v>
      </c>
      <c r="AN57" s="49">
        <v>0</v>
      </c>
      <c r="AO57" s="118"/>
    </row>
    <row r="58" spans="1:41" s="49" customFormat="1" ht="15.75" customHeight="1">
      <c r="A58" s="156" t="s">
        <v>70</v>
      </c>
      <c r="B58" s="92" t="s">
        <v>71</v>
      </c>
      <c r="C58" s="3">
        <f>'Сырьё лето'!C60</f>
        <v>200</v>
      </c>
      <c r="D58" s="1">
        <f>Z58*'Сырьё лето'!$AK$60</f>
        <v>3.3625</v>
      </c>
      <c r="E58" s="1">
        <f>AA58*'Сырьё лето'!$AK$60</f>
        <v>6.25</v>
      </c>
      <c r="F58" s="1">
        <f>AB58*'Сырьё лето'!$AK$60</f>
        <v>16.375</v>
      </c>
      <c r="G58" s="1">
        <v>216.3</v>
      </c>
      <c r="H58" s="1">
        <f>AD58*'Сырьё лето'!$AK$60</f>
        <v>0.1</v>
      </c>
      <c r="I58" s="1">
        <f>AE58*'Сырьё лето'!$AK$60</f>
        <v>0.1</v>
      </c>
      <c r="J58" s="1">
        <f>AF58*'Сырьё лето'!$AK$60</f>
        <v>23.825</v>
      </c>
      <c r="K58" s="1">
        <v>0.28</v>
      </c>
      <c r="L58" s="1">
        <f>AH58*'Сырьё лето'!$AK$60</f>
        <v>0</v>
      </c>
      <c r="M58" s="1">
        <f>AI58*'Сырьё лето'!$AK$60</f>
        <v>70.75</v>
      </c>
      <c r="N58" s="1">
        <f>AJ58*'Сырьё лето'!$AK$60</f>
        <v>85.7</v>
      </c>
      <c r="O58" s="1">
        <f>AK58*'Сырьё лето'!$AK$60</f>
        <v>30.875</v>
      </c>
      <c r="P58" s="1">
        <f>AL58*'Сырьё лето'!$AK$60</f>
        <v>1.1375</v>
      </c>
      <c r="Q58" s="1">
        <f>AM58*'Сырьё лето'!$AK$60</f>
        <v>0.5375</v>
      </c>
      <c r="R58" s="1">
        <f>AN58*'Сырьё лето'!$AK$60</f>
        <v>0</v>
      </c>
      <c r="S58" s="118"/>
      <c r="T58" s="149"/>
      <c r="U58" s="149"/>
      <c r="V58" s="149"/>
      <c r="W58" s="149"/>
      <c r="X58" s="150" t="s">
        <v>71</v>
      </c>
      <c r="Y58" s="150">
        <v>160</v>
      </c>
      <c r="Z58" s="49">
        <v>2.69</v>
      </c>
      <c r="AA58" s="49">
        <v>5</v>
      </c>
      <c r="AB58" s="49">
        <v>13.1</v>
      </c>
      <c r="AC58" s="49">
        <v>216.3</v>
      </c>
      <c r="AD58" s="49">
        <v>0.08</v>
      </c>
      <c r="AE58" s="49">
        <v>0.08</v>
      </c>
      <c r="AF58" s="49">
        <v>19.06</v>
      </c>
      <c r="AG58" s="49">
        <v>0.7</v>
      </c>
      <c r="AH58" s="49">
        <v>0</v>
      </c>
      <c r="AI58" s="49">
        <v>56.6</v>
      </c>
      <c r="AJ58" s="49">
        <v>68.56</v>
      </c>
      <c r="AK58" s="49">
        <v>24.7</v>
      </c>
      <c r="AL58" s="49">
        <v>0.91</v>
      </c>
      <c r="AM58" s="49">
        <v>0.43</v>
      </c>
      <c r="AN58" s="49">
        <v>0</v>
      </c>
      <c r="AO58" s="118"/>
    </row>
    <row r="59" spans="1:41" s="49" customFormat="1" ht="15.75" customHeight="1">
      <c r="A59" s="93"/>
      <c r="B59" s="3" t="s">
        <v>90</v>
      </c>
      <c r="C59" s="3">
        <f>'Сырьё лето'!C61</f>
        <v>200</v>
      </c>
      <c r="D59" s="160">
        <v>0.06300000000000001</v>
      </c>
      <c r="E59" s="160">
        <v>0.018000000000000002</v>
      </c>
      <c r="F59" s="160">
        <f>10.4</f>
        <v>10.4</v>
      </c>
      <c r="G59" s="160">
        <v>35.5</v>
      </c>
      <c r="H59" s="160">
        <v>0</v>
      </c>
      <c r="I59" s="160">
        <v>0</v>
      </c>
      <c r="J59" s="160">
        <v>0.027</v>
      </c>
      <c r="K59" s="160">
        <v>0</v>
      </c>
      <c r="L59" s="160">
        <v>0</v>
      </c>
      <c r="M59" s="160">
        <v>11.1</v>
      </c>
      <c r="N59" s="160">
        <v>2.8</v>
      </c>
      <c r="O59" s="160">
        <v>1.4</v>
      </c>
      <c r="P59" s="1">
        <v>1.2</v>
      </c>
      <c r="Q59" s="160">
        <v>0.02</v>
      </c>
      <c r="R59" s="1">
        <v>0</v>
      </c>
      <c r="S59" s="118"/>
      <c r="T59" s="149"/>
      <c r="U59" s="149"/>
      <c r="V59" s="149"/>
      <c r="W59" s="149"/>
      <c r="X59" s="48" t="s">
        <v>90</v>
      </c>
      <c r="Y59" s="48">
        <v>200</v>
      </c>
      <c r="Z59" s="52">
        <v>0.06300000000000001</v>
      </c>
      <c r="AA59" s="52">
        <v>0.018000000000000002</v>
      </c>
      <c r="AB59" s="52">
        <f>10.4</f>
        <v>10.4</v>
      </c>
      <c r="AC59" s="52">
        <v>35.5</v>
      </c>
      <c r="AD59" s="52">
        <v>0</v>
      </c>
      <c r="AE59" s="52">
        <v>0</v>
      </c>
      <c r="AF59" s="52">
        <v>0.027</v>
      </c>
      <c r="AG59" s="52">
        <v>0</v>
      </c>
      <c r="AH59" s="52">
        <v>0</v>
      </c>
      <c r="AI59" s="52">
        <v>11.1</v>
      </c>
      <c r="AJ59" s="52">
        <v>2.8</v>
      </c>
      <c r="AK59" s="52">
        <v>1.4</v>
      </c>
      <c r="AL59" s="52">
        <f>12.1-0.045</f>
        <v>12.055</v>
      </c>
      <c r="AM59" s="52">
        <v>0.02</v>
      </c>
      <c r="AN59" s="49">
        <v>0</v>
      </c>
      <c r="AO59" s="118"/>
    </row>
    <row r="60" spans="1:41" s="49" customFormat="1" ht="15.75" customHeight="1">
      <c r="A60" s="93"/>
      <c r="B60" s="3" t="s">
        <v>127</v>
      </c>
      <c r="C60" s="3">
        <f>'Сырьё лето'!C62</f>
        <v>30</v>
      </c>
      <c r="D60" s="1">
        <f>Z60*'Сырьё лето'!$AK$62</f>
        <v>1.995</v>
      </c>
      <c r="E60" s="1">
        <f>AA60*'Сырьё лето'!$AK$62</f>
        <v>0.36</v>
      </c>
      <c r="F60" s="1">
        <f>AB60*'Сырьё лето'!$AK$62</f>
        <v>12.554999999999998</v>
      </c>
      <c r="G60" s="1">
        <v>51.2</v>
      </c>
      <c r="H60" s="1">
        <f>AD60*'Сырьё лето'!$AK$62</f>
        <v>0.15749999999999997</v>
      </c>
      <c r="I60" s="1">
        <f>AE60*'Сырьё лето'!$AK$62</f>
        <v>0.10499999999999997</v>
      </c>
      <c r="J60" s="1">
        <f>AF60*'Сырьё лето'!$AK$62</f>
        <v>0.20999999999999994</v>
      </c>
      <c r="K60" s="1">
        <f>AG60*'Сырьё лето'!$AK$62</f>
        <v>0</v>
      </c>
      <c r="L60" s="1">
        <f>AH60*'Сырьё лето'!$AK$62</f>
        <v>0.15749999999999997</v>
      </c>
      <c r="M60" s="1">
        <f>AI60*'Сырьё лето'!$AK$62</f>
        <v>38.324999999999996</v>
      </c>
      <c r="N60" s="1">
        <f>AJ60*'Сырьё лето'!$AK$62</f>
        <v>65.625</v>
      </c>
      <c r="O60" s="1">
        <v>11</v>
      </c>
      <c r="P60" s="1">
        <v>1.07</v>
      </c>
      <c r="Q60" s="1">
        <f>AM60*'Сырьё лето'!$AK$62</f>
        <v>0.36</v>
      </c>
      <c r="R60" s="1">
        <f>AN60*'Сырьё лето'!$AK$62</f>
        <v>0.024</v>
      </c>
      <c r="S60" s="118"/>
      <c r="T60" s="149"/>
      <c r="U60" s="149"/>
      <c r="V60" s="149"/>
      <c r="W60" s="149"/>
      <c r="X60" s="48" t="s">
        <v>127</v>
      </c>
      <c r="Y60" s="48">
        <v>25</v>
      </c>
      <c r="Z60" s="49">
        <v>1.6625</v>
      </c>
      <c r="AA60" s="49">
        <v>0.3</v>
      </c>
      <c r="AB60" s="49">
        <v>10.462499999999999</v>
      </c>
      <c r="AC60" s="49">
        <v>51.2</v>
      </c>
      <c r="AD60" s="49">
        <v>0.13124999999999998</v>
      </c>
      <c r="AE60" s="49">
        <v>0.08749999999999998</v>
      </c>
      <c r="AF60" s="49">
        <v>0.17499999999999996</v>
      </c>
      <c r="AG60" s="49">
        <v>0</v>
      </c>
      <c r="AH60" s="49">
        <v>0.13124999999999998</v>
      </c>
      <c r="AI60" s="49">
        <v>31.937499999999996</v>
      </c>
      <c r="AJ60" s="49">
        <v>54.6875</v>
      </c>
      <c r="AK60" s="49">
        <v>17.5</v>
      </c>
      <c r="AL60" s="49">
        <v>1.2249999999999999</v>
      </c>
      <c r="AM60" s="49">
        <v>0.3</v>
      </c>
      <c r="AN60" s="49">
        <v>0.02</v>
      </c>
      <c r="AO60" s="118"/>
    </row>
    <row r="61" spans="1:41" s="49" customFormat="1" ht="15.75" customHeight="1">
      <c r="A61" s="167"/>
      <c r="B61" s="3" t="s">
        <v>4</v>
      </c>
      <c r="C61" s="3">
        <f>'Сырьё лето'!C63</f>
        <v>30</v>
      </c>
      <c r="D61" s="1">
        <f>Z61*'Сырьё лето'!$AK$63</f>
        <v>3.24</v>
      </c>
      <c r="E61" s="1">
        <f>AA61*'Сырьё лето'!$AK$63</f>
        <v>0.41279999999999994</v>
      </c>
      <c r="F61" s="1">
        <f>AB61*'Сырьё лето'!$AK$63</f>
        <v>24.072</v>
      </c>
      <c r="G61" s="1">
        <f>F61*4+E61*9+D61*4</f>
        <v>112.9632</v>
      </c>
      <c r="H61" s="1">
        <f>AD61*'Сырьё лето'!$AK$63</f>
        <v>0.0288</v>
      </c>
      <c r="I61" s="1">
        <f>AE61*'Сырьё лето'!$AK$63</f>
        <v>0.006</v>
      </c>
      <c r="J61" s="1">
        <f>AF61*'Сырьё лето'!$AK$63</f>
        <v>0</v>
      </c>
      <c r="K61" s="1">
        <f>AG61*'Сырьё лето'!$AK$63</f>
        <v>0</v>
      </c>
      <c r="L61" s="1">
        <f>AH61*'Сырьё лето'!$AK$63</f>
        <v>0.504</v>
      </c>
      <c r="M61" s="1">
        <f>AI61*'Сырьё лето'!$AK$63</f>
        <v>9.6</v>
      </c>
      <c r="N61" s="1">
        <f>AJ61*'Сырьё лето'!$AK$63</f>
        <v>31.2</v>
      </c>
      <c r="O61" s="1">
        <f>AK61*'Сырьё лето'!$AK$63</f>
        <v>6.72</v>
      </c>
      <c r="P61" s="1">
        <f>AL61*'Сырьё лето'!$AK$63</f>
        <v>0.48</v>
      </c>
      <c r="Q61" s="1">
        <f>AM61*'Сырьё лето'!$AK$63</f>
        <v>0.36</v>
      </c>
      <c r="R61" s="1">
        <f>AN61*'Сырьё лето'!$AK$63</f>
        <v>0</v>
      </c>
      <c r="S61" s="118"/>
      <c r="T61" s="149"/>
      <c r="U61" s="149"/>
      <c r="V61" s="149"/>
      <c r="W61" s="149"/>
      <c r="X61" s="48" t="s">
        <v>4</v>
      </c>
      <c r="Y61" s="48">
        <v>40</v>
      </c>
      <c r="Z61" s="49">
        <f>1.35*2</f>
        <v>2.7</v>
      </c>
      <c r="AA61" s="49">
        <f>0.172*2</f>
        <v>0.344</v>
      </c>
      <c r="AB61" s="49">
        <f>10.03*2</f>
        <v>20.06</v>
      </c>
      <c r="AC61" s="49">
        <f>AB61*4+AA61*9+Z61*4</f>
        <v>94.136</v>
      </c>
      <c r="AD61" s="49">
        <v>0.024</v>
      </c>
      <c r="AE61" s="49">
        <v>0.005</v>
      </c>
      <c r="AF61" s="49">
        <v>0</v>
      </c>
      <c r="AG61" s="49">
        <v>0</v>
      </c>
      <c r="AH61" s="49">
        <v>0.42</v>
      </c>
      <c r="AI61" s="49">
        <v>8</v>
      </c>
      <c r="AJ61" s="49">
        <v>26</v>
      </c>
      <c r="AK61" s="49">
        <v>5.6</v>
      </c>
      <c r="AL61" s="49">
        <v>0.4</v>
      </c>
      <c r="AM61" s="49">
        <v>0.3</v>
      </c>
      <c r="AN61" s="49">
        <v>0</v>
      </c>
      <c r="AO61" s="118"/>
    </row>
    <row r="62" spans="1:41" s="49" customFormat="1" ht="15.75" customHeight="1">
      <c r="A62" s="93"/>
      <c r="B62" s="3" t="s">
        <v>136</v>
      </c>
      <c r="C62" s="3">
        <f>'Сырьё лето'!C64</f>
        <v>200</v>
      </c>
      <c r="D62" s="1">
        <v>1.0015060240963856</v>
      </c>
      <c r="E62" s="1">
        <v>0</v>
      </c>
      <c r="F62" s="1">
        <v>20.23042168674699</v>
      </c>
      <c r="G62" s="1">
        <v>84.9277108433735</v>
      </c>
      <c r="H62" s="1">
        <v>0.020030120481927715</v>
      </c>
      <c r="I62" s="1">
        <v>0.020030120481927715</v>
      </c>
      <c r="J62" s="1">
        <v>3.00602409638554</v>
      </c>
      <c r="K62" s="1">
        <v>0</v>
      </c>
      <c r="L62" s="1">
        <v>0.20030120481927713</v>
      </c>
      <c r="M62" s="1">
        <v>14.021084337349398</v>
      </c>
      <c r="N62" s="1">
        <v>14.021084337349398</v>
      </c>
      <c r="O62" s="1">
        <v>8.012048192771084</v>
      </c>
      <c r="P62" s="1">
        <v>1.08</v>
      </c>
      <c r="Q62" s="1">
        <v>0.04</v>
      </c>
      <c r="R62" s="1">
        <v>0</v>
      </c>
      <c r="S62" s="118"/>
      <c r="T62" s="122"/>
      <c r="U62" s="122"/>
      <c r="V62" s="122"/>
      <c r="W62" s="122"/>
      <c r="X62" s="48" t="s">
        <v>136</v>
      </c>
      <c r="Y62" s="48">
        <v>200</v>
      </c>
      <c r="Z62" s="49">
        <v>1.0015060240963856</v>
      </c>
      <c r="AA62" s="49">
        <v>0</v>
      </c>
      <c r="AB62" s="49">
        <v>20.23042168674699</v>
      </c>
      <c r="AC62" s="49">
        <v>84.9277108433735</v>
      </c>
      <c r="AD62" s="49">
        <v>0.020030120481927715</v>
      </c>
      <c r="AE62" s="49">
        <v>0.020030120481927715</v>
      </c>
      <c r="AF62" s="49">
        <v>4.006024096385542</v>
      </c>
      <c r="AG62" s="49">
        <v>0</v>
      </c>
      <c r="AH62" s="49">
        <v>0.20030120481927713</v>
      </c>
      <c r="AI62" s="49">
        <v>14.021084337349398</v>
      </c>
      <c r="AJ62" s="49">
        <v>14.021084337349398</v>
      </c>
      <c r="AK62" s="49">
        <v>8.012048192771084</v>
      </c>
      <c r="AL62" s="49">
        <v>2.8042168674698797</v>
      </c>
      <c r="AM62" s="49">
        <v>0.04</v>
      </c>
      <c r="AN62" s="49">
        <v>0</v>
      </c>
      <c r="AO62" s="118"/>
    </row>
    <row r="63" spans="1:41" s="49" customFormat="1" ht="15.75" customHeight="1">
      <c r="A63" s="9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18"/>
      <c r="T63" s="122"/>
      <c r="U63" s="122"/>
      <c r="V63" s="122"/>
      <c r="W63" s="122"/>
      <c r="AO63" s="118"/>
    </row>
    <row r="64" spans="1:41" ht="15.75" customHeight="1">
      <c r="A64" s="161"/>
      <c r="B64" s="162" t="s">
        <v>21</v>
      </c>
      <c r="C64" s="163">
        <f>SUM(C56:C62)</f>
        <v>860</v>
      </c>
      <c r="D64" s="163">
        <f aca="true" t="shared" si="14" ref="D64:R64">SUM(D56:D62)</f>
        <v>19.512006024096387</v>
      </c>
      <c r="E64" s="163">
        <f t="shared" si="14"/>
        <v>20.562108411214954</v>
      </c>
      <c r="F64" s="163">
        <f t="shared" si="14"/>
        <v>95.68653383627971</v>
      </c>
      <c r="G64" s="163">
        <f t="shared" si="14"/>
        <v>633.1209108433734</v>
      </c>
      <c r="H64" s="163">
        <f t="shared" si="14"/>
        <v>0.4566104943137034</v>
      </c>
      <c r="I64" s="163">
        <f t="shared" si="14"/>
        <v>0.3663104943137034</v>
      </c>
      <c r="J64" s="163">
        <f t="shared" si="14"/>
        <v>31.128444657133205</v>
      </c>
      <c r="K64" s="163">
        <f t="shared" si="14"/>
        <v>0.42300000000000004</v>
      </c>
      <c r="L64" s="163">
        <f t="shared" si="14"/>
        <v>1.5532030739781555</v>
      </c>
      <c r="M64" s="163">
        <f t="shared" si="14"/>
        <v>188.5246824681905</v>
      </c>
      <c r="N64" s="163">
        <f t="shared" si="14"/>
        <v>351.5980469541718</v>
      </c>
      <c r="O64" s="163">
        <f t="shared" si="14"/>
        <v>83.99704819277109</v>
      </c>
      <c r="P64" s="163">
        <f t="shared" si="14"/>
        <v>6.487500000000001</v>
      </c>
      <c r="Q64" s="163">
        <f t="shared" si="14"/>
        <v>4.7881</v>
      </c>
      <c r="R64" s="163">
        <f t="shared" si="14"/>
        <v>0.024</v>
      </c>
      <c r="S64" s="118"/>
      <c r="X64" s="53" t="s">
        <v>21</v>
      </c>
      <c r="Y64" s="54">
        <f>SUM(Y56:Y62)</f>
        <v>755</v>
      </c>
      <c r="Z64" s="54">
        <f aca="true" t="shared" si="15" ref="Z64:AN64">SUM(Z56:Z62)</f>
        <v>15.68653873437676</v>
      </c>
      <c r="AA64" s="54">
        <f t="shared" si="15"/>
        <v>15.114523364485983</v>
      </c>
      <c r="AB64" s="54">
        <f t="shared" si="15"/>
        <v>82.62656654656007</v>
      </c>
      <c r="AC64" s="54">
        <f t="shared" si="15"/>
        <v>630.9091314041211</v>
      </c>
      <c r="AD64" s="54">
        <f t="shared" si="15"/>
        <v>0.35939227001463797</v>
      </c>
      <c r="AE64" s="54">
        <f t="shared" si="15"/>
        <v>0.28664227001463793</v>
      </c>
      <c r="AF64" s="54">
        <f t="shared" si="15"/>
        <v>26.334192320684608</v>
      </c>
      <c r="AG64" s="54">
        <f t="shared" si="15"/>
        <v>0.7999999999999999</v>
      </c>
      <c r="AH64" s="54">
        <f t="shared" si="15"/>
        <v>1.2321119524828286</v>
      </c>
      <c r="AI64" s="54">
        <f t="shared" si="15"/>
        <v>152.43802358968586</v>
      </c>
      <c r="AJ64" s="54">
        <f t="shared" si="15"/>
        <v>271.6573693840784</v>
      </c>
      <c r="AK64" s="54">
        <f t="shared" si="15"/>
        <v>81.96718837968697</v>
      </c>
      <c r="AL64" s="54">
        <f t="shared" si="15"/>
        <v>18.881132755320344</v>
      </c>
      <c r="AM64" s="54">
        <f t="shared" si="15"/>
        <v>3.5119999999999996</v>
      </c>
      <c r="AN64" s="54">
        <f t="shared" si="15"/>
        <v>0.02</v>
      </c>
      <c r="AO64" s="118"/>
    </row>
    <row r="65" spans="1:41" ht="15.75" customHeight="1">
      <c r="A65" s="93"/>
      <c r="B65" s="174" t="s">
        <v>98</v>
      </c>
      <c r="C65" s="174"/>
      <c r="D65" s="1">
        <v>22.5</v>
      </c>
      <c r="E65" s="1">
        <v>23</v>
      </c>
      <c r="F65" s="1">
        <v>95.75</v>
      </c>
      <c r="G65" s="1">
        <v>678.25</v>
      </c>
      <c r="H65" s="1">
        <v>0.35</v>
      </c>
      <c r="I65" s="1">
        <v>0.4</v>
      </c>
      <c r="J65" s="1">
        <v>17.5</v>
      </c>
      <c r="K65" s="1">
        <v>0.23</v>
      </c>
      <c r="L65" s="1">
        <v>3</v>
      </c>
      <c r="M65" s="1">
        <v>300</v>
      </c>
      <c r="N65" s="1">
        <v>450</v>
      </c>
      <c r="O65" s="1">
        <v>75</v>
      </c>
      <c r="P65" s="1">
        <v>4.25</v>
      </c>
      <c r="Q65" s="1">
        <v>3.5</v>
      </c>
      <c r="R65" s="1">
        <v>0.025</v>
      </c>
      <c r="S65" s="118"/>
      <c r="X65" s="55" t="s">
        <v>98</v>
      </c>
      <c r="Y65" s="55"/>
      <c r="Z65" s="56">
        <v>19.25</v>
      </c>
      <c r="AA65" s="56">
        <v>19.75</v>
      </c>
      <c r="AB65" s="56">
        <v>83.75</v>
      </c>
      <c r="AC65" s="56">
        <v>587.5</v>
      </c>
      <c r="AD65" s="56">
        <v>0.3</v>
      </c>
      <c r="AE65" s="56">
        <v>0.35</v>
      </c>
      <c r="AF65" s="56">
        <v>15</v>
      </c>
      <c r="AG65" s="56">
        <v>0.175</v>
      </c>
      <c r="AH65" s="56">
        <v>2.5</v>
      </c>
      <c r="AI65" s="56">
        <v>275</v>
      </c>
      <c r="AJ65" s="56">
        <v>412.5</v>
      </c>
      <c r="AK65" s="56">
        <v>62.5</v>
      </c>
      <c r="AL65" s="56">
        <v>3</v>
      </c>
      <c r="AM65" s="56">
        <v>2.5</v>
      </c>
      <c r="AN65" s="56">
        <v>0.025</v>
      </c>
      <c r="AO65" s="118"/>
    </row>
    <row r="66" spans="1:41" s="50" customFormat="1" ht="15.75" customHeight="1">
      <c r="A66" s="211" t="s">
        <v>114</v>
      </c>
      <c r="B66" s="2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18"/>
      <c r="T66" s="122"/>
      <c r="U66" s="122"/>
      <c r="V66" s="122"/>
      <c r="W66" s="122"/>
      <c r="X66" s="122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118"/>
    </row>
    <row r="67" spans="1:41" s="49" customFormat="1" ht="15.75" customHeight="1">
      <c r="A67" s="93"/>
      <c r="B67" s="3" t="s">
        <v>128</v>
      </c>
      <c r="C67" s="3">
        <f>'Сырьё лето'!C69</f>
        <v>100</v>
      </c>
      <c r="D67" s="1">
        <f>Z67*'Сырьё лето'!$AK$69</f>
        <v>0.6966959999999999</v>
      </c>
      <c r="E67" s="1">
        <f>AA67*'Сырьё лето'!$AK$69</f>
        <v>0.09952799999999999</v>
      </c>
      <c r="F67" s="1">
        <f>AB67*'Сырьё лето'!$AK$69</f>
        <v>1.8910319999999996</v>
      </c>
      <c r="G67" s="1">
        <f>F67*4+E67*9+D67*4</f>
        <v>11.246663999999997</v>
      </c>
      <c r="H67" s="1">
        <f>AD67*'Сырьё лето'!$AK$69</f>
        <v>0.033176</v>
      </c>
      <c r="I67" s="1">
        <f>AE67*'Сырьё лето'!$AK$69</f>
        <v>0.016588</v>
      </c>
      <c r="J67" s="1">
        <v>3.88</v>
      </c>
      <c r="K67" s="1">
        <f>AG67*'Сырьё лето'!$AK$69</f>
        <v>0</v>
      </c>
      <c r="L67" s="1">
        <f>AH67*'Сырьё лето'!$AK$69</f>
        <v>0.09952799999999999</v>
      </c>
      <c r="M67" s="1">
        <f>AI67*'Сырьё лето'!$AK$69</f>
        <v>16.919759999999997</v>
      </c>
      <c r="N67" s="1">
        <f>AJ67*'Сырьё лето'!$AK$69</f>
        <v>29.858399999999996</v>
      </c>
      <c r="O67" s="1">
        <f>AK67*'Сырьё лето'!$AK$69</f>
        <v>13.933919999999999</v>
      </c>
      <c r="P67" s="1">
        <f>AL67*'Сырьё лето'!$AK$69</f>
        <v>0.49763999999999997</v>
      </c>
      <c r="Q67" s="1">
        <f>AM67*'Сырьё лето'!$AK$69</f>
        <v>0.17017</v>
      </c>
      <c r="R67" s="1">
        <f>AN67*'Сырьё лето'!$AK$69</f>
        <v>0</v>
      </c>
      <c r="S67" s="118"/>
      <c r="T67" s="149"/>
      <c r="U67" s="149"/>
      <c r="V67" s="149"/>
      <c r="W67" s="149"/>
      <c r="X67" s="48" t="s">
        <v>128</v>
      </c>
      <c r="Y67" s="48">
        <v>70</v>
      </c>
      <c r="Z67" s="49">
        <v>0.48719999999999997</v>
      </c>
      <c r="AA67" s="49">
        <v>0.0696</v>
      </c>
      <c r="AB67" s="49">
        <v>1.3223999999999998</v>
      </c>
      <c r="AC67" s="49">
        <f>AB67*4+AA67*9+Z67*4</f>
        <v>7.864799999999999</v>
      </c>
      <c r="AD67" s="49">
        <v>0.0232</v>
      </c>
      <c r="AE67" s="49">
        <v>0.0116</v>
      </c>
      <c r="AF67" s="49">
        <v>3.4103999999999997</v>
      </c>
      <c r="AG67" s="49">
        <v>0</v>
      </c>
      <c r="AH67" s="49">
        <v>0.0696</v>
      </c>
      <c r="AI67" s="49">
        <v>11.831999999999999</v>
      </c>
      <c r="AJ67" s="49">
        <v>20.88</v>
      </c>
      <c r="AK67" s="49">
        <v>9.744</v>
      </c>
      <c r="AL67" s="49">
        <v>0.348</v>
      </c>
      <c r="AM67" s="49">
        <v>0.119</v>
      </c>
      <c r="AN67" s="49">
        <v>0</v>
      </c>
      <c r="AO67" s="118"/>
    </row>
    <row r="68" spans="1:41" s="49" customFormat="1" ht="15.75" customHeight="1">
      <c r="A68" s="93">
        <v>235</v>
      </c>
      <c r="B68" s="3" t="s">
        <v>85</v>
      </c>
      <c r="C68" s="3">
        <f>'Сырьё лето'!C70</f>
        <v>100</v>
      </c>
      <c r="D68" s="1">
        <v>9.19</v>
      </c>
      <c r="E68" s="1">
        <f>AA68*'Сырьё лето'!$AK$70</f>
        <v>7.049</v>
      </c>
      <c r="F68" s="1">
        <f>AB68*'Сырьё лето'!$AK$70</f>
        <v>7.714</v>
      </c>
      <c r="G68" s="1">
        <f aca="true" t="shared" si="16" ref="G68:G73">F68*4+E68*9+D68*4</f>
        <v>131.057</v>
      </c>
      <c r="H68" s="1">
        <f>AD68*'Сырьё лето'!$AK$70</f>
        <v>0.041895</v>
      </c>
      <c r="I68" s="1">
        <f>AE68*'Сырьё лето'!$AK$70</f>
        <v>0.06284250000000001</v>
      </c>
      <c r="J68" s="1">
        <f>AF68*'Сырьё лето'!$AK$70</f>
        <v>3.0058</v>
      </c>
      <c r="K68" s="1">
        <f>AG68*'Сырьё лето'!$AK$70</f>
        <v>0.22610000000000002</v>
      </c>
      <c r="L68" s="1">
        <v>1.14</v>
      </c>
      <c r="M68" s="1">
        <f>AI68*'Сырьё лето'!$AK$70</f>
        <v>58.254</v>
      </c>
      <c r="N68" s="1">
        <f>AJ68*'Сырьё лето'!$AK$70</f>
        <v>154.14700000000002</v>
      </c>
      <c r="O68" s="1">
        <f>AK68*'Сырьё лето'!$AK$70</f>
        <v>22.8095</v>
      </c>
      <c r="P68" s="1">
        <v>0.97</v>
      </c>
      <c r="Q68" s="1">
        <f>AM68*'Сырьё лето'!$AK$70</f>
        <v>0.7847</v>
      </c>
      <c r="R68" s="1">
        <f>AN68*'Сырьё лето'!$AK$70</f>
        <v>0</v>
      </c>
      <c r="S68" s="118"/>
      <c r="T68" s="149"/>
      <c r="U68" s="149"/>
      <c r="V68" s="149"/>
      <c r="W68" s="149"/>
      <c r="X68" s="48" t="s">
        <v>85</v>
      </c>
      <c r="Y68" s="48">
        <v>75</v>
      </c>
      <c r="Z68" s="52">
        <v>7.66</v>
      </c>
      <c r="AA68" s="52">
        <v>5.3</v>
      </c>
      <c r="AB68" s="52">
        <v>5.8</v>
      </c>
      <c r="AC68" s="49">
        <f aca="true" t="shared" si="17" ref="AC68:AC73">AB68*4+AA68*9+Z68*4</f>
        <v>101.53999999999999</v>
      </c>
      <c r="AD68" s="52">
        <f>0.036*0.875</f>
        <v>0.0315</v>
      </c>
      <c r="AE68" s="52">
        <f>0.054*0.875</f>
        <v>0.04725</v>
      </c>
      <c r="AF68" s="52">
        <v>2.26</v>
      </c>
      <c r="AG68" s="52">
        <v>0.17</v>
      </c>
      <c r="AH68" s="52">
        <v>3.11</v>
      </c>
      <c r="AI68" s="52">
        <v>43.8</v>
      </c>
      <c r="AJ68" s="52">
        <v>115.9</v>
      </c>
      <c r="AK68" s="52">
        <v>17.15</v>
      </c>
      <c r="AL68" s="52">
        <v>1.48</v>
      </c>
      <c r="AM68" s="49">
        <v>0.59</v>
      </c>
      <c r="AO68" s="118"/>
    </row>
    <row r="69" spans="1:41" s="49" customFormat="1" ht="15.75" customHeight="1">
      <c r="A69" s="93">
        <v>310</v>
      </c>
      <c r="B69" s="3" t="s">
        <v>84</v>
      </c>
      <c r="C69" s="3">
        <f>'Сырьё лето'!C71</f>
        <v>200</v>
      </c>
      <c r="D69" s="1">
        <f>Z69*'Сырьё лето'!$AK$71</f>
        <v>3.884985</v>
      </c>
      <c r="E69" s="1">
        <f>AA69*'Сырьё лето'!$AK$71</f>
        <v>5.711472</v>
      </c>
      <c r="F69" s="1">
        <f>AB69*'Сырьё лето'!$AK$71</f>
        <v>30.421521</v>
      </c>
      <c r="G69" s="1">
        <f t="shared" si="16"/>
        <v>188.629272</v>
      </c>
      <c r="H69" s="1">
        <f>AD69*'Сырьё лето'!$AK$71</f>
        <v>0.19831499999999996</v>
      </c>
      <c r="I69" s="1">
        <f>AE69*'Сырьё лето'!$AK$71</f>
        <v>0.11898899999999997</v>
      </c>
      <c r="J69" s="1">
        <f>AF69*'Сырьё лето'!$AK$71</f>
        <v>27.764099999999996</v>
      </c>
      <c r="K69" s="1">
        <f>AG69*'Сырьё лето'!$AK$71</f>
        <v>0</v>
      </c>
      <c r="L69" s="1">
        <f>AH69*'Сырьё лето'!$AK$71</f>
        <v>0.26441999999999993</v>
      </c>
      <c r="M69" s="1">
        <f>AI69*'Сырьё лето'!$AK$71</f>
        <v>72.58328999999999</v>
      </c>
      <c r="N69" s="1">
        <f>AJ69*'Сырьё лето'!$AK$71</f>
        <v>105.37136999999998</v>
      </c>
      <c r="O69" s="1">
        <v>28.74</v>
      </c>
      <c r="P69" s="1">
        <v>1.12</v>
      </c>
      <c r="Q69" s="1">
        <f>AM69*'Сырьё лето'!$AK$71</f>
        <v>0.7722</v>
      </c>
      <c r="R69" s="1">
        <f>AN69*'Сырьё лето'!$AK$71</f>
        <v>0</v>
      </c>
      <c r="S69" s="118"/>
      <c r="T69" s="149"/>
      <c r="U69" s="149"/>
      <c r="V69" s="149"/>
      <c r="W69" s="149"/>
      <c r="X69" s="48" t="s">
        <v>84</v>
      </c>
      <c r="Y69" s="48">
        <v>170</v>
      </c>
      <c r="Z69" s="49">
        <v>3.3205</v>
      </c>
      <c r="AA69" s="49">
        <v>4.8816</v>
      </c>
      <c r="AB69" s="49">
        <v>26.0013</v>
      </c>
      <c r="AC69" s="49">
        <f t="shared" si="17"/>
        <v>161.2216</v>
      </c>
      <c r="AD69" s="49">
        <v>0.16949999999999998</v>
      </c>
      <c r="AE69" s="49">
        <v>0.10169999999999998</v>
      </c>
      <c r="AF69" s="49">
        <v>23.729999999999997</v>
      </c>
      <c r="AG69" s="49">
        <v>0</v>
      </c>
      <c r="AH69" s="49">
        <v>0.22599999999999998</v>
      </c>
      <c r="AI69" s="49">
        <v>62.03699999999999</v>
      </c>
      <c r="AJ69" s="49">
        <v>90.06099999999999</v>
      </c>
      <c r="AK69" s="49">
        <v>33.108999999999995</v>
      </c>
      <c r="AL69" s="49">
        <v>1.2994999999999999</v>
      </c>
      <c r="AM69" s="49">
        <v>0.66</v>
      </c>
      <c r="AN69" s="49">
        <v>0</v>
      </c>
      <c r="AO69" s="118"/>
    </row>
    <row r="70" spans="1:41" s="49" customFormat="1" ht="15.75" customHeight="1">
      <c r="A70" s="93" t="s">
        <v>39</v>
      </c>
      <c r="B70" s="3" t="s">
        <v>89</v>
      </c>
      <c r="C70" s="3">
        <f>'Сырьё лето'!C72</f>
        <v>200</v>
      </c>
      <c r="D70" s="1">
        <v>1.04</v>
      </c>
      <c r="E70" s="1">
        <v>0.6</v>
      </c>
      <c r="F70" s="1">
        <v>10.2</v>
      </c>
      <c r="G70" s="1">
        <f t="shared" si="16"/>
        <v>50.36</v>
      </c>
      <c r="H70" s="1">
        <v>0.2</v>
      </c>
      <c r="I70" s="1">
        <v>0.4</v>
      </c>
      <c r="J70" s="1">
        <v>8</v>
      </c>
      <c r="K70" s="1">
        <v>0.001</v>
      </c>
      <c r="L70" s="1">
        <v>6</v>
      </c>
      <c r="M70" s="1">
        <v>32</v>
      </c>
      <c r="N70" s="1">
        <v>29</v>
      </c>
      <c r="O70" s="1">
        <v>9.7</v>
      </c>
      <c r="P70" s="1">
        <v>1.2</v>
      </c>
      <c r="Q70" s="1">
        <v>0.78</v>
      </c>
      <c r="R70" s="1">
        <v>0.01</v>
      </c>
      <c r="S70" s="118"/>
      <c r="T70" s="149"/>
      <c r="U70" s="149"/>
      <c r="V70" s="149"/>
      <c r="W70" s="149"/>
      <c r="X70" s="48" t="s">
        <v>89</v>
      </c>
      <c r="Y70" s="48">
        <v>200</v>
      </c>
      <c r="Z70" s="49">
        <v>1.04</v>
      </c>
      <c r="AA70" s="49">
        <v>0.6</v>
      </c>
      <c r="AB70" s="49">
        <v>10.2</v>
      </c>
      <c r="AC70" s="49">
        <f t="shared" si="17"/>
        <v>50.36</v>
      </c>
      <c r="AD70" s="49">
        <v>0.2</v>
      </c>
      <c r="AE70" s="49">
        <v>0.4</v>
      </c>
      <c r="AF70" s="49">
        <v>8</v>
      </c>
      <c r="AG70" s="49">
        <v>0.001</v>
      </c>
      <c r="AH70" s="49">
        <v>11</v>
      </c>
      <c r="AI70" s="49">
        <v>32</v>
      </c>
      <c r="AJ70" s="49">
        <v>29</v>
      </c>
      <c r="AK70" s="49">
        <v>21</v>
      </c>
      <c r="AL70" s="49">
        <v>6.4</v>
      </c>
      <c r="AM70" s="49">
        <v>0.78</v>
      </c>
      <c r="AN70" s="49">
        <v>0.01</v>
      </c>
      <c r="AO70" s="118"/>
    </row>
    <row r="71" spans="1:41" s="49" customFormat="1" ht="15.75" customHeight="1">
      <c r="A71" s="167"/>
      <c r="B71" s="3" t="s">
        <v>4</v>
      </c>
      <c r="C71" s="3">
        <f>'Сырьё лето'!C73</f>
        <v>60</v>
      </c>
      <c r="D71" s="1">
        <f>Z71*'Сырьё лето'!$AK$73</f>
        <v>4.050000000000001</v>
      </c>
      <c r="E71" s="1">
        <f>AA71*'Сырьё лето'!$AK$73</f>
        <v>0.516</v>
      </c>
      <c r="F71" s="1">
        <f>AB71*'Сырьё лето'!$AK$73</f>
        <v>30.089999999999996</v>
      </c>
      <c r="G71" s="1">
        <f t="shared" si="16"/>
        <v>141.204</v>
      </c>
      <c r="H71" s="1">
        <f>AD71*'Сырьё лето'!$AK$73</f>
        <v>0.036000000000000004</v>
      </c>
      <c r="I71" s="1">
        <f>AE71*'Сырьё лето'!$AK$73</f>
        <v>0.0075</v>
      </c>
      <c r="J71" s="1">
        <f>AF71*'Сырьё лето'!$AK$73</f>
        <v>0</v>
      </c>
      <c r="K71" s="1">
        <f>AG71*'Сырьё лето'!$AK$73</f>
        <v>0</v>
      </c>
      <c r="L71" s="1">
        <f>AH71*'Сырьё лето'!$AK$73</f>
        <v>0.63</v>
      </c>
      <c r="M71" s="1">
        <f>AI71*'Сырьё лето'!$AK$73</f>
        <v>12</v>
      </c>
      <c r="N71" s="1">
        <f>AJ71*'Сырьё лето'!$AK$73</f>
        <v>39</v>
      </c>
      <c r="O71" s="1">
        <f>AK71*'Сырьё лето'!$AK$73</f>
        <v>8.399999999999999</v>
      </c>
      <c r="P71" s="1">
        <f>AL71*'Сырьё лето'!$AK$73</f>
        <v>0.6000000000000001</v>
      </c>
      <c r="Q71" s="1">
        <f>AM71*'Сырьё лето'!$AK$73</f>
        <v>0.44999999999999996</v>
      </c>
      <c r="R71" s="1">
        <f>AN71*'Сырьё лето'!$AK$73</f>
        <v>0</v>
      </c>
      <c r="S71" s="118"/>
      <c r="T71" s="149"/>
      <c r="U71" s="149"/>
      <c r="V71" s="149"/>
      <c r="W71" s="149"/>
      <c r="X71" s="48" t="s">
        <v>4</v>
      </c>
      <c r="Y71" s="48">
        <v>40</v>
      </c>
      <c r="Z71" s="49">
        <f>1.35*2</f>
        <v>2.7</v>
      </c>
      <c r="AA71" s="49">
        <f>0.172*2</f>
        <v>0.344</v>
      </c>
      <c r="AB71" s="49">
        <f>10.03*2</f>
        <v>20.06</v>
      </c>
      <c r="AC71" s="49">
        <f t="shared" si="17"/>
        <v>94.136</v>
      </c>
      <c r="AD71" s="49">
        <v>0.024</v>
      </c>
      <c r="AE71" s="49">
        <v>0.005</v>
      </c>
      <c r="AF71" s="49">
        <v>0</v>
      </c>
      <c r="AG71" s="49">
        <v>0</v>
      </c>
      <c r="AH71" s="49">
        <v>0.42</v>
      </c>
      <c r="AI71" s="49">
        <v>8</v>
      </c>
      <c r="AJ71" s="49">
        <v>26</v>
      </c>
      <c r="AK71" s="49">
        <v>5.6</v>
      </c>
      <c r="AL71" s="49">
        <v>0.4</v>
      </c>
      <c r="AM71" s="49">
        <v>0.3</v>
      </c>
      <c r="AN71" s="49">
        <v>0</v>
      </c>
      <c r="AO71" s="118"/>
    </row>
    <row r="72" spans="1:41" s="49" customFormat="1" ht="15.75" customHeight="1">
      <c r="A72" s="93"/>
      <c r="B72" s="3" t="s">
        <v>127</v>
      </c>
      <c r="C72" s="3">
        <f>'Сырьё лето'!C74</f>
        <v>40</v>
      </c>
      <c r="D72" s="1">
        <f>Z72*'Сырьё лето'!$AK$74</f>
        <v>1.995</v>
      </c>
      <c r="E72" s="1">
        <f>AA72*'Сырьё лето'!$AK$74</f>
        <v>0.36</v>
      </c>
      <c r="F72" s="1">
        <f>AB72*'Сырьё лето'!$AK$74</f>
        <v>12.554999999999998</v>
      </c>
      <c r="G72" s="1">
        <f t="shared" si="16"/>
        <v>61.44</v>
      </c>
      <c r="H72" s="1">
        <f>AD72*'Сырьё лето'!$AK$74</f>
        <v>0.15749999999999997</v>
      </c>
      <c r="I72" s="1">
        <f>AE72*'Сырьё лето'!$AK$74</f>
        <v>0.10499999999999997</v>
      </c>
      <c r="J72" s="1">
        <f>AF72*'Сырьё лето'!$AK$74</f>
        <v>0.20999999999999994</v>
      </c>
      <c r="K72" s="1">
        <f>AG72*'Сырьё лето'!$AK$74</f>
        <v>0</v>
      </c>
      <c r="L72" s="1">
        <f>AH72*'Сырьё лето'!$AK$74</f>
        <v>0.15749999999999997</v>
      </c>
      <c r="M72" s="1">
        <f>AI72*'Сырьё лето'!$AK$74</f>
        <v>38.324999999999996</v>
      </c>
      <c r="N72" s="1">
        <f>AJ72*'Сырьё лето'!$AK$74</f>
        <v>65.625</v>
      </c>
      <c r="O72" s="1">
        <v>11</v>
      </c>
      <c r="P72" s="1">
        <v>1.07</v>
      </c>
      <c r="Q72" s="1">
        <f>AM72*'Сырьё лето'!$AK$74</f>
        <v>0.36</v>
      </c>
      <c r="R72" s="1">
        <f>AN72*'Сырьё лето'!$AK$74</f>
        <v>0.024</v>
      </c>
      <c r="S72" s="118"/>
      <c r="T72" s="149"/>
      <c r="U72" s="149"/>
      <c r="V72" s="149"/>
      <c r="W72" s="149"/>
      <c r="X72" s="48" t="s">
        <v>127</v>
      </c>
      <c r="Y72" s="48">
        <v>25</v>
      </c>
      <c r="Z72" s="49">
        <v>1.6625</v>
      </c>
      <c r="AA72" s="49">
        <v>0.3</v>
      </c>
      <c r="AB72" s="49">
        <v>10.462499999999999</v>
      </c>
      <c r="AC72" s="49">
        <f t="shared" si="17"/>
        <v>51.199999999999996</v>
      </c>
      <c r="AD72" s="49">
        <v>0.13124999999999998</v>
      </c>
      <c r="AE72" s="49">
        <v>0.08749999999999998</v>
      </c>
      <c r="AF72" s="49">
        <v>0.17499999999999996</v>
      </c>
      <c r="AG72" s="49">
        <v>0</v>
      </c>
      <c r="AH72" s="49">
        <v>0.13124999999999998</v>
      </c>
      <c r="AI72" s="49">
        <v>31.937499999999996</v>
      </c>
      <c r="AJ72" s="49">
        <v>54.6875</v>
      </c>
      <c r="AK72" s="49">
        <v>17.5</v>
      </c>
      <c r="AL72" s="49">
        <v>1.2249999999999999</v>
      </c>
      <c r="AM72" s="49">
        <v>0.3</v>
      </c>
      <c r="AN72" s="49">
        <v>0.02</v>
      </c>
      <c r="AO72" s="118"/>
    </row>
    <row r="73" spans="1:41" s="49" customFormat="1" ht="15.75" customHeight="1">
      <c r="A73" s="93"/>
      <c r="B73" s="3" t="s">
        <v>134</v>
      </c>
      <c r="C73" s="3">
        <f>'Сырьё лето'!C75</f>
        <v>150</v>
      </c>
      <c r="D73" s="1">
        <v>0.7530120481927711</v>
      </c>
      <c r="E73" s="1">
        <v>0</v>
      </c>
      <c r="F73" s="1">
        <v>15.210843373493976</v>
      </c>
      <c r="G73" s="1">
        <f t="shared" si="16"/>
        <v>63.855421686746986</v>
      </c>
      <c r="H73" s="1">
        <v>0.015060240963855423</v>
      </c>
      <c r="I73" s="1">
        <v>0.015060240963855423</v>
      </c>
      <c r="J73" s="1">
        <v>3.0120481927710845</v>
      </c>
      <c r="K73" s="1">
        <v>0</v>
      </c>
      <c r="L73" s="1">
        <v>0.15060240963855423</v>
      </c>
      <c r="M73" s="1">
        <v>10.542168674698795</v>
      </c>
      <c r="N73" s="1">
        <v>10.542168674698795</v>
      </c>
      <c r="O73" s="1">
        <v>6.024096385542169</v>
      </c>
      <c r="P73" s="1">
        <v>1.08</v>
      </c>
      <c r="Q73" s="1">
        <v>0.03</v>
      </c>
      <c r="R73" s="1">
        <v>0</v>
      </c>
      <c r="S73" s="118"/>
      <c r="T73" s="122"/>
      <c r="U73" s="122"/>
      <c r="V73" s="122"/>
      <c r="W73" s="122"/>
      <c r="X73" s="48" t="s">
        <v>134</v>
      </c>
      <c r="Y73" s="48">
        <v>150</v>
      </c>
      <c r="Z73" s="49">
        <v>0.7530120481927711</v>
      </c>
      <c r="AA73" s="49">
        <v>0</v>
      </c>
      <c r="AB73" s="49">
        <v>15.210843373493976</v>
      </c>
      <c r="AC73" s="49">
        <f t="shared" si="17"/>
        <v>63.855421686746986</v>
      </c>
      <c r="AD73" s="49">
        <v>0.015060240963855423</v>
      </c>
      <c r="AE73" s="49">
        <v>0.015060240963855423</v>
      </c>
      <c r="AF73" s="49">
        <v>3.0120481927710845</v>
      </c>
      <c r="AG73" s="49">
        <v>0</v>
      </c>
      <c r="AH73" s="49">
        <v>0.15060240963855423</v>
      </c>
      <c r="AI73" s="49">
        <v>10.542168674698795</v>
      </c>
      <c r="AJ73" s="49">
        <v>10.542168674698795</v>
      </c>
      <c r="AK73" s="49">
        <v>6.024096385542169</v>
      </c>
      <c r="AL73" s="49">
        <v>2.108433734939759</v>
      </c>
      <c r="AM73" s="49">
        <v>0.03</v>
      </c>
      <c r="AN73" s="49">
        <v>0</v>
      </c>
      <c r="AO73" s="118"/>
    </row>
    <row r="74" spans="1:41" s="49" customFormat="1" ht="15.75" customHeight="1">
      <c r="A74" s="15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18"/>
      <c r="T74" s="122"/>
      <c r="U74" s="122"/>
      <c r="V74" s="122"/>
      <c r="W74" s="122"/>
      <c r="AO74" s="118"/>
    </row>
    <row r="75" spans="1:41" s="50" customFormat="1" ht="15.75" customHeight="1">
      <c r="A75" s="161"/>
      <c r="B75" s="162" t="s">
        <v>21</v>
      </c>
      <c r="C75" s="163">
        <f>SUM(C67:C73)</f>
        <v>850</v>
      </c>
      <c r="D75" s="163">
        <f aca="true" t="shared" si="18" ref="D75:R75">SUM(D67:D73)</f>
        <v>21.609693048192774</v>
      </c>
      <c r="E75" s="163">
        <f t="shared" si="18"/>
        <v>14.335999999999999</v>
      </c>
      <c r="F75" s="163">
        <f t="shared" si="18"/>
        <v>108.08239637349396</v>
      </c>
      <c r="G75" s="163">
        <f t="shared" si="18"/>
        <v>647.7923576867471</v>
      </c>
      <c r="H75" s="163">
        <f t="shared" si="18"/>
        <v>0.6819462409638554</v>
      </c>
      <c r="I75" s="163">
        <f t="shared" si="18"/>
        <v>0.7259797409638553</v>
      </c>
      <c r="J75" s="163">
        <f t="shared" si="18"/>
        <v>45.87194819277108</v>
      </c>
      <c r="K75" s="163">
        <f t="shared" si="18"/>
        <v>0.22710000000000002</v>
      </c>
      <c r="L75" s="163">
        <f t="shared" si="18"/>
        <v>8.442050409638554</v>
      </c>
      <c r="M75" s="163">
        <f t="shared" si="18"/>
        <v>240.62421867469877</v>
      </c>
      <c r="N75" s="163">
        <f t="shared" si="18"/>
        <v>433.5439386746988</v>
      </c>
      <c r="O75" s="163">
        <f t="shared" si="18"/>
        <v>100.60751638554216</v>
      </c>
      <c r="P75" s="163">
        <f t="shared" si="18"/>
        <v>6.53764</v>
      </c>
      <c r="Q75" s="163">
        <f t="shared" si="18"/>
        <v>3.3470699999999995</v>
      </c>
      <c r="R75" s="163">
        <f t="shared" si="18"/>
        <v>0.034</v>
      </c>
      <c r="S75" s="118"/>
      <c r="T75" s="122"/>
      <c r="U75" s="122"/>
      <c r="V75" s="122"/>
      <c r="W75" s="122"/>
      <c r="X75" s="53" t="s">
        <v>21</v>
      </c>
      <c r="Y75" s="54">
        <f>SUM(Y67:Y73)</f>
        <v>730</v>
      </c>
      <c r="Z75" s="54">
        <f aca="true" t="shared" si="19" ref="Z75:AN75">SUM(Z67:Z73)</f>
        <v>17.623212048192773</v>
      </c>
      <c r="AA75" s="54">
        <f t="shared" si="19"/>
        <v>11.4952</v>
      </c>
      <c r="AB75" s="54">
        <f t="shared" si="19"/>
        <v>89.05704337349398</v>
      </c>
      <c r="AC75" s="54">
        <f t="shared" si="19"/>
        <v>530.1778216867469</v>
      </c>
      <c r="AD75" s="54">
        <f t="shared" si="19"/>
        <v>0.5945102409638554</v>
      </c>
      <c r="AE75" s="54">
        <f t="shared" si="19"/>
        <v>0.6681102409638554</v>
      </c>
      <c r="AF75" s="54">
        <f t="shared" si="19"/>
        <v>40.58744819277108</v>
      </c>
      <c r="AG75" s="54">
        <f t="shared" si="19"/>
        <v>0.171</v>
      </c>
      <c r="AH75" s="54">
        <f t="shared" si="19"/>
        <v>15.107452409638553</v>
      </c>
      <c r="AI75" s="54">
        <f t="shared" si="19"/>
        <v>200.14866867469877</v>
      </c>
      <c r="AJ75" s="54">
        <f t="shared" si="19"/>
        <v>347.0706686746988</v>
      </c>
      <c r="AK75" s="54">
        <f t="shared" si="19"/>
        <v>110.12709638554215</v>
      </c>
      <c r="AL75" s="54">
        <f t="shared" si="19"/>
        <v>13.260933734939758</v>
      </c>
      <c r="AM75" s="54">
        <f t="shared" si="19"/>
        <v>2.7789999999999995</v>
      </c>
      <c r="AN75" s="54">
        <f t="shared" si="19"/>
        <v>0.03</v>
      </c>
      <c r="AO75" s="118"/>
    </row>
    <row r="76" spans="1:41" ht="15.75" customHeight="1">
      <c r="A76" s="93"/>
      <c r="B76" s="174" t="s">
        <v>98</v>
      </c>
      <c r="C76" s="174"/>
      <c r="D76" s="1">
        <v>22.5</v>
      </c>
      <c r="E76" s="1">
        <v>23</v>
      </c>
      <c r="F76" s="1">
        <v>95.75</v>
      </c>
      <c r="G76" s="1">
        <v>678.25</v>
      </c>
      <c r="H76" s="1">
        <v>0.35</v>
      </c>
      <c r="I76" s="1">
        <v>0.4</v>
      </c>
      <c r="J76" s="1">
        <v>17.5</v>
      </c>
      <c r="K76" s="1">
        <v>0.23</v>
      </c>
      <c r="L76" s="1">
        <v>3</v>
      </c>
      <c r="M76" s="1">
        <v>300</v>
      </c>
      <c r="N76" s="1">
        <v>450</v>
      </c>
      <c r="O76" s="1">
        <v>75</v>
      </c>
      <c r="P76" s="1">
        <v>4.25</v>
      </c>
      <c r="Q76" s="1">
        <v>3.5</v>
      </c>
      <c r="R76" s="1">
        <v>0.025</v>
      </c>
      <c r="S76" s="118"/>
      <c r="X76" s="55" t="s">
        <v>98</v>
      </c>
      <c r="Y76" s="55"/>
      <c r="Z76" s="56">
        <v>19.25</v>
      </c>
      <c r="AA76" s="56">
        <v>19.75</v>
      </c>
      <c r="AB76" s="56">
        <v>83.75</v>
      </c>
      <c r="AC76" s="56">
        <v>587.5</v>
      </c>
      <c r="AD76" s="56">
        <v>0.3</v>
      </c>
      <c r="AE76" s="56">
        <v>0.35</v>
      </c>
      <c r="AF76" s="56">
        <v>15</v>
      </c>
      <c r="AG76" s="56">
        <v>0.175</v>
      </c>
      <c r="AH76" s="56">
        <v>2.5</v>
      </c>
      <c r="AI76" s="56">
        <v>275</v>
      </c>
      <c r="AJ76" s="56">
        <v>412.5</v>
      </c>
      <c r="AK76" s="56">
        <v>62.5</v>
      </c>
      <c r="AL76" s="56">
        <v>3</v>
      </c>
      <c r="AM76" s="56">
        <v>2.5</v>
      </c>
      <c r="AN76" s="56">
        <v>0.025</v>
      </c>
      <c r="AO76" s="118"/>
    </row>
    <row r="77" spans="1:41" ht="15.75" customHeight="1">
      <c r="A77" s="211" t="s">
        <v>115</v>
      </c>
      <c r="B77" s="21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8"/>
      <c r="X77" s="122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118"/>
    </row>
    <row r="78" spans="1:41" s="49" customFormat="1" ht="15.75" customHeight="1">
      <c r="A78" s="93"/>
      <c r="B78" s="3" t="s">
        <v>130</v>
      </c>
      <c r="C78" s="3">
        <f>'Сырьё лето'!C80</f>
        <v>100</v>
      </c>
      <c r="D78" s="1">
        <f>Z78*'Сырьё лето'!$AK$80</f>
        <v>0.69825</v>
      </c>
      <c r="E78" s="1">
        <v>0.0798</v>
      </c>
      <c r="F78" s="1">
        <v>1.5162</v>
      </c>
      <c r="G78" s="1">
        <f>F78*4+E78*9+D78*4</f>
        <v>9.576</v>
      </c>
      <c r="H78" s="1">
        <v>0.026600000000000002</v>
      </c>
      <c r="I78" s="1">
        <v>0.013300000000000001</v>
      </c>
      <c r="J78" s="1">
        <v>3.88</v>
      </c>
      <c r="K78" s="1">
        <v>0</v>
      </c>
      <c r="L78" s="1">
        <v>0.0798</v>
      </c>
      <c r="M78" s="1">
        <v>13.565999999999999</v>
      </c>
      <c r="N78" s="1">
        <v>23.94</v>
      </c>
      <c r="O78" s="1">
        <v>11.172</v>
      </c>
      <c r="P78" s="1">
        <v>0.399</v>
      </c>
      <c r="Q78" s="1">
        <v>0.136</v>
      </c>
      <c r="R78" s="1">
        <v>0</v>
      </c>
      <c r="S78" s="118"/>
      <c r="T78" s="149"/>
      <c r="U78" s="149"/>
      <c r="V78" s="149"/>
      <c r="W78" s="149"/>
      <c r="X78" s="48" t="s">
        <v>130</v>
      </c>
      <c r="Y78" s="48">
        <v>80</v>
      </c>
      <c r="Z78" s="49">
        <v>0.5586</v>
      </c>
      <c r="AA78" s="49">
        <v>0.0798</v>
      </c>
      <c r="AB78" s="49">
        <v>1.5162</v>
      </c>
      <c r="AC78" s="49">
        <f>AB78*4+AA78*9+Z78*4</f>
        <v>9.017399999999999</v>
      </c>
      <c r="AD78" s="49">
        <v>0.026600000000000002</v>
      </c>
      <c r="AE78" s="49">
        <v>0.013300000000000001</v>
      </c>
      <c r="AF78" s="49">
        <v>3.9102</v>
      </c>
      <c r="AG78" s="49">
        <v>0</v>
      </c>
      <c r="AH78" s="49">
        <v>0.0798</v>
      </c>
      <c r="AI78" s="49">
        <v>13.565999999999999</v>
      </c>
      <c r="AJ78" s="49">
        <v>23.94</v>
      </c>
      <c r="AK78" s="49">
        <v>11.172</v>
      </c>
      <c r="AL78" s="49">
        <v>0.399</v>
      </c>
      <c r="AM78" s="49">
        <v>0.136</v>
      </c>
      <c r="AN78" s="49">
        <v>0</v>
      </c>
      <c r="AO78" s="118"/>
    </row>
    <row r="79" spans="1:41" s="49" customFormat="1" ht="15.75" customHeight="1">
      <c r="A79" s="93">
        <v>278</v>
      </c>
      <c r="B79" s="3" t="s">
        <v>73</v>
      </c>
      <c r="C79" s="3">
        <f>'Сырьё лето'!C81</f>
        <v>100</v>
      </c>
      <c r="D79" s="1">
        <f>Z79*'Сырьё лето'!$AK$81</f>
        <v>6.404999999999999</v>
      </c>
      <c r="E79" s="1">
        <v>4.77</v>
      </c>
      <c r="F79" s="1">
        <v>5.59</v>
      </c>
      <c r="G79" s="1">
        <f aca="true" t="shared" si="20" ref="G79:G85">F79*4+E79*9+D79*4</f>
        <v>90.91</v>
      </c>
      <c r="H79" s="1">
        <v>0.02</v>
      </c>
      <c r="I79" s="1">
        <v>0.03</v>
      </c>
      <c r="J79" s="1">
        <v>0.39</v>
      </c>
      <c r="K79" s="1">
        <v>0.18</v>
      </c>
      <c r="L79" s="1">
        <v>0</v>
      </c>
      <c r="M79" s="1">
        <v>15.2</v>
      </c>
      <c r="N79" s="1">
        <v>48.2</v>
      </c>
      <c r="O79" s="1">
        <v>9.99</v>
      </c>
      <c r="P79" s="1">
        <v>0.47</v>
      </c>
      <c r="Q79" s="1">
        <v>0.96</v>
      </c>
      <c r="R79" s="1">
        <v>0</v>
      </c>
      <c r="S79" s="118"/>
      <c r="T79" s="149"/>
      <c r="U79" s="149"/>
      <c r="V79" s="149"/>
      <c r="W79" s="149"/>
      <c r="X79" s="48" t="s">
        <v>73</v>
      </c>
      <c r="Y79" s="48">
        <v>60</v>
      </c>
      <c r="Z79" s="49">
        <v>4.27</v>
      </c>
      <c r="AA79" s="49">
        <v>4.77</v>
      </c>
      <c r="AB79" s="49">
        <v>5.59</v>
      </c>
      <c r="AC79" s="49">
        <f aca="true" t="shared" si="21" ref="AC79:AC85">AB79*4+AA79*9+Z79*4</f>
        <v>82.36999999999999</v>
      </c>
      <c r="AD79" s="49">
        <v>0.02</v>
      </c>
      <c r="AE79" s="49">
        <v>0.03</v>
      </c>
      <c r="AF79" s="49">
        <v>0.39</v>
      </c>
      <c r="AG79" s="49">
        <v>0.18</v>
      </c>
      <c r="AH79" s="49">
        <v>0</v>
      </c>
      <c r="AI79" s="49">
        <v>15.2</v>
      </c>
      <c r="AJ79" s="49">
        <v>48.2</v>
      </c>
      <c r="AK79" s="49">
        <v>9.99</v>
      </c>
      <c r="AL79" s="49">
        <v>0.47</v>
      </c>
      <c r="AM79" s="49">
        <v>0.96</v>
      </c>
      <c r="AN79" s="49">
        <v>0</v>
      </c>
      <c r="AO79" s="118"/>
    </row>
    <row r="80" spans="1:41" s="49" customFormat="1" ht="15.75" customHeight="1">
      <c r="A80" s="156">
        <v>330</v>
      </c>
      <c r="B80" s="3" t="s">
        <v>72</v>
      </c>
      <c r="C80" s="3">
        <f>'Сырьё лето'!C82</f>
        <v>50</v>
      </c>
      <c r="D80" s="1">
        <f>Z80*'Сырьё лето'!$AK$82</f>
        <v>0</v>
      </c>
      <c r="E80" s="1">
        <v>2.49</v>
      </c>
      <c r="F80" s="1">
        <v>2.93</v>
      </c>
      <c r="G80" s="1">
        <f t="shared" si="20"/>
        <v>34.13</v>
      </c>
      <c r="H80" s="1">
        <v>0.01</v>
      </c>
      <c r="I80" s="1">
        <v>0.01</v>
      </c>
      <c r="J80" s="1">
        <v>0.019</v>
      </c>
      <c r="K80" s="1">
        <v>0.07</v>
      </c>
      <c r="L80" s="1">
        <v>0</v>
      </c>
      <c r="M80" s="1">
        <v>13.65</v>
      </c>
      <c r="N80" s="1">
        <v>11.36</v>
      </c>
      <c r="O80" s="1">
        <v>2.64</v>
      </c>
      <c r="P80" s="1">
        <v>0.1</v>
      </c>
      <c r="Q80" s="1">
        <v>0.13</v>
      </c>
      <c r="R80" s="1">
        <v>0</v>
      </c>
      <c r="S80" s="118"/>
      <c r="T80" s="149"/>
      <c r="U80" s="149"/>
      <c r="V80" s="149"/>
      <c r="W80" s="149"/>
      <c r="X80" s="48" t="s">
        <v>72</v>
      </c>
      <c r="Y80" s="48">
        <v>50</v>
      </c>
      <c r="Z80" s="49">
        <v>0.7</v>
      </c>
      <c r="AA80" s="49">
        <v>2.49</v>
      </c>
      <c r="AB80" s="49">
        <v>2.93</v>
      </c>
      <c r="AC80" s="49">
        <f t="shared" si="21"/>
        <v>36.93</v>
      </c>
      <c r="AD80" s="49">
        <v>0.01</v>
      </c>
      <c r="AE80" s="49">
        <v>0.01</v>
      </c>
      <c r="AF80" s="49">
        <v>0.019</v>
      </c>
      <c r="AG80" s="49">
        <v>0.17</v>
      </c>
      <c r="AH80" s="49">
        <v>0</v>
      </c>
      <c r="AI80" s="49">
        <v>13.65</v>
      </c>
      <c r="AJ80" s="49">
        <v>11.36</v>
      </c>
      <c r="AK80" s="49">
        <v>2.64</v>
      </c>
      <c r="AL80" s="49">
        <v>0.1</v>
      </c>
      <c r="AM80" s="49">
        <v>0.13</v>
      </c>
      <c r="AN80" s="49">
        <v>0</v>
      </c>
      <c r="AO80" s="118"/>
    </row>
    <row r="81" spans="1:41" s="49" customFormat="1" ht="15.75" customHeight="1">
      <c r="A81" s="93">
        <v>302</v>
      </c>
      <c r="B81" s="3" t="s">
        <v>131</v>
      </c>
      <c r="C81" s="3">
        <f>'Сырьё лето'!C83</f>
        <v>210</v>
      </c>
      <c r="D81" s="1">
        <v>9.92</v>
      </c>
      <c r="E81" s="160">
        <v>3.6</v>
      </c>
      <c r="F81" s="160">
        <v>39</v>
      </c>
      <c r="G81" s="1">
        <v>208.08</v>
      </c>
      <c r="H81" s="160">
        <v>0.18</v>
      </c>
      <c r="I81" s="160">
        <v>0.1</v>
      </c>
      <c r="J81" s="160">
        <v>0</v>
      </c>
      <c r="K81" s="160">
        <v>0.25</v>
      </c>
      <c r="L81" s="160">
        <v>0.44</v>
      </c>
      <c r="M81" s="160">
        <v>23.55</v>
      </c>
      <c r="N81" s="160">
        <v>185.6</v>
      </c>
      <c r="O81" s="160">
        <v>4.6</v>
      </c>
      <c r="P81" s="160">
        <v>1.2</v>
      </c>
      <c r="Q81" s="1">
        <v>1.1</v>
      </c>
      <c r="R81" s="1">
        <v>0</v>
      </c>
      <c r="S81" s="118"/>
      <c r="T81" s="149"/>
      <c r="U81" s="149"/>
      <c r="V81" s="149"/>
      <c r="W81" s="149"/>
      <c r="X81" s="48" t="s">
        <v>131</v>
      </c>
      <c r="Y81" s="48">
        <v>150</v>
      </c>
      <c r="Z81" s="52">
        <v>7.8</v>
      </c>
      <c r="AA81" s="52">
        <v>3.6</v>
      </c>
      <c r="AB81" s="52">
        <v>39</v>
      </c>
      <c r="AC81" s="49">
        <f t="shared" si="21"/>
        <v>219.6</v>
      </c>
      <c r="AD81" s="52">
        <v>0.18</v>
      </c>
      <c r="AE81" s="52">
        <v>0.1</v>
      </c>
      <c r="AF81" s="52">
        <v>0</v>
      </c>
      <c r="AG81" s="52">
        <v>0.35</v>
      </c>
      <c r="AH81" s="52">
        <v>0.44</v>
      </c>
      <c r="AI81" s="52">
        <v>23.55</v>
      </c>
      <c r="AJ81" s="52">
        <v>185.6</v>
      </c>
      <c r="AK81" s="52">
        <v>123.9</v>
      </c>
      <c r="AL81" s="52">
        <v>4.2</v>
      </c>
      <c r="AM81" s="49">
        <v>1.1</v>
      </c>
      <c r="AN81" s="49">
        <v>0</v>
      </c>
      <c r="AO81" s="118"/>
    </row>
    <row r="82" spans="1:41" s="49" customFormat="1" ht="15.75" customHeight="1">
      <c r="A82" s="93">
        <v>342</v>
      </c>
      <c r="B82" s="3" t="s">
        <v>92</v>
      </c>
      <c r="C82" s="3">
        <f>'Сырьё лето'!C84</f>
        <v>200</v>
      </c>
      <c r="D82" s="1">
        <v>0.6</v>
      </c>
      <c r="E82" s="1">
        <v>0.4</v>
      </c>
      <c r="F82" s="1">
        <v>10.4</v>
      </c>
      <c r="G82" s="1">
        <f t="shared" si="20"/>
        <v>47.6</v>
      </c>
      <c r="H82" s="1">
        <v>0.02</v>
      </c>
      <c r="I82" s="1">
        <v>0.04</v>
      </c>
      <c r="J82" s="1">
        <v>3.4</v>
      </c>
      <c r="K82" s="1">
        <v>0</v>
      </c>
      <c r="L82" s="1">
        <v>0.4</v>
      </c>
      <c r="M82" s="1">
        <v>21.2</v>
      </c>
      <c r="N82" s="1">
        <v>22.6</v>
      </c>
      <c r="O82" s="1">
        <v>14.6</v>
      </c>
      <c r="P82" s="1">
        <v>1.2</v>
      </c>
      <c r="Q82" s="1">
        <v>0.12</v>
      </c>
      <c r="R82" s="1">
        <v>0</v>
      </c>
      <c r="S82" s="118"/>
      <c r="T82" s="149"/>
      <c r="U82" s="149"/>
      <c r="V82" s="149"/>
      <c r="W82" s="149"/>
      <c r="X82" s="48" t="s">
        <v>92</v>
      </c>
      <c r="Y82" s="48">
        <v>200</v>
      </c>
      <c r="Z82" s="49">
        <v>0.6</v>
      </c>
      <c r="AA82" s="49">
        <v>0.4</v>
      </c>
      <c r="AB82" s="49">
        <v>10.4</v>
      </c>
      <c r="AC82" s="49">
        <f t="shared" si="21"/>
        <v>47.6</v>
      </c>
      <c r="AD82" s="49">
        <v>0.02</v>
      </c>
      <c r="AE82" s="49">
        <v>0.04</v>
      </c>
      <c r="AF82" s="49">
        <v>3.4</v>
      </c>
      <c r="AG82" s="49">
        <v>0</v>
      </c>
      <c r="AH82" s="49">
        <v>0.4</v>
      </c>
      <c r="AI82" s="49">
        <v>21.2</v>
      </c>
      <c r="AJ82" s="49">
        <v>22.6</v>
      </c>
      <c r="AK82" s="49">
        <v>14.6</v>
      </c>
      <c r="AL82" s="49">
        <v>3.2</v>
      </c>
      <c r="AM82" s="49">
        <v>0.12</v>
      </c>
      <c r="AN82" s="49">
        <v>0</v>
      </c>
      <c r="AO82" s="118"/>
    </row>
    <row r="83" spans="1:41" s="49" customFormat="1" ht="15.75" customHeight="1">
      <c r="A83" s="93"/>
      <c r="B83" s="3" t="s">
        <v>127</v>
      </c>
      <c r="C83" s="3">
        <f>'Сырьё лето'!C85</f>
        <v>40</v>
      </c>
      <c r="D83" s="1">
        <f>Z83*'Сырьё лето'!$AK$85</f>
        <v>1.995</v>
      </c>
      <c r="E83" s="1">
        <v>0.3</v>
      </c>
      <c r="F83" s="1">
        <v>10.462499999999999</v>
      </c>
      <c r="G83" s="1">
        <f t="shared" si="20"/>
        <v>52.53</v>
      </c>
      <c r="H83" s="1">
        <v>0.13124999999999998</v>
      </c>
      <c r="I83" s="1">
        <v>0.08749999999999998</v>
      </c>
      <c r="J83" s="1">
        <v>0.17499999999999996</v>
      </c>
      <c r="K83" s="1">
        <v>0</v>
      </c>
      <c r="L83" s="1">
        <v>0.13124999999999998</v>
      </c>
      <c r="M83" s="1">
        <v>31.937499999999996</v>
      </c>
      <c r="N83" s="1">
        <v>54.6875</v>
      </c>
      <c r="O83" s="1">
        <v>9</v>
      </c>
      <c r="P83" s="1">
        <v>1.07</v>
      </c>
      <c r="Q83" s="1">
        <v>0.3</v>
      </c>
      <c r="R83" s="1">
        <v>0.02</v>
      </c>
      <c r="S83" s="118"/>
      <c r="T83" s="149"/>
      <c r="U83" s="149"/>
      <c r="V83" s="149"/>
      <c r="W83" s="149"/>
      <c r="X83" s="48" t="s">
        <v>127</v>
      </c>
      <c r="Y83" s="48">
        <v>25</v>
      </c>
      <c r="Z83" s="49">
        <v>1.6625</v>
      </c>
      <c r="AA83" s="49">
        <v>0.3</v>
      </c>
      <c r="AB83" s="49">
        <v>10.462499999999999</v>
      </c>
      <c r="AC83" s="49">
        <f t="shared" si="21"/>
        <v>51.199999999999996</v>
      </c>
      <c r="AD83" s="49">
        <v>0.13124999999999998</v>
      </c>
      <c r="AE83" s="49">
        <v>0.08749999999999998</v>
      </c>
      <c r="AF83" s="49">
        <v>0.17499999999999996</v>
      </c>
      <c r="AG83" s="49">
        <v>0</v>
      </c>
      <c r="AH83" s="49">
        <v>0.13124999999999998</v>
      </c>
      <c r="AI83" s="49">
        <v>31.937499999999996</v>
      </c>
      <c r="AJ83" s="49">
        <v>54.6875</v>
      </c>
      <c r="AK83" s="49">
        <v>17.5</v>
      </c>
      <c r="AL83" s="49">
        <v>1.2249999999999999</v>
      </c>
      <c r="AM83" s="49">
        <v>0.3</v>
      </c>
      <c r="AN83" s="49">
        <v>0.02</v>
      </c>
      <c r="AO83" s="118"/>
    </row>
    <row r="84" spans="1:41" s="49" customFormat="1" ht="15.75" customHeight="1">
      <c r="A84" s="167"/>
      <c r="B84" s="3" t="s">
        <v>4</v>
      </c>
      <c r="C84" s="3">
        <f>'Сырьё лето'!C86</f>
        <v>60</v>
      </c>
      <c r="D84" s="1">
        <f>Z84*'Сырьё лето'!$AK$86</f>
        <v>4.050000000000001</v>
      </c>
      <c r="E84" s="1">
        <f>AA84*'Сырьё лето'!$AK$86</f>
        <v>0.516</v>
      </c>
      <c r="F84" s="1">
        <f>AB84*'Сырьё лето'!$AK$86</f>
        <v>30.089999999999996</v>
      </c>
      <c r="G84" s="1">
        <f t="shared" si="20"/>
        <v>141.204</v>
      </c>
      <c r="H84" s="1">
        <v>0.024</v>
      </c>
      <c r="I84" s="1">
        <v>0.005</v>
      </c>
      <c r="J84" s="1">
        <v>0</v>
      </c>
      <c r="K84" s="1">
        <v>0</v>
      </c>
      <c r="L84" s="1">
        <v>0.42</v>
      </c>
      <c r="M84" s="1">
        <v>8</v>
      </c>
      <c r="N84" s="1">
        <v>26</v>
      </c>
      <c r="O84" s="1">
        <v>5.6</v>
      </c>
      <c r="P84" s="1">
        <v>0.4</v>
      </c>
      <c r="Q84" s="1">
        <v>0.3</v>
      </c>
      <c r="R84" s="1">
        <v>0</v>
      </c>
      <c r="S84" s="118"/>
      <c r="T84" s="149"/>
      <c r="U84" s="149"/>
      <c r="V84" s="149"/>
      <c r="W84" s="149"/>
      <c r="X84" s="48" t="s">
        <v>4</v>
      </c>
      <c r="Y84" s="48">
        <v>40</v>
      </c>
      <c r="Z84" s="49">
        <f>1.35*2</f>
        <v>2.7</v>
      </c>
      <c r="AA84" s="49">
        <f>0.172*2</f>
        <v>0.344</v>
      </c>
      <c r="AB84" s="49">
        <f>10.03*2</f>
        <v>20.06</v>
      </c>
      <c r="AC84" s="49">
        <f t="shared" si="21"/>
        <v>94.136</v>
      </c>
      <c r="AD84" s="49">
        <v>0.024</v>
      </c>
      <c r="AE84" s="49">
        <v>0.005</v>
      </c>
      <c r="AF84" s="49">
        <v>0</v>
      </c>
      <c r="AG84" s="49">
        <v>0</v>
      </c>
      <c r="AH84" s="49">
        <v>0.42</v>
      </c>
      <c r="AI84" s="49">
        <v>8</v>
      </c>
      <c r="AJ84" s="49">
        <v>26</v>
      </c>
      <c r="AK84" s="49">
        <v>5.6</v>
      </c>
      <c r="AL84" s="49">
        <v>0.4</v>
      </c>
      <c r="AM84" s="49">
        <v>0.3</v>
      </c>
      <c r="AN84" s="49">
        <v>0</v>
      </c>
      <c r="AO84" s="118"/>
    </row>
    <row r="85" spans="1:41" ht="15.75" customHeight="1">
      <c r="A85" s="168"/>
      <c r="B85" s="169" t="s">
        <v>129</v>
      </c>
      <c r="C85" s="3">
        <f>'Сырьё лето'!C87</f>
        <v>37</v>
      </c>
      <c r="D85" s="1">
        <f>7.5*0.25</f>
        <v>1.875</v>
      </c>
      <c r="E85" s="1">
        <f>18*0.25</f>
        <v>4.5</v>
      </c>
      <c r="F85" s="1">
        <f>67*0.25</f>
        <v>16.75</v>
      </c>
      <c r="G85" s="1">
        <f t="shared" si="20"/>
        <v>115</v>
      </c>
      <c r="H85" s="1">
        <v>0.03</v>
      </c>
      <c r="I85" s="1">
        <v>0.004</v>
      </c>
      <c r="J85" s="1">
        <v>0</v>
      </c>
      <c r="K85" s="1">
        <v>0.2</v>
      </c>
      <c r="L85" s="1">
        <v>0</v>
      </c>
      <c r="M85" s="1">
        <v>7.24</v>
      </c>
      <c r="N85" s="1">
        <v>26.87</v>
      </c>
      <c r="O85" s="1">
        <v>5.5</v>
      </c>
      <c r="P85" s="1">
        <v>0.45</v>
      </c>
      <c r="Q85" s="1">
        <v>0</v>
      </c>
      <c r="R85" s="1">
        <v>0</v>
      </c>
      <c r="S85" s="118"/>
      <c r="X85" s="62" t="s">
        <v>129</v>
      </c>
      <c r="Y85" s="62">
        <v>25</v>
      </c>
      <c r="Z85" s="44">
        <f>7.5*0.25</f>
        <v>1.875</v>
      </c>
      <c r="AA85" s="44">
        <f>18*0.25</f>
        <v>4.5</v>
      </c>
      <c r="AB85" s="44">
        <f>67*0.25</f>
        <v>16.75</v>
      </c>
      <c r="AC85" s="49">
        <f t="shared" si="21"/>
        <v>115</v>
      </c>
      <c r="AD85" s="44">
        <v>0.03</v>
      </c>
      <c r="AE85" s="44">
        <v>0.004</v>
      </c>
      <c r="AF85" s="44">
        <v>0</v>
      </c>
      <c r="AG85" s="44">
        <v>0.2</v>
      </c>
      <c r="AH85" s="44">
        <v>0</v>
      </c>
      <c r="AI85" s="44">
        <v>7.24</v>
      </c>
      <c r="AJ85" s="44">
        <v>26.87</v>
      </c>
      <c r="AK85" s="44">
        <v>5.5</v>
      </c>
      <c r="AL85" s="44">
        <v>0.45</v>
      </c>
      <c r="AM85" s="49">
        <v>0</v>
      </c>
      <c r="AN85" s="49">
        <v>0</v>
      </c>
      <c r="AO85" s="118"/>
    </row>
    <row r="86" spans="1:41" s="50" customFormat="1" ht="15.75" customHeight="1">
      <c r="A86" s="9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18"/>
      <c r="T86" s="122"/>
      <c r="U86" s="122"/>
      <c r="V86" s="122"/>
      <c r="W86" s="122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118"/>
    </row>
    <row r="87" spans="1:41" ht="15.75" customHeight="1">
      <c r="A87" s="161"/>
      <c r="B87" s="166" t="s">
        <v>21</v>
      </c>
      <c r="C87" s="163">
        <f>SUM(C78:C85)</f>
        <v>797</v>
      </c>
      <c r="D87" s="163">
        <f aca="true" t="shared" si="22" ref="D87:R87">SUM(D78:D85)</f>
        <v>25.54325</v>
      </c>
      <c r="E87" s="163">
        <f t="shared" si="22"/>
        <v>16.6558</v>
      </c>
      <c r="F87" s="163">
        <f t="shared" si="22"/>
        <v>116.7387</v>
      </c>
      <c r="G87" s="163">
        <f t="shared" si="22"/>
        <v>699.03</v>
      </c>
      <c r="H87" s="163">
        <f t="shared" si="22"/>
        <v>0.44184999999999997</v>
      </c>
      <c r="I87" s="163">
        <f t="shared" si="22"/>
        <v>0.2898</v>
      </c>
      <c r="J87" s="163">
        <f t="shared" si="22"/>
        <v>7.864</v>
      </c>
      <c r="K87" s="163">
        <f t="shared" si="22"/>
        <v>0.7</v>
      </c>
      <c r="L87" s="163">
        <f t="shared" si="22"/>
        <v>1.47105</v>
      </c>
      <c r="M87" s="163">
        <f t="shared" si="22"/>
        <v>134.3435</v>
      </c>
      <c r="N87" s="163">
        <f t="shared" si="22"/>
        <v>399.25750000000005</v>
      </c>
      <c r="O87" s="163">
        <f t="shared" si="22"/>
        <v>63.102000000000004</v>
      </c>
      <c r="P87" s="163">
        <f t="shared" si="22"/>
        <v>5.289000000000001</v>
      </c>
      <c r="Q87" s="163">
        <f t="shared" si="22"/>
        <v>3.046</v>
      </c>
      <c r="R87" s="163">
        <f t="shared" si="22"/>
        <v>0.02</v>
      </c>
      <c r="S87" s="118"/>
      <c r="X87" s="61" t="s">
        <v>21</v>
      </c>
      <c r="Y87" s="54">
        <f>SUM(Y78:Y85)</f>
        <v>630</v>
      </c>
      <c r="Z87" s="54">
        <f aca="true" t="shared" si="23" ref="Z87:AN87">SUM(Z78:Z85)</f>
        <v>20.1661</v>
      </c>
      <c r="AA87" s="54">
        <f t="shared" si="23"/>
        <v>16.483800000000002</v>
      </c>
      <c r="AB87" s="54">
        <f t="shared" si="23"/>
        <v>106.7087</v>
      </c>
      <c r="AC87" s="54">
        <f t="shared" si="23"/>
        <v>655.8534</v>
      </c>
      <c r="AD87" s="54">
        <f t="shared" si="23"/>
        <v>0.44184999999999997</v>
      </c>
      <c r="AE87" s="54">
        <f t="shared" si="23"/>
        <v>0.2898</v>
      </c>
      <c r="AF87" s="54">
        <f t="shared" si="23"/>
        <v>7.8942000000000005</v>
      </c>
      <c r="AG87" s="54">
        <f t="shared" si="23"/>
        <v>0.8999999999999999</v>
      </c>
      <c r="AH87" s="54">
        <f t="shared" si="23"/>
        <v>1.47105</v>
      </c>
      <c r="AI87" s="54">
        <f t="shared" si="23"/>
        <v>134.3435</v>
      </c>
      <c r="AJ87" s="54">
        <f t="shared" si="23"/>
        <v>399.25750000000005</v>
      </c>
      <c r="AK87" s="54">
        <f t="shared" si="23"/>
        <v>190.902</v>
      </c>
      <c r="AL87" s="54">
        <f t="shared" si="23"/>
        <v>10.443999999999999</v>
      </c>
      <c r="AM87" s="54">
        <f t="shared" si="23"/>
        <v>3.046</v>
      </c>
      <c r="AN87" s="54">
        <f t="shared" si="23"/>
        <v>0.02</v>
      </c>
      <c r="AO87" s="118"/>
    </row>
    <row r="88" spans="1:41" ht="15.75" customHeight="1">
      <c r="A88" s="155"/>
      <c r="B88" s="174" t="s">
        <v>98</v>
      </c>
      <c r="C88" s="174"/>
      <c r="D88" s="1">
        <v>22.5</v>
      </c>
      <c r="E88" s="1">
        <v>23</v>
      </c>
      <c r="F88" s="1">
        <v>95.75</v>
      </c>
      <c r="G88" s="1">
        <v>678.25</v>
      </c>
      <c r="H88" s="1">
        <v>0.35</v>
      </c>
      <c r="I88" s="1">
        <v>0.4</v>
      </c>
      <c r="J88" s="1">
        <v>17.5</v>
      </c>
      <c r="K88" s="1">
        <v>0.23</v>
      </c>
      <c r="L88" s="1">
        <v>3</v>
      </c>
      <c r="M88" s="1">
        <v>300</v>
      </c>
      <c r="N88" s="1">
        <v>450</v>
      </c>
      <c r="O88" s="1">
        <v>75</v>
      </c>
      <c r="P88" s="1">
        <v>4.25</v>
      </c>
      <c r="Q88" s="1">
        <v>3.5</v>
      </c>
      <c r="R88" s="1">
        <v>0.025</v>
      </c>
      <c r="S88" s="118"/>
      <c r="X88" s="55" t="s">
        <v>98</v>
      </c>
      <c r="Y88" s="55"/>
      <c r="Z88" s="56">
        <v>19.25</v>
      </c>
      <c r="AA88" s="56">
        <v>19.75</v>
      </c>
      <c r="AB88" s="56">
        <v>83.75</v>
      </c>
      <c r="AC88" s="56">
        <v>587.5</v>
      </c>
      <c r="AD88" s="56">
        <v>0.3</v>
      </c>
      <c r="AE88" s="56">
        <v>0.35</v>
      </c>
      <c r="AF88" s="56">
        <v>15</v>
      </c>
      <c r="AG88" s="56">
        <v>0.175</v>
      </c>
      <c r="AH88" s="56">
        <v>2.5</v>
      </c>
      <c r="AI88" s="56">
        <v>275</v>
      </c>
      <c r="AJ88" s="56">
        <v>412.5</v>
      </c>
      <c r="AK88" s="56">
        <v>62.5</v>
      </c>
      <c r="AL88" s="56">
        <v>3</v>
      </c>
      <c r="AM88" s="56">
        <v>2.5</v>
      </c>
      <c r="AN88" s="56">
        <v>0.025</v>
      </c>
      <c r="AO88" s="118"/>
    </row>
    <row r="89" spans="1:41" s="49" customFormat="1" ht="15.75" customHeight="1">
      <c r="A89" s="211" t="s">
        <v>116</v>
      </c>
      <c r="B89" s="21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8"/>
      <c r="T89" s="122"/>
      <c r="U89" s="122"/>
      <c r="V89" s="122"/>
      <c r="W89" s="122"/>
      <c r="X89" s="12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118"/>
    </row>
    <row r="90" spans="1:41" s="49" customFormat="1" ht="15.75" customHeight="1">
      <c r="A90" s="93">
        <v>222</v>
      </c>
      <c r="B90" s="3" t="s">
        <v>69</v>
      </c>
      <c r="C90" s="3">
        <f>'Сырьё лето'!C92</f>
        <v>200</v>
      </c>
      <c r="D90" s="1">
        <v>15.6</v>
      </c>
      <c r="E90" s="1">
        <f>AA90*'Сырьё лето'!$AK$92</f>
        <v>17.4</v>
      </c>
      <c r="F90" s="1">
        <f>AB90*'Сырьё лето'!$AK$92</f>
        <v>41.849999999999994</v>
      </c>
      <c r="G90" s="1">
        <v>336.4</v>
      </c>
      <c r="H90" s="1">
        <f>AD90*'Сырьё лето'!$AK$92</f>
        <v>0.125</v>
      </c>
      <c r="I90" s="1">
        <f>AE90*'Сырьё лето'!$AK$92</f>
        <v>0.325</v>
      </c>
      <c r="J90" s="1">
        <f>AF90*'Сырьё лето'!$AK$92</f>
        <v>0.525</v>
      </c>
      <c r="K90" s="1">
        <v>0.24</v>
      </c>
      <c r="L90" s="1">
        <f>AH90*'Сырьё лето'!$AK$92</f>
        <v>0</v>
      </c>
      <c r="M90" s="1">
        <f>AI90*'Сырьё лето'!$AK$92</f>
        <v>213.4</v>
      </c>
      <c r="N90" s="1">
        <v>230.1</v>
      </c>
      <c r="O90" s="1">
        <f>AK90*'Сырьё лето'!$AK$92</f>
        <v>37.275</v>
      </c>
      <c r="P90" s="1">
        <f>AL90*'Сырьё лето'!$AK$92</f>
        <v>1.4749999999999999</v>
      </c>
      <c r="Q90" s="1">
        <f>AM90*'Сырьё лето'!$AK$92</f>
        <v>0.7374999999999999</v>
      </c>
      <c r="R90" s="1">
        <f>AN90*'Сырьё лето'!$AK$92</f>
        <v>0</v>
      </c>
      <c r="S90" s="118"/>
      <c r="T90" s="149"/>
      <c r="U90" s="149"/>
      <c r="V90" s="149"/>
      <c r="W90" s="149"/>
      <c r="X90" s="48" t="s">
        <v>69</v>
      </c>
      <c r="Y90" s="48">
        <v>160</v>
      </c>
      <c r="Z90" s="49">
        <v>16.48</v>
      </c>
      <c r="AA90" s="49">
        <v>13.92</v>
      </c>
      <c r="AB90" s="49">
        <v>33.48</v>
      </c>
      <c r="AC90" s="49">
        <f>AB90*4+AA90*9+Z90*4</f>
        <v>325.12</v>
      </c>
      <c r="AD90" s="49">
        <v>0.1</v>
      </c>
      <c r="AE90" s="49">
        <v>0.26</v>
      </c>
      <c r="AF90" s="49">
        <v>0.42</v>
      </c>
      <c r="AG90" s="49">
        <v>0.83</v>
      </c>
      <c r="AH90" s="49">
        <v>0</v>
      </c>
      <c r="AI90" s="49">
        <v>170.72</v>
      </c>
      <c r="AJ90" s="49">
        <v>224.08</v>
      </c>
      <c r="AK90" s="49">
        <v>29.82</v>
      </c>
      <c r="AL90" s="49">
        <v>1.18</v>
      </c>
      <c r="AM90" s="49">
        <v>0.59</v>
      </c>
      <c r="AN90" s="49">
        <v>0</v>
      </c>
      <c r="AO90" s="118"/>
    </row>
    <row r="91" spans="1:41" s="49" customFormat="1" ht="15.75" customHeight="1">
      <c r="A91" s="93">
        <v>327</v>
      </c>
      <c r="B91" s="3" t="s">
        <v>91</v>
      </c>
      <c r="C91" s="3">
        <f>'Сырьё лето'!C93</f>
        <v>15</v>
      </c>
      <c r="D91" s="1">
        <v>1.1278195488721805</v>
      </c>
      <c r="E91" s="1">
        <v>0.003007518796992481</v>
      </c>
      <c r="F91" s="1">
        <v>8.541353383458645</v>
      </c>
      <c r="G91" s="1">
        <f>F91*4+E91*9+D91*4</f>
        <v>38.70375939849623</v>
      </c>
      <c r="H91" s="1">
        <v>0.007518796992481203</v>
      </c>
      <c r="I91" s="1">
        <v>0.022556390977443608</v>
      </c>
      <c r="J91" s="1">
        <v>0.15037593984962405</v>
      </c>
      <c r="K91" s="1">
        <v>0</v>
      </c>
      <c r="L91" s="1">
        <v>0</v>
      </c>
      <c r="M91" s="1">
        <v>47.669172932330824</v>
      </c>
      <c r="N91" s="1">
        <v>34.43609022556391</v>
      </c>
      <c r="O91" s="1">
        <v>5.112781954887217</v>
      </c>
      <c r="P91" s="1">
        <v>0.03007518796992481</v>
      </c>
      <c r="Q91" s="1">
        <v>0.15</v>
      </c>
      <c r="R91" s="1">
        <v>0</v>
      </c>
      <c r="S91" s="118"/>
      <c r="T91" s="149"/>
      <c r="U91" s="149"/>
      <c r="V91" s="149"/>
      <c r="W91" s="149"/>
      <c r="X91" s="48" t="s">
        <v>91</v>
      </c>
      <c r="Y91" s="48">
        <v>15</v>
      </c>
      <c r="Z91" s="49">
        <v>1.1278195488721805</v>
      </c>
      <c r="AA91" s="49">
        <v>0.003007518796992481</v>
      </c>
      <c r="AB91" s="49">
        <v>8.541353383458645</v>
      </c>
      <c r="AC91" s="49">
        <f>AB91*4+AA91*9+Z91*4</f>
        <v>38.70375939849623</v>
      </c>
      <c r="AD91" s="49">
        <v>0.007518796992481203</v>
      </c>
      <c r="AE91" s="49">
        <v>0.022556390977443608</v>
      </c>
      <c r="AF91" s="49">
        <v>0.15037593984962405</v>
      </c>
      <c r="AG91" s="49">
        <v>0</v>
      </c>
      <c r="AH91" s="49">
        <v>0</v>
      </c>
      <c r="AI91" s="49">
        <v>47.669172932330824</v>
      </c>
      <c r="AJ91" s="49">
        <v>34.43609022556391</v>
      </c>
      <c r="AK91" s="49">
        <v>5.112781954887217</v>
      </c>
      <c r="AL91" s="49">
        <v>0.03007518796992481</v>
      </c>
      <c r="AM91" s="49">
        <v>0.15</v>
      </c>
      <c r="AN91" s="49">
        <v>0</v>
      </c>
      <c r="AO91" s="118"/>
    </row>
    <row r="92" spans="1:41" s="49" customFormat="1" ht="15.75" customHeight="1">
      <c r="A92" s="93">
        <v>397</v>
      </c>
      <c r="B92" s="3" t="s">
        <v>6</v>
      </c>
      <c r="C92" s="3">
        <f>'Сырьё лето'!C94</f>
        <v>200</v>
      </c>
      <c r="D92" s="160">
        <v>4.07</v>
      </c>
      <c r="E92" s="160">
        <v>3.5</v>
      </c>
      <c r="F92" s="160">
        <v>17.5</v>
      </c>
      <c r="G92" s="1">
        <f>F92*4+E92*9+D92*4</f>
        <v>117.78</v>
      </c>
      <c r="H92" s="160">
        <f>0.28*0.18</f>
        <v>0.0504</v>
      </c>
      <c r="I92" s="160">
        <v>0.18</v>
      </c>
      <c r="J92" s="160">
        <v>1.57</v>
      </c>
      <c r="K92" s="160">
        <v>0.14</v>
      </c>
      <c r="L92" s="160">
        <v>0</v>
      </c>
      <c r="M92" s="160">
        <v>152.2</v>
      </c>
      <c r="N92" s="160">
        <v>124.5</v>
      </c>
      <c r="O92" s="160">
        <v>5.6</v>
      </c>
      <c r="P92" s="160">
        <v>0.47</v>
      </c>
      <c r="Q92" s="1">
        <v>0.5</v>
      </c>
      <c r="R92" s="1">
        <v>0</v>
      </c>
      <c r="S92" s="118"/>
      <c r="T92" s="149"/>
      <c r="U92" s="149"/>
      <c r="V92" s="149"/>
      <c r="W92" s="149"/>
      <c r="X92" s="48" t="s">
        <v>6</v>
      </c>
      <c r="Y92" s="48">
        <v>200</v>
      </c>
      <c r="Z92" s="52">
        <v>4.07</v>
      </c>
      <c r="AA92" s="52">
        <v>3.5</v>
      </c>
      <c r="AB92" s="52">
        <v>17.5</v>
      </c>
      <c r="AC92" s="49">
        <f>AB92*4+AA92*9+Z92*4</f>
        <v>117.78</v>
      </c>
      <c r="AD92" s="52">
        <f>0.28*0.18</f>
        <v>0.0504</v>
      </c>
      <c r="AE92" s="52">
        <v>0.18</v>
      </c>
      <c r="AF92" s="52">
        <v>1.57</v>
      </c>
      <c r="AG92" s="52">
        <v>0.24</v>
      </c>
      <c r="AH92" s="52">
        <v>0</v>
      </c>
      <c r="AI92" s="52">
        <v>152.2</v>
      </c>
      <c r="AJ92" s="52">
        <v>124.5</v>
      </c>
      <c r="AK92" s="52">
        <v>21.34</v>
      </c>
      <c r="AL92" s="52">
        <v>0.47</v>
      </c>
      <c r="AM92" s="49">
        <v>0.5</v>
      </c>
      <c r="AN92" s="49">
        <v>0</v>
      </c>
      <c r="AO92" s="118"/>
    </row>
    <row r="93" spans="1:41" s="49" customFormat="1" ht="15.75" customHeight="1">
      <c r="A93" s="167"/>
      <c r="B93" s="3" t="s">
        <v>4</v>
      </c>
      <c r="C93" s="3">
        <f>'Сырьё лето'!C95</f>
        <v>60</v>
      </c>
      <c r="D93" s="1">
        <f>Z93*'Сырьё лето'!$AK$95</f>
        <v>4.050000000000001</v>
      </c>
      <c r="E93" s="1">
        <f>AA93*'Сырьё лето'!$AK$95</f>
        <v>0.516</v>
      </c>
      <c r="F93" s="1">
        <f>AB93*'Сырьё лето'!$AK$95</f>
        <v>30.089999999999996</v>
      </c>
      <c r="G93" s="1">
        <f>F93*4+E93*9+D93*4</f>
        <v>141.204</v>
      </c>
      <c r="H93" s="1">
        <f>AD93*'Сырьё лето'!$AK$95</f>
        <v>0.036000000000000004</v>
      </c>
      <c r="I93" s="1">
        <f>AE93*'Сырьё лето'!$AK$95</f>
        <v>0.0075</v>
      </c>
      <c r="J93" s="1">
        <f>AF93*'Сырьё лето'!$AK$95</f>
        <v>0</v>
      </c>
      <c r="K93" s="1">
        <f>AG93*'Сырьё лето'!$AK$95</f>
        <v>0</v>
      </c>
      <c r="L93" s="1">
        <f>AH93*'Сырьё лето'!$AK$95</f>
        <v>0.63</v>
      </c>
      <c r="M93" s="1">
        <f>AI93*'Сырьё лето'!$AK$95</f>
        <v>12</v>
      </c>
      <c r="N93" s="1">
        <f>AJ93*'Сырьё лето'!$AK$95</f>
        <v>39</v>
      </c>
      <c r="O93" s="1">
        <f>AK93*'Сырьё лето'!$AK$95</f>
        <v>8.399999999999999</v>
      </c>
      <c r="P93" s="1">
        <f>AL93*'Сырьё лето'!$AK$95</f>
        <v>0.6000000000000001</v>
      </c>
      <c r="Q93" s="1">
        <f>AM93*'Сырьё лето'!$AK$95</f>
        <v>0.44999999999999996</v>
      </c>
      <c r="R93" s="1">
        <f>AN93*'Сырьё лето'!$AK$95</f>
        <v>0</v>
      </c>
      <c r="S93" s="118"/>
      <c r="T93" s="149"/>
      <c r="U93" s="149"/>
      <c r="V93" s="149"/>
      <c r="W93" s="149"/>
      <c r="X93" s="48" t="s">
        <v>4</v>
      </c>
      <c r="Y93" s="48">
        <v>40</v>
      </c>
      <c r="Z93" s="49">
        <f>1.35*2</f>
        <v>2.7</v>
      </c>
      <c r="AA93" s="49">
        <f>0.172*2</f>
        <v>0.344</v>
      </c>
      <c r="AB93" s="49">
        <f>10.03*2</f>
        <v>20.06</v>
      </c>
      <c r="AC93" s="49">
        <f>AB93*4+AA93*9+Z93*4</f>
        <v>94.136</v>
      </c>
      <c r="AD93" s="49">
        <v>0.024</v>
      </c>
      <c r="AE93" s="49">
        <v>0.005</v>
      </c>
      <c r="AF93" s="49">
        <v>0</v>
      </c>
      <c r="AG93" s="49">
        <v>0</v>
      </c>
      <c r="AH93" s="49">
        <v>0.42</v>
      </c>
      <c r="AI93" s="49">
        <v>8</v>
      </c>
      <c r="AJ93" s="49">
        <v>26</v>
      </c>
      <c r="AK93" s="49">
        <v>5.6</v>
      </c>
      <c r="AL93" s="49">
        <v>0.4</v>
      </c>
      <c r="AM93" s="49">
        <v>0.3</v>
      </c>
      <c r="AN93" s="49">
        <v>0</v>
      </c>
      <c r="AO93" s="118"/>
    </row>
    <row r="94" spans="1:41" s="49" customFormat="1" ht="15.75" customHeight="1">
      <c r="A94" s="167"/>
      <c r="B94" s="3" t="s">
        <v>132</v>
      </c>
      <c r="C94" s="3">
        <f>'Сырьё лето'!C96</f>
        <v>225</v>
      </c>
      <c r="D94" s="160">
        <v>7</v>
      </c>
      <c r="E94" s="160">
        <f>3.2*1.8</f>
        <v>5.760000000000001</v>
      </c>
      <c r="F94" s="160">
        <f>3.5*1.8</f>
        <v>6.3</v>
      </c>
      <c r="G94" s="1">
        <f>F94*4+E94*9+D94*4</f>
        <v>105.04</v>
      </c>
      <c r="H94" s="160">
        <f>0.04*0.75</f>
        <v>0.03</v>
      </c>
      <c r="I94" s="160">
        <v>0.26</v>
      </c>
      <c r="J94" s="160">
        <v>0.54</v>
      </c>
      <c r="K94" s="160">
        <v>0.16</v>
      </c>
      <c r="L94" s="160">
        <v>0</v>
      </c>
      <c r="M94" s="160">
        <v>223.2</v>
      </c>
      <c r="N94" s="160">
        <v>165.6</v>
      </c>
      <c r="O94" s="160">
        <v>15.2</v>
      </c>
      <c r="P94" s="160">
        <v>0.18</v>
      </c>
      <c r="Q94" s="1">
        <v>0.72</v>
      </c>
      <c r="R94" s="1">
        <v>0</v>
      </c>
      <c r="S94" s="118"/>
      <c r="T94" s="122"/>
      <c r="U94" s="122"/>
      <c r="V94" s="122"/>
      <c r="W94" s="122"/>
      <c r="X94" s="48" t="s">
        <v>132</v>
      </c>
      <c r="Y94" s="48">
        <v>180</v>
      </c>
      <c r="Z94" s="52">
        <f>5*1.8</f>
        <v>9</v>
      </c>
      <c r="AA94" s="52">
        <f>3.2*1.8</f>
        <v>5.760000000000001</v>
      </c>
      <c r="AB94" s="52">
        <f>3.5*1.8</f>
        <v>6.3</v>
      </c>
      <c r="AC94" s="44">
        <f>AB94*4+AA94*9+Z94*4</f>
        <v>113.04</v>
      </c>
      <c r="AD94" s="52">
        <f>0.04*0.75</f>
        <v>0.03</v>
      </c>
      <c r="AE94" s="52">
        <v>0.26</v>
      </c>
      <c r="AF94" s="52">
        <v>0.54</v>
      </c>
      <c r="AG94" s="52">
        <v>0.36</v>
      </c>
      <c r="AH94" s="52">
        <v>0</v>
      </c>
      <c r="AI94" s="52">
        <v>223.2</v>
      </c>
      <c r="AJ94" s="52">
        <v>165.6</v>
      </c>
      <c r="AK94" s="52">
        <v>25.2</v>
      </c>
      <c r="AL94" s="52">
        <v>0.18</v>
      </c>
      <c r="AM94" s="49">
        <v>0.72</v>
      </c>
      <c r="AN94" s="49">
        <v>0</v>
      </c>
      <c r="AO94" s="118"/>
    </row>
    <row r="95" spans="1:41" ht="15.75" customHeight="1">
      <c r="A95" s="93"/>
      <c r="B95" s="174"/>
      <c r="C95" s="17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18"/>
      <c r="X95" s="55"/>
      <c r="Y95" s="55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118"/>
    </row>
    <row r="96" spans="1:41" ht="15.75" customHeight="1">
      <c r="A96" s="161"/>
      <c r="B96" s="166" t="s">
        <v>21</v>
      </c>
      <c r="C96" s="163">
        <f>SUM(C90:C95)</f>
        <v>700</v>
      </c>
      <c r="D96" s="163">
        <f aca="true" t="shared" si="24" ref="D96:R96">SUM(D90:D95)</f>
        <v>31.84781954887218</v>
      </c>
      <c r="E96" s="163">
        <f t="shared" si="24"/>
        <v>27.17900751879699</v>
      </c>
      <c r="F96" s="163">
        <f t="shared" si="24"/>
        <v>104.28135338345864</v>
      </c>
      <c r="G96" s="163">
        <f t="shared" si="24"/>
        <v>739.1277593984962</v>
      </c>
      <c r="H96" s="163">
        <f t="shared" si="24"/>
        <v>0.2489187969924812</v>
      </c>
      <c r="I96" s="163">
        <f t="shared" si="24"/>
        <v>0.7950563909774436</v>
      </c>
      <c r="J96" s="163">
        <f t="shared" si="24"/>
        <v>2.785375939849624</v>
      </c>
      <c r="K96" s="163">
        <f t="shared" si="24"/>
        <v>0.54</v>
      </c>
      <c r="L96" s="163">
        <f t="shared" si="24"/>
        <v>0.63</v>
      </c>
      <c r="M96" s="163">
        <f t="shared" si="24"/>
        <v>648.4691729323308</v>
      </c>
      <c r="N96" s="163">
        <f t="shared" si="24"/>
        <v>593.6360902255639</v>
      </c>
      <c r="O96" s="163">
        <f t="shared" si="24"/>
        <v>71.58778195488722</v>
      </c>
      <c r="P96" s="163">
        <f t="shared" si="24"/>
        <v>2.755075187969925</v>
      </c>
      <c r="Q96" s="163">
        <f t="shared" si="24"/>
        <v>2.5575</v>
      </c>
      <c r="R96" s="163">
        <f t="shared" si="24"/>
        <v>0</v>
      </c>
      <c r="S96" s="118"/>
      <c r="X96" s="61" t="s">
        <v>21</v>
      </c>
      <c r="Y96" s="54">
        <f>SUM(Y90:Y95)</f>
        <v>595</v>
      </c>
      <c r="Z96" s="54">
        <f aca="true" t="shared" si="25" ref="Z96:AN96">SUM(Z90:Z95)</f>
        <v>33.37781954887218</v>
      </c>
      <c r="AA96" s="54">
        <f t="shared" si="25"/>
        <v>23.527007518796996</v>
      </c>
      <c r="AB96" s="54">
        <f t="shared" si="25"/>
        <v>85.88135338345865</v>
      </c>
      <c r="AC96" s="54">
        <f t="shared" si="25"/>
        <v>688.7797593984961</v>
      </c>
      <c r="AD96" s="54">
        <f t="shared" si="25"/>
        <v>0.2119187969924812</v>
      </c>
      <c r="AE96" s="54">
        <f t="shared" si="25"/>
        <v>0.7275563909774436</v>
      </c>
      <c r="AF96" s="54">
        <f t="shared" si="25"/>
        <v>2.680375939849624</v>
      </c>
      <c r="AG96" s="54">
        <f t="shared" si="25"/>
        <v>1.4299999999999997</v>
      </c>
      <c r="AH96" s="54">
        <f t="shared" si="25"/>
        <v>0.42</v>
      </c>
      <c r="AI96" s="54">
        <f t="shared" si="25"/>
        <v>601.7891729323308</v>
      </c>
      <c r="AJ96" s="54">
        <f t="shared" si="25"/>
        <v>574.6160902255639</v>
      </c>
      <c r="AK96" s="54">
        <f t="shared" si="25"/>
        <v>87.07278195488722</v>
      </c>
      <c r="AL96" s="54">
        <f t="shared" si="25"/>
        <v>2.260075187969925</v>
      </c>
      <c r="AM96" s="54">
        <f t="shared" si="25"/>
        <v>2.26</v>
      </c>
      <c r="AN96" s="54">
        <f t="shared" si="25"/>
        <v>0</v>
      </c>
      <c r="AO96" s="118"/>
    </row>
    <row r="97" spans="1:41" ht="15.75" customHeight="1">
      <c r="A97" s="155"/>
      <c r="B97" s="174" t="s">
        <v>98</v>
      </c>
      <c r="C97" s="174"/>
      <c r="D97" s="1">
        <v>22.5</v>
      </c>
      <c r="E97" s="1">
        <v>23</v>
      </c>
      <c r="F97" s="1">
        <v>95.75</v>
      </c>
      <c r="G97" s="1">
        <v>678.25</v>
      </c>
      <c r="H97" s="1">
        <v>0.35</v>
      </c>
      <c r="I97" s="1">
        <v>0.4</v>
      </c>
      <c r="J97" s="1">
        <v>17.5</v>
      </c>
      <c r="K97" s="1">
        <v>0.23</v>
      </c>
      <c r="L97" s="1">
        <v>3</v>
      </c>
      <c r="M97" s="1">
        <v>300</v>
      </c>
      <c r="N97" s="1">
        <v>450</v>
      </c>
      <c r="O97" s="1">
        <v>75</v>
      </c>
      <c r="P97" s="1">
        <v>4.25</v>
      </c>
      <c r="Q97" s="1">
        <v>3.5</v>
      </c>
      <c r="R97" s="1">
        <v>0.025</v>
      </c>
      <c r="S97" s="118"/>
      <c r="X97" s="55" t="s">
        <v>98</v>
      </c>
      <c r="Y97" s="55"/>
      <c r="Z97" s="56">
        <v>19.25</v>
      </c>
      <c r="AA97" s="56">
        <v>19.75</v>
      </c>
      <c r="AB97" s="56">
        <v>83.75</v>
      </c>
      <c r="AC97" s="56">
        <v>587.5</v>
      </c>
      <c r="AD97" s="56">
        <v>0.3</v>
      </c>
      <c r="AE97" s="56">
        <v>0.35</v>
      </c>
      <c r="AF97" s="56">
        <v>15</v>
      </c>
      <c r="AG97" s="56">
        <v>0.175</v>
      </c>
      <c r="AH97" s="56">
        <v>2.5</v>
      </c>
      <c r="AI97" s="56">
        <v>275</v>
      </c>
      <c r="AJ97" s="56">
        <v>412.5</v>
      </c>
      <c r="AK97" s="56">
        <v>62.5</v>
      </c>
      <c r="AL97" s="56">
        <v>3</v>
      </c>
      <c r="AM97" s="56">
        <v>2.5</v>
      </c>
      <c r="AN97" s="56">
        <v>0.025</v>
      </c>
      <c r="AO97" s="118"/>
    </row>
    <row r="98" spans="1:41" s="63" customFormat="1" ht="15.75" customHeight="1">
      <c r="A98" s="211" t="s">
        <v>117</v>
      </c>
      <c r="B98" s="21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8"/>
      <c r="T98" s="122"/>
      <c r="U98" s="122"/>
      <c r="V98" s="122"/>
      <c r="W98" s="122"/>
      <c r="X98" s="122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118"/>
    </row>
    <row r="99" spans="1:41" s="49" customFormat="1" ht="15.75" customHeight="1">
      <c r="A99" s="93"/>
      <c r="B99" s="3" t="s">
        <v>119</v>
      </c>
      <c r="C99" s="3">
        <f>'Сырьё лето'!C101</f>
        <v>100</v>
      </c>
      <c r="D99" s="1">
        <f>Z99*'Сырьё лето'!$AK$101</f>
        <v>0.6966959999999999</v>
      </c>
      <c r="E99" s="1">
        <f>AA99*'Сырьё лето'!$AK$101</f>
        <v>0.09952799999999999</v>
      </c>
      <c r="F99" s="1">
        <f>AB99*'Сырьё лето'!$AK$101</f>
        <v>1.8910319999999996</v>
      </c>
      <c r="G99" s="1">
        <f>F99*4+E99*9+D99*4</f>
        <v>11.246663999999997</v>
      </c>
      <c r="H99" s="1">
        <f>AD99*'Сырьё лето'!$AK$101</f>
        <v>0.033176</v>
      </c>
      <c r="I99" s="1">
        <f>AE99*'Сырьё лето'!$AK$101</f>
        <v>0.016588</v>
      </c>
      <c r="J99" s="1">
        <v>3.88</v>
      </c>
      <c r="K99" s="1">
        <f>AG99*'Сырьё лето'!$AK$101</f>
        <v>0</v>
      </c>
      <c r="L99" s="1">
        <f>AH99*'Сырьё лето'!$AK$101</f>
        <v>0.09952799999999999</v>
      </c>
      <c r="M99" s="1">
        <f>AI99*'Сырьё лето'!$AK$101</f>
        <v>16.919759999999997</v>
      </c>
      <c r="N99" s="1">
        <f>AJ99*'Сырьё лето'!$AK$101</f>
        <v>29.858399999999996</v>
      </c>
      <c r="O99" s="1">
        <f>AK99*'Сырьё лето'!$AK$101</f>
        <v>13.933919999999999</v>
      </c>
      <c r="P99" s="1">
        <f>AL99*'Сырьё лето'!$AK$101</f>
        <v>0.49763999999999997</v>
      </c>
      <c r="Q99" s="1">
        <f>AM99*'Сырьё лето'!$AK$101</f>
        <v>0.17017</v>
      </c>
      <c r="R99" s="1">
        <f>AN99*'Сырьё лето'!$AK$101</f>
        <v>0</v>
      </c>
      <c r="S99" s="118"/>
      <c r="T99" s="149"/>
      <c r="U99" s="149"/>
      <c r="V99" s="149"/>
      <c r="W99" s="149"/>
      <c r="X99" s="48" t="s">
        <v>119</v>
      </c>
      <c r="Y99" s="48">
        <v>70</v>
      </c>
      <c r="Z99" s="49">
        <v>0.48719999999999997</v>
      </c>
      <c r="AA99" s="49">
        <v>0.0696</v>
      </c>
      <c r="AB99" s="49">
        <v>1.3223999999999998</v>
      </c>
      <c r="AC99" s="49">
        <f>AB99*4+AA99*9+Z99*4</f>
        <v>7.864799999999999</v>
      </c>
      <c r="AD99" s="49">
        <v>0.0232</v>
      </c>
      <c r="AE99" s="49">
        <v>0.0116</v>
      </c>
      <c r="AF99" s="49">
        <v>3.4103999999999997</v>
      </c>
      <c r="AG99" s="49">
        <v>0</v>
      </c>
      <c r="AH99" s="49">
        <v>0.0696</v>
      </c>
      <c r="AI99" s="49">
        <v>11.831999999999999</v>
      </c>
      <c r="AJ99" s="49">
        <v>20.88</v>
      </c>
      <c r="AK99" s="49">
        <v>9.744</v>
      </c>
      <c r="AL99" s="49">
        <v>0.348</v>
      </c>
      <c r="AM99" s="49">
        <v>0.119</v>
      </c>
      <c r="AN99" s="49">
        <v>0</v>
      </c>
      <c r="AO99" s="118"/>
    </row>
    <row r="100" spans="1:41" s="49" customFormat="1" ht="15.75" customHeight="1">
      <c r="A100" s="93">
        <v>297</v>
      </c>
      <c r="B100" s="3" t="s">
        <v>87</v>
      </c>
      <c r="C100" s="3">
        <f>'Сырьё лето'!C102</f>
        <v>100</v>
      </c>
      <c r="D100" s="1">
        <v>9.84</v>
      </c>
      <c r="E100" s="1">
        <f>AA100*'Сырьё лето'!$AK$102</f>
        <v>16.1792</v>
      </c>
      <c r="F100" s="1">
        <f>AB100*'Сырьё лето'!$AK$102</f>
        <v>6.399</v>
      </c>
      <c r="G100" s="1">
        <f aca="true" t="shared" si="26" ref="G100:G105">F100*4+E100*9+D100*4</f>
        <v>210.5688</v>
      </c>
      <c r="H100" s="1">
        <f>AD100*'Сырьё лето'!$AK$102</f>
        <v>0.0316</v>
      </c>
      <c r="I100" s="1">
        <f>AE100*'Сырьё лето'!$AK$102</f>
        <v>0.0948</v>
      </c>
      <c r="J100" s="1">
        <f>AF100*'Сырьё лето'!$AK$102</f>
        <v>0.8058000000000001</v>
      </c>
      <c r="K100" s="1">
        <v>0.22</v>
      </c>
      <c r="L100" s="1">
        <v>0.8</v>
      </c>
      <c r="M100" s="1">
        <f>AI100*'Сырьё лето'!$AK$102</f>
        <v>38.2518</v>
      </c>
      <c r="N100" s="1">
        <f>AJ100*'Сырьё лето'!$AK$102</f>
        <v>84.609</v>
      </c>
      <c r="O100" s="1">
        <f>AK100*'Сырьё лето'!$AK$102</f>
        <v>11.3918</v>
      </c>
      <c r="P100" s="1">
        <f>AL100*'Сырьё лето'!$AK$102</f>
        <v>0.9006</v>
      </c>
      <c r="Q100" s="1">
        <f>AM100*'Сырьё лето'!$AK$102</f>
        <v>3.1442</v>
      </c>
      <c r="R100" s="1">
        <f>AN100*'Сырьё лето'!$AK$102</f>
        <v>0.0316</v>
      </c>
      <c r="S100" s="118"/>
      <c r="T100" s="149"/>
      <c r="U100" s="149"/>
      <c r="V100" s="149"/>
      <c r="W100" s="149"/>
      <c r="X100" s="48" t="s">
        <v>87</v>
      </c>
      <c r="Y100" s="48">
        <f>65</f>
        <v>65</v>
      </c>
      <c r="Z100" s="49">
        <v>6.86</v>
      </c>
      <c r="AA100" s="49">
        <v>10.24</v>
      </c>
      <c r="AB100" s="49">
        <v>4.05</v>
      </c>
      <c r="AC100" s="49">
        <f aca="true" t="shared" si="27" ref="AC100:AC105">AB100*4+AA100*9+Z100*4</f>
        <v>135.8</v>
      </c>
      <c r="AD100" s="49">
        <v>0.02</v>
      </c>
      <c r="AE100" s="49">
        <v>0.06</v>
      </c>
      <c r="AF100" s="49">
        <v>0.51</v>
      </c>
      <c r="AG100" s="49">
        <v>0.39</v>
      </c>
      <c r="AH100" s="49">
        <v>2.405</v>
      </c>
      <c r="AI100" s="49">
        <v>24.21</v>
      </c>
      <c r="AJ100" s="49">
        <v>53.55</v>
      </c>
      <c r="AK100" s="49">
        <v>7.21</v>
      </c>
      <c r="AL100" s="49">
        <v>0.57</v>
      </c>
      <c r="AM100" s="49">
        <v>1.99</v>
      </c>
      <c r="AN100" s="49">
        <v>0.02</v>
      </c>
      <c r="AO100" s="118"/>
    </row>
    <row r="101" spans="1:41" s="49" customFormat="1" ht="15.75" customHeight="1">
      <c r="A101" s="156">
        <v>203</v>
      </c>
      <c r="B101" s="92" t="s">
        <v>36</v>
      </c>
      <c r="C101" s="3">
        <f>'Сырьё лето'!C103</f>
        <v>180</v>
      </c>
      <c r="D101" s="1">
        <v>5.79</v>
      </c>
      <c r="E101" s="1">
        <f>AA101*'Сырьё лето'!$AK$103</f>
        <v>8.2</v>
      </c>
      <c r="F101" s="1">
        <v>28.38</v>
      </c>
      <c r="G101" s="1">
        <f t="shared" si="26"/>
        <v>210.48</v>
      </c>
      <c r="H101" s="1">
        <f>AD101*'Сырьё лето'!$AK$103</f>
        <v>0.06559999999999999</v>
      </c>
      <c r="I101" s="1">
        <f>AE101*'Сырьё лето'!$AK$103</f>
        <v>0.01312</v>
      </c>
      <c r="J101" s="1">
        <f>AF101*'Сырьё лето'!$AK$103</f>
        <v>0</v>
      </c>
      <c r="K101" s="1">
        <f>AG101*'Сырьё лето'!$AK$103</f>
        <v>0</v>
      </c>
      <c r="L101" s="1">
        <f>AH101*'Сырьё лето'!$AK$103</f>
        <v>0.9347999999999999</v>
      </c>
      <c r="M101" s="1">
        <f>AI101*'Сырьё лето'!$AK$103</f>
        <v>13.447999999999999</v>
      </c>
      <c r="N101" s="1">
        <f>AJ101*'Сырьё лето'!$AK$103</f>
        <v>44.608</v>
      </c>
      <c r="O101" s="1">
        <f>AK101*'Сырьё лето'!$AK$103</f>
        <v>10.3648</v>
      </c>
      <c r="P101" s="1">
        <f>AL101*'Сырьё лето'!$AK$103</f>
        <v>1.0168</v>
      </c>
      <c r="Q101" s="1">
        <f>AM101*'Сырьё лето'!$AK$103</f>
        <v>0</v>
      </c>
      <c r="R101" s="1">
        <f>AN101*'Сырьё лето'!$AK$103</f>
        <v>0</v>
      </c>
      <c r="S101" s="118"/>
      <c r="T101" s="149"/>
      <c r="U101" s="149"/>
      <c r="V101" s="149"/>
      <c r="W101" s="149"/>
      <c r="X101" s="150" t="s">
        <v>36</v>
      </c>
      <c r="Y101" s="150">
        <v>110</v>
      </c>
      <c r="Z101" s="52">
        <v>4.14</v>
      </c>
      <c r="AA101" s="52">
        <v>5</v>
      </c>
      <c r="AB101" s="52">
        <v>23.4</v>
      </c>
      <c r="AC101" s="49">
        <f t="shared" si="27"/>
        <v>155.16</v>
      </c>
      <c r="AD101" s="52">
        <v>0.04</v>
      </c>
      <c r="AE101" s="52">
        <v>0.008</v>
      </c>
      <c r="AF101" s="52">
        <v>0</v>
      </c>
      <c r="AG101" s="52">
        <v>0</v>
      </c>
      <c r="AH101" s="52">
        <v>0.57</v>
      </c>
      <c r="AI101" s="52">
        <v>8.2</v>
      </c>
      <c r="AJ101" s="52">
        <v>27.2</v>
      </c>
      <c r="AK101" s="52">
        <v>6.32</v>
      </c>
      <c r="AL101" s="52">
        <v>0.62</v>
      </c>
      <c r="AM101" s="49">
        <v>0</v>
      </c>
      <c r="AN101" s="49">
        <v>0</v>
      </c>
      <c r="AO101" s="118"/>
    </row>
    <row r="102" spans="1:41" s="49" customFormat="1" ht="15.75" customHeight="1">
      <c r="A102" s="93">
        <v>379</v>
      </c>
      <c r="B102" s="3" t="s">
        <v>66</v>
      </c>
      <c r="C102" s="3">
        <f>'Сырьё лето'!C104</f>
        <v>200</v>
      </c>
      <c r="D102" s="1">
        <v>2.9</v>
      </c>
      <c r="E102" s="1">
        <v>2.5</v>
      </c>
      <c r="F102" s="1">
        <v>14.7</v>
      </c>
      <c r="G102" s="1">
        <f t="shared" si="26"/>
        <v>92.89999999999999</v>
      </c>
      <c r="H102" s="1">
        <v>0.02</v>
      </c>
      <c r="I102" s="1">
        <v>0.13</v>
      </c>
      <c r="J102" s="1">
        <v>0.6</v>
      </c>
      <c r="K102" s="1">
        <v>0.1</v>
      </c>
      <c r="L102" s="1">
        <v>0.1</v>
      </c>
      <c r="M102" s="1">
        <v>120.3</v>
      </c>
      <c r="N102" s="1">
        <v>90</v>
      </c>
      <c r="O102" s="1">
        <v>4</v>
      </c>
      <c r="P102" s="1">
        <v>0.13</v>
      </c>
      <c r="Q102" s="1">
        <v>0.4</v>
      </c>
      <c r="R102" s="1">
        <v>0</v>
      </c>
      <c r="S102" s="118"/>
      <c r="T102" s="149"/>
      <c r="U102" s="149"/>
      <c r="V102" s="149"/>
      <c r="W102" s="149"/>
      <c r="X102" s="48" t="s">
        <v>66</v>
      </c>
      <c r="Y102" s="48">
        <v>200</v>
      </c>
      <c r="Z102" s="49">
        <v>2.9</v>
      </c>
      <c r="AA102" s="49">
        <v>2.5</v>
      </c>
      <c r="AB102" s="49">
        <v>14.7</v>
      </c>
      <c r="AC102" s="49">
        <f t="shared" si="27"/>
        <v>92.89999999999999</v>
      </c>
      <c r="AD102" s="49">
        <v>0.02</v>
      </c>
      <c r="AE102" s="49">
        <v>0.13</v>
      </c>
      <c r="AF102" s="49">
        <v>0.6</v>
      </c>
      <c r="AG102" s="49">
        <v>0.1</v>
      </c>
      <c r="AH102" s="49">
        <v>0.1</v>
      </c>
      <c r="AI102" s="49">
        <v>120.3</v>
      </c>
      <c r="AJ102" s="49">
        <v>90</v>
      </c>
      <c r="AK102" s="49">
        <v>14</v>
      </c>
      <c r="AL102" s="49">
        <v>0.13</v>
      </c>
      <c r="AM102" s="49">
        <v>0.4</v>
      </c>
      <c r="AN102" s="49">
        <v>0</v>
      </c>
      <c r="AO102" s="118"/>
    </row>
    <row r="103" spans="1:41" s="49" customFormat="1" ht="15.75" customHeight="1">
      <c r="A103" s="93"/>
      <c r="B103" s="3" t="s">
        <v>127</v>
      </c>
      <c r="C103" s="3">
        <f>'Сырьё лето'!C105</f>
        <v>40</v>
      </c>
      <c r="D103" s="1">
        <f>Z103*'Сырьё лето'!$AK$105</f>
        <v>1.995</v>
      </c>
      <c r="E103" s="1">
        <f>AA103*'Сырьё лето'!$AK$105</f>
        <v>0.36</v>
      </c>
      <c r="F103" s="1">
        <f>AB103*'Сырьё лето'!$AK$105</f>
        <v>12.554999999999998</v>
      </c>
      <c r="G103" s="1">
        <f>F103*4+E103*9+D103*4</f>
        <v>61.44</v>
      </c>
      <c r="H103" s="1">
        <f>AD103*'Сырьё лето'!$AK$105</f>
        <v>0.15749999999999997</v>
      </c>
      <c r="I103" s="1">
        <f>AE103*'Сырьё лето'!$AK$105</f>
        <v>0.10499999999999997</v>
      </c>
      <c r="J103" s="1">
        <f>AF103*'Сырьё лето'!$AK$105</f>
        <v>0.20999999999999994</v>
      </c>
      <c r="K103" s="1">
        <f>AG103*'Сырьё лето'!$AK$105</f>
        <v>0</v>
      </c>
      <c r="L103" s="1">
        <f>AH103*'Сырьё лето'!$AK$105</f>
        <v>0.15749999999999997</v>
      </c>
      <c r="M103" s="1">
        <f>AI103*'Сырьё лето'!$AK$105</f>
        <v>38.324999999999996</v>
      </c>
      <c r="N103" s="1">
        <f>AJ103*'Сырьё лето'!$AK$105</f>
        <v>65.625</v>
      </c>
      <c r="O103" s="1">
        <v>11</v>
      </c>
      <c r="P103" s="1">
        <v>1.07</v>
      </c>
      <c r="Q103" s="1">
        <f>AM103*'Сырьё лето'!$AK$105</f>
        <v>0.36</v>
      </c>
      <c r="R103" s="1">
        <f>AN103*'Сырьё лето'!$AK$105</f>
        <v>0.024</v>
      </c>
      <c r="S103" s="118"/>
      <c r="T103" s="149"/>
      <c r="U103" s="149"/>
      <c r="V103" s="149"/>
      <c r="W103" s="149"/>
      <c r="X103" s="48" t="s">
        <v>127</v>
      </c>
      <c r="Y103" s="48">
        <v>25</v>
      </c>
      <c r="Z103" s="49">
        <v>1.6625</v>
      </c>
      <c r="AA103" s="49">
        <v>0.3</v>
      </c>
      <c r="AB103" s="49">
        <v>10.462499999999999</v>
      </c>
      <c r="AC103" s="49">
        <f t="shared" si="27"/>
        <v>51.199999999999996</v>
      </c>
      <c r="AD103" s="49">
        <v>0.13124999999999998</v>
      </c>
      <c r="AE103" s="49">
        <v>0.08749999999999998</v>
      </c>
      <c r="AF103" s="49">
        <v>0.17499999999999996</v>
      </c>
      <c r="AG103" s="49">
        <v>0</v>
      </c>
      <c r="AH103" s="49">
        <v>0.13124999999999998</v>
      </c>
      <c r="AI103" s="49">
        <v>31.937499999999996</v>
      </c>
      <c r="AJ103" s="49">
        <v>54.6875</v>
      </c>
      <c r="AK103" s="49">
        <v>17.5</v>
      </c>
      <c r="AL103" s="49">
        <v>1.2249999999999999</v>
      </c>
      <c r="AM103" s="49">
        <v>0.3</v>
      </c>
      <c r="AN103" s="49">
        <v>0.02</v>
      </c>
      <c r="AO103" s="118"/>
    </row>
    <row r="104" spans="1:41" s="49" customFormat="1" ht="15.75" customHeight="1">
      <c r="A104" s="167"/>
      <c r="B104" s="3" t="s">
        <v>4</v>
      </c>
      <c r="C104" s="3">
        <f>'Сырьё лето'!C106</f>
        <v>50</v>
      </c>
      <c r="D104" s="1">
        <f>Z104*'Сырьё лето'!$AK$106</f>
        <v>4.050000000000001</v>
      </c>
      <c r="E104" s="1">
        <f>AA104*'Сырьё лето'!$AK$106</f>
        <v>0.516</v>
      </c>
      <c r="F104" s="1">
        <v>28.09</v>
      </c>
      <c r="G104" s="1">
        <v>121.2</v>
      </c>
      <c r="H104" s="1">
        <f>AD104*'Сырьё лето'!$AK$106</f>
        <v>0.036000000000000004</v>
      </c>
      <c r="I104" s="1">
        <f>AE104*'Сырьё лето'!$AK$106</f>
        <v>0.0075</v>
      </c>
      <c r="J104" s="1">
        <f>AF104*'Сырьё лето'!$AK$106</f>
        <v>0</v>
      </c>
      <c r="K104" s="1">
        <f>AG104*'Сырьё лето'!$AK$106</f>
        <v>0</v>
      </c>
      <c r="L104" s="1">
        <f>AH104*'Сырьё лето'!$AK$106</f>
        <v>0.63</v>
      </c>
      <c r="M104" s="1">
        <f>AI104*'Сырьё лето'!$AK$106</f>
        <v>12</v>
      </c>
      <c r="N104" s="1">
        <f>AJ104*'Сырьё лето'!$AK$106</f>
        <v>39</v>
      </c>
      <c r="O104" s="1">
        <f>AK104*'Сырьё лето'!$AK$106</f>
        <v>8.399999999999999</v>
      </c>
      <c r="P104" s="1">
        <f>AL104*'Сырьё лето'!$AK$106</f>
        <v>0.6000000000000001</v>
      </c>
      <c r="Q104" s="1">
        <f>AM104*'Сырьё лето'!$AK$106</f>
        <v>0.44999999999999996</v>
      </c>
      <c r="R104" s="1">
        <f>AN104*'Сырьё лето'!$AK$106</f>
        <v>0</v>
      </c>
      <c r="S104" s="118"/>
      <c r="T104" s="149"/>
      <c r="U104" s="149"/>
      <c r="V104" s="149"/>
      <c r="W104" s="149"/>
      <c r="X104" s="48" t="s">
        <v>4</v>
      </c>
      <c r="Y104" s="48">
        <v>40</v>
      </c>
      <c r="Z104" s="49">
        <f>1.35*2</f>
        <v>2.7</v>
      </c>
      <c r="AA104" s="49">
        <f>0.172*2</f>
        <v>0.344</v>
      </c>
      <c r="AB104" s="49">
        <f>10.03*2</f>
        <v>20.06</v>
      </c>
      <c r="AC104" s="49">
        <f t="shared" si="27"/>
        <v>94.136</v>
      </c>
      <c r="AD104" s="49">
        <v>0.024</v>
      </c>
      <c r="AE104" s="49">
        <v>0.005</v>
      </c>
      <c r="AF104" s="49">
        <v>0</v>
      </c>
      <c r="AG104" s="49">
        <v>0</v>
      </c>
      <c r="AH104" s="49">
        <v>0.42</v>
      </c>
      <c r="AI104" s="49">
        <v>8</v>
      </c>
      <c r="AJ104" s="49">
        <v>26</v>
      </c>
      <c r="AK104" s="49">
        <v>5.6</v>
      </c>
      <c r="AL104" s="49">
        <v>0.4</v>
      </c>
      <c r="AM104" s="49">
        <v>0.3</v>
      </c>
      <c r="AN104" s="49">
        <v>0</v>
      </c>
      <c r="AO104" s="118"/>
    </row>
    <row r="105" spans="1:41" s="49" customFormat="1" ht="15.75" customHeight="1">
      <c r="A105" s="93">
        <v>368</v>
      </c>
      <c r="B105" s="3" t="s">
        <v>133</v>
      </c>
      <c r="C105" s="3">
        <f>'Сырьё лето'!C107</f>
        <v>120</v>
      </c>
      <c r="D105" s="160">
        <f>0.9*1.2</f>
        <v>1.08</v>
      </c>
      <c r="E105" s="160">
        <f>0.1*1.2</f>
        <v>0.12</v>
      </c>
      <c r="F105" s="160">
        <f>9.5*1.2</f>
        <v>11.4</v>
      </c>
      <c r="G105" s="1">
        <f t="shared" si="26"/>
        <v>51</v>
      </c>
      <c r="H105" s="160">
        <v>0.04</v>
      </c>
      <c r="I105" s="160">
        <v>0.01</v>
      </c>
      <c r="J105" s="160">
        <v>4</v>
      </c>
      <c r="K105" s="160">
        <v>0</v>
      </c>
      <c r="L105" s="160">
        <v>0.33</v>
      </c>
      <c r="M105" s="160">
        <v>25</v>
      </c>
      <c r="N105" s="160">
        <v>18.3</v>
      </c>
      <c r="O105" s="160">
        <v>14.16</v>
      </c>
      <c r="P105" s="160">
        <v>0.5</v>
      </c>
      <c r="Q105" s="1">
        <v>0.48</v>
      </c>
      <c r="R105" s="1">
        <v>1E-05</v>
      </c>
      <c r="S105" s="118"/>
      <c r="T105" s="122"/>
      <c r="U105" s="122"/>
      <c r="V105" s="122"/>
      <c r="W105" s="122"/>
      <c r="X105" s="48" t="s">
        <v>133</v>
      </c>
      <c r="Y105" s="48">
        <v>120</v>
      </c>
      <c r="Z105" s="52">
        <f>0.9*1.2</f>
        <v>1.08</v>
      </c>
      <c r="AA105" s="52">
        <f>0.1*1.2</f>
        <v>0.12</v>
      </c>
      <c r="AB105" s="52">
        <f>9.5*1.2</f>
        <v>11.4</v>
      </c>
      <c r="AC105" s="49">
        <f t="shared" si="27"/>
        <v>51</v>
      </c>
      <c r="AD105" s="52">
        <v>0.04</v>
      </c>
      <c r="AE105" s="52">
        <v>0.01</v>
      </c>
      <c r="AF105" s="52">
        <v>5</v>
      </c>
      <c r="AG105" s="52">
        <v>0</v>
      </c>
      <c r="AH105" s="52">
        <v>0.33</v>
      </c>
      <c r="AI105" s="52">
        <v>25</v>
      </c>
      <c r="AJ105" s="52">
        <v>18.3</v>
      </c>
      <c r="AK105" s="52">
        <v>14.16</v>
      </c>
      <c r="AL105" s="52">
        <v>0.5</v>
      </c>
      <c r="AM105" s="49">
        <v>0.48</v>
      </c>
      <c r="AN105" s="49">
        <v>1E-05</v>
      </c>
      <c r="AO105" s="118"/>
    </row>
    <row r="106" spans="1:41" ht="15.75" customHeight="1">
      <c r="A106" s="93"/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18"/>
      <c r="X106" s="48"/>
      <c r="Y106" s="48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118"/>
    </row>
    <row r="107" spans="1:41" s="63" customFormat="1" ht="15.75" customHeight="1">
      <c r="A107" s="161"/>
      <c r="B107" s="162" t="s">
        <v>21</v>
      </c>
      <c r="C107" s="163">
        <f>SUM(C99:C105)</f>
        <v>790</v>
      </c>
      <c r="D107" s="163">
        <f aca="true" t="shared" si="28" ref="D107:R107">SUM(D99:D105)</f>
        <v>26.351695999999997</v>
      </c>
      <c r="E107" s="163">
        <f t="shared" si="28"/>
        <v>27.974728000000002</v>
      </c>
      <c r="F107" s="163">
        <f t="shared" si="28"/>
        <v>103.415032</v>
      </c>
      <c r="G107" s="163">
        <f t="shared" si="28"/>
        <v>758.835464</v>
      </c>
      <c r="H107" s="163">
        <f t="shared" si="28"/>
        <v>0.38387599999999994</v>
      </c>
      <c r="I107" s="163">
        <f t="shared" si="28"/>
        <v>0.37700799999999995</v>
      </c>
      <c r="J107" s="163">
        <f t="shared" si="28"/>
        <v>9.4958</v>
      </c>
      <c r="K107" s="163">
        <f t="shared" si="28"/>
        <v>0.32</v>
      </c>
      <c r="L107" s="163">
        <f t="shared" si="28"/>
        <v>3.0518279999999995</v>
      </c>
      <c r="M107" s="163">
        <f t="shared" si="28"/>
        <v>264.24456</v>
      </c>
      <c r="N107" s="163">
        <f t="shared" si="28"/>
        <v>372.0004</v>
      </c>
      <c r="O107" s="163">
        <f t="shared" si="28"/>
        <v>73.25052</v>
      </c>
      <c r="P107" s="163">
        <f t="shared" si="28"/>
        <v>4.71504</v>
      </c>
      <c r="Q107" s="163">
        <f t="shared" si="28"/>
        <v>5.00437</v>
      </c>
      <c r="R107" s="163">
        <f t="shared" si="28"/>
        <v>0.05561000000000001</v>
      </c>
      <c r="S107" s="118"/>
      <c r="T107" s="122"/>
      <c r="U107" s="122"/>
      <c r="V107" s="122"/>
      <c r="W107" s="122"/>
      <c r="X107" s="53" t="s">
        <v>21</v>
      </c>
      <c r="Y107" s="54">
        <f>SUM(Y99:Y105)</f>
        <v>630</v>
      </c>
      <c r="Z107" s="54">
        <f aca="true" t="shared" si="29" ref="Z107:AN107">SUM(Z99:Z105)</f>
        <v>19.829700000000003</v>
      </c>
      <c r="AA107" s="54">
        <f t="shared" si="29"/>
        <v>18.573600000000003</v>
      </c>
      <c r="AB107" s="54">
        <f t="shared" si="29"/>
        <v>85.39489999999999</v>
      </c>
      <c r="AC107" s="54">
        <f t="shared" si="29"/>
        <v>588.0608</v>
      </c>
      <c r="AD107" s="54">
        <f t="shared" si="29"/>
        <v>0.29845</v>
      </c>
      <c r="AE107" s="54">
        <f t="shared" si="29"/>
        <v>0.3121</v>
      </c>
      <c r="AF107" s="54">
        <f t="shared" si="29"/>
        <v>9.6954</v>
      </c>
      <c r="AG107" s="54">
        <f t="shared" si="29"/>
        <v>0.49</v>
      </c>
      <c r="AH107" s="54">
        <f t="shared" si="29"/>
        <v>4.025849999999999</v>
      </c>
      <c r="AI107" s="54">
        <f t="shared" si="29"/>
        <v>229.4795</v>
      </c>
      <c r="AJ107" s="54">
        <f t="shared" si="29"/>
        <v>290.6175</v>
      </c>
      <c r="AK107" s="54">
        <f t="shared" si="29"/>
        <v>74.534</v>
      </c>
      <c r="AL107" s="54">
        <f t="shared" si="29"/>
        <v>3.7929999999999997</v>
      </c>
      <c r="AM107" s="54">
        <f t="shared" si="29"/>
        <v>3.5889999999999995</v>
      </c>
      <c r="AN107" s="54">
        <f t="shared" si="29"/>
        <v>0.040010000000000004</v>
      </c>
      <c r="AO107" s="118"/>
    </row>
    <row r="108" spans="1:41" ht="15.75" customHeight="1">
      <c r="A108" s="158"/>
      <c r="B108" s="174" t="s">
        <v>98</v>
      </c>
      <c r="C108" s="174"/>
      <c r="D108" s="1">
        <v>22.5</v>
      </c>
      <c r="E108" s="1">
        <v>23</v>
      </c>
      <c r="F108" s="1">
        <v>95.75</v>
      </c>
      <c r="G108" s="1">
        <v>678.25</v>
      </c>
      <c r="H108" s="1">
        <v>0.35</v>
      </c>
      <c r="I108" s="1">
        <v>0.4</v>
      </c>
      <c r="J108" s="1">
        <v>17.5</v>
      </c>
      <c r="K108" s="1">
        <v>0.23</v>
      </c>
      <c r="L108" s="1">
        <v>3</v>
      </c>
      <c r="M108" s="1">
        <v>300</v>
      </c>
      <c r="N108" s="1">
        <v>450</v>
      </c>
      <c r="O108" s="1">
        <v>75</v>
      </c>
      <c r="P108" s="1">
        <v>4.25</v>
      </c>
      <c r="Q108" s="1">
        <v>3.5</v>
      </c>
      <c r="R108" s="1">
        <v>0.025</v>
      </c>
      <c r="S108" s="118"/>
      <c r="X108" s="55" t="s">
        <v>98</v>
      </c>
      <c r="Y108" s="55"/>
      <c r="Z108" s="56">
        <v>19.25</v>
      </c>
      <c r="AA108" s="56">
        <v>19.75</v>
      </c>
      <c r="AB108" s="56">
        <v>83.75</v>
      </c>
      <c r="AC108" s="56">
        <v>587.5</v>
      </c>
      <c r="AD108" s="56">
        <v>0.3</v>
      </c>
      <c r="AE108" s="56">
        <v>0.35</v>
      </c>
      <c r="AF108" s="56">
        <v>15</v>
      </c>
      <c r="AG108" s="56">
        <v>0.175</v>
      </c>
      <c r="AH108" s="56">
        <v>2.5</v>
      </c>
      <c r="AI108" s="56">
        <v>275</v>
      </c>
      <c r="AJ108" s="56">
        <v>412.5</v>
      </c>
      <c r="AK108" s="56">
        <v>62.5</v>
      </c>
      <c r="AL108" s="56">
        <v>3</v>
      </c>
      <c r="AM108" s="56">
        <v>2.5</v>
      </c>
      <c r="AN108" s="56">
        <v>0.025</v>
      </c>
      <c r="AO108" s="118"/>
    </row>
    <row r="109" spans="1:41" ht="35.25" customHeight="1">
      <c r="A109" s="158"/>
      <c r="B109" s="174"/>
      <c r="C109" s="17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18"/>
      <c r="X109" s="55"/>
      <c r="Y109" s="55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118"/>
    </row>
    <row r="110" spans="1:41" s="44" customFormat="1" ht="15.75" customHeight="1">
      <c r="A110" s="158"/>
      <c r="B110" s="159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"/>
      <c r="S110" s="118"/>
      <c r="T110" s="122"/>
      <c r="U110" s="122"/>
      <c r="V110" s="122"/>
      <c r="W110" s="122"/>
      <c r="X110" s="45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O110" s="118"/>
    </row>
    <row r="111" spans="1:41" ht="15.75" customHeight="1">
      <c r="A111" s="158"/>
      <c r="B111" s="1"/>
      <c r="C111" s="1"/>
      <c r="D111" s="216" t="s">
        <v>149</v>
      </c>
      <c r="E111" s="216"/>
      <c r="F111" s="216"/>
      <c r="G111" s="213" t="s">
        <v>150</v>
      </c>
      <c r="H111" s="215" t="s">
        <v>151</v>
      </c>
      <c r="I111" s="215"/>
      <c r="J111" s="215"/>
      <c r="K111" s="215"/>
      <c r="L111" s="215"/>
      <c r="M111" s="215" t="s">
        <v>148</v>
      </c>
      <c r="N111" s="215"/>
      <c r="O111" s="215"/>
      <c r="P111" s="215"/>
      <c r="Q111" s="170"/>
      <c r="R111" s="158"/>
      <c r="S111" s="86"/>
      <c r="X111" s="63"/>
      <c r="Z111" s="204" t="s">
        <v>149</v>
      </c>
      <c r="AA111" s="204"/>
      <c r="AB111" s="204"/>
      <c r="AC111" s="205" t="s">
        <v>150</v>
      </c>
      <c r="AD111" s="210" t="s">
        <v>151</v>
      </c>
      <c r="AE111" s="210"/>
      <c r="AF111" s="210"/>
      <c r="AG111" s="210"/>
      <c r="AH111" s="210"/>
      <c r="AI111" s="210" t="s">
        <v>148</v>
      </c>
      <c r="AJ111" s="210"/>
      <c r="AK111" s="210"/>
      <c r="AL111" s="210"/>
      <c r="AM111" s="142"/>
      <c r="AN111" s="84"/>
      <c r="AO111" s="86"/>
    </row>
    <row r="112" spans="1:41" s="44" customFormat="1" ht="43.5" customHeight="1">
      <c r="A112" s="158"/>
      <c r="B112" s="1"/>
      <c r="C112" s="1"/>
      <c r="D112" s="171" t="s">
        <v>0</v>
      </c>
      <c r="E112" s="171" t="s">
        <v>1</v>
      </c>
      <c r="F112" s="171" t="s">
        <v>2</v>
      </c>
      <c r="G112" s="214"/>
      <c r="H112" s="170" t="s">
        <v>41</v>
      </c>
      <c r="I112" s="170" t="s">
        <v>45</v>
      </c>
      <c r="J112" s="170" t="s">
        <v>42</v>
      </c>
      <c r="K112" s="170" t="s">
        <v>43</v>
      </c>
      <c r="L112" s="170" t="s">
        <v>44</v>
      </c>
      <c r="M112" s="171" t="s">
        <v>46</v>
      </c>
      <c r="N112" s="171" t="s">
        <v>47</v>
      </c>
      <c r="O112" s="171" t="s">
        <v>48</v>
      </c>
      <c r="P112" s="171" t="s">
        <v>49</v>
      </c>
      <c r="Q112" s="171" t="s">
        <v>100</v>
      </c>
      <c r="R112" s="171" t="s">
        <v>99</v>
      </c>
      <c r="S112" s="121"/>
      <c r="T112" s="122"/>
      <c r="U112" s="122"/>
      <c r="V112" s="122"/>
      <c r="W112" s="122"/>
      <c r="Z112" s="143" t="s">
        <v>0</v>
      </c>
      <c r="AA112" s="143" t="s">
        <v>1</v>
      </c>
      <c r="AB112" s="143" t="s">
        <v>2</v>
      </c>
      <c r="AC112" s="206"/>
      <c r="AD112" s="142" t="s">
        <v>41</v>
      </c>
      <c r="AE112" s="142" t="s">
        <v>45</v>
      </c>
      <c r="AF112" s="142" t="s">
        <v>42</v>
      </c>
      <c r="AG112" s="142" t="s">
        <v>43</v>
      </c>
      <c r="AH112" s="142" t="s">
        <v>44</v>
      </c>
      <c r="AI112" s="143" t="s">
        <v>46</v>
      </c>
      <c r="AJ112" s="143" t="s">
        <v>47</v>
      </c>
      <c r="AK112" s="143" t="s">
        <v>48</v>
      </c>
      <c r="AL112" s="143" t="s">
        <v>49</v>
      </c>
      <c r="AM112" s="143" t="s">
        <v>100</v>
      </c>
      <c r="AN112" s="143" t="s">
        <v>99</v>
      </c>
      <c r="AO112" s="121"/>
    </row>
    <row r="113" spans="1:41" s="49" customFormat="1" ht="15.75" customHeight="1">
      <c r="A113" s="158"/>
      <c r="B113" s="1" t="s">
        <v>103</v>
      </c>
      <c r="C113" s="1"/>
      <c r="D113" s="1">
        <v>90</v>
      </c>
      <c r="E113" s="1">
        <v>92</v>
      </c>
      <c r="F113" s="1">
        <v>383</v>
      </c>
      <c r="G113" s="1">
        <v>2713</v>
      </c>
      <c r="H113" s="1">
        <v>1.4</v>
      </c>
      <c r="I113" s="1">
        <v>1.6</v>
      </c>
      <c r="J113" s="1">
        <v>70</v>
      </c>
      <c r="K113" s="1">
        <v>0.9</v>
      </c>
      <c r="L113" s="1">
        <v>12</v>
      </c>
      <c r="M113" s="1">
        <v>1200</v>
      </c>
      <c r="N113" s="1">
        <v>1800</v>
      </c>
      <c r="O113" s="1">
        <v>300</v>
      </c>
      <c r="P113" s="1">
        <v>17</v>
      </c>
      <c r="Q113" s="1">
        <v>14</v>
      </c>
      <c r="R113" s="1">
        <v>0.12</v>
      </c>
      <c r="S113" s="86"/>
      <c r="T113" s="122"/>
      <c r="U113" s="122"/>
      <c r="V113" s="122"/>
      <c r="W113" s="122"/>
      <c r="X113" s="44" t="s">
        <v>103</v>
      </c>
      <c r="Z113" s="44">
        <v>77</v>
      </c>
      <c r="AA113" s="44">
        <v>79</v>
      </c>
      <c r="AB113" s="44">
        <v>335</v>
      </c>
      <c r="AC113" s="44">
        <v>2350</v>
      </c>
      <c r="AD113" s="44">
        <v>1.2</v>
      </c>
      <c r="AE113" s="44">
        <v>1.4</v>
      </c>
      <c r="AF113" s="44">
        <v>60</v>
      </c>
      <c r="AG113" s="44">
        <v>0.7</v>
      </c>
      <c r="AH113" s="44">
        <v>10</v>
      </c>
      <c r="AI113" s="44">
        <v>1100</v>
      </c>
      <c r="AJ113" s="44">
        <v>1650</v>
      </c>
      <c r="AK113" s="44">
        <v>250</v>
      </c>
      <c r="AL113" s="44">
        <v>12</v>
      </c>
      <c r="AM113" s="44">
        <v>10</v>
      </c>
      <c r="AN113" s="44">
        <v>0.1</v>
      </c>
      <c r="AO113" s="86"/>
    </row>
    <row r="114" spans="1:41" s="49" customFormat="1" ht="15.75" customHeight="1">
      <c r="A114" s="158"/>
      <c r="B114" s="107" t="s">
        <v>162</v>
      </c>
      <c r="C114" s="107"/>
      <c r="D114" s="107">
        <f>D113*0.25</f>
        <v>22.5</v>
      </c>
      <c r="E114" s="107">
        <f aca="true" t="shared" si="30" ref="E114:R114">E113*0.25</f>
        <v>23</v>
      </c>
      <c r="F114" s="107">
        <f t="shared" si="30"/>
        <v>95.75</v>
      </c>
      <c r="G114" s="107">
        <f>G113*0.25</f>
        <v>678.25</v>
      </c>
      <c r="H114" s="107">
        <f t="shared" si="30"/>
        <v>0.35</v>
      </c>
      <c r="I114" s="107">
        <f t="shared" si="30"/>
        <v>0.4</v>
      </c>
      <c r="J114" s="107">
        <f t="shared" si="30"/>
        <v>17.5</v>
      </c>
      <c r="K114" s="107">
        <f t="shared" si="30"/>
        <v>0.225</v>
      </c>
      <c r="L114" s="107">
        <f t="shared" si="30"/>
        <v>3</v>
      </c>
      <c r="M114" s="107">
        <f t="shared" si="30"/>
        <v>300</v>
      </c>
      <c r="N114" s="107">
        <f t="shared" si="30"/>
        <v>450</v>
      </c>
      <c r="O114" s="107">
        <f t="shared" si="30"/>
        <v>75</v>
      </c>
      <c r="P114" s="107">
        <f t="shared" si="30"/>
        <v>4.25</v>
      </c>
      <c r="Q114" s="107">
        <f t="shared" si="30"/>
        <v>3.5</v>
      </c>
      <c r="R114" s="107">
        <f t="shared" si="30"/>
        <v>0.03</v>
      </c>
      <c r="S114" s="118"/>
      <c r="T114" s="122"/>
      <c r="U114" s="122"/>
      <c r="V114" s="122"/>
      <c r="W114" s="122"/>
      <c r="X114" s="67" t="s">
        <v>97</v>
      </c>
      <c r="Y114" s="67"/>
      <c r="Z114" s="67">
        <f>Z113*0.25</f>
        <v>19.25</v>
      </c>
      <c r="AA114" s="67">
        <f aca="true" t="shared" si="31" ref="AA114:AN114">AA113*0.25</f>
        <v>19.75</v>
      </c>
      <c r="AB114" s="67">
        <f t="shared" si="31"/>
        <v>83.75</v>
      </c>
      <c r="AC114" s="67">
        <f t="shared" si="31"/>
        <v>587.5</v>
      </c>
      <c r="AD114" s="67">
        <f t="shared" si="31"/>
        <v>0.3</v>
      </c>
      <c r="AE114" s="67">
        <f t="shared" si="31"/>
        <v>0.35</v>
      </c>
      <c r="AF114" s="67">
        <f t="shared" si="31"/>
        <v>15</v>
      </c>
      <c r="AG114" s="67">
        <f t="shared" si="31"/>
        <v>0.175</v>
      </c>
      <c r="AH114" s="67">
        <f t="shared" si="31"/>
        <v>2.5</v>
      </c>
      <c r="AI114" s="67">
        <f t="shared" si="31"/>
        <v>275</v>
      </c>
      <c r="AJ114" s="67">
        <f t="shared" si="31"/>
        <v>412.5</v>
      </c>
      <c r="AK114" s="67">
        <f t="shared" si="31"/>
        <v>62.5</v>
      </c>
      <c r="AL114" s="67">
        <f t="shared" si="31"/>
        <v>3</v>
      </c>
      <c r="AM114" s="67">
        <f t="shared" si="31"/>
        <v>2.5</v>
      </c>
      <c r="AN114" s="67">
        <f t="shared" si="31"/>
        <v>0.025</v>
      </c>
      <c r="AO114" s="118"/>
    </row>
    <row r="115" spans="1:41" s="49" customFormat="1" ht="15.75" customHeight="1">
      <c r="A115" s="15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18"/>
      <c r="T115" s="122"/>
      <c r="U115" s="122"/>
      <c r="V115" s="122"/>
      <c r="W115" s="122"/>
      <c r="X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118"/>
    </row>
    <row r="116" spans="1:41" s="58" customFormat="1" ht="15.75" customHeight="1">
      <c r="A116" s="172"/>
      <c r="B116" s="173" t="s">
        <v>161</v>
      </c>
      <c r="C116" s="107"/>
      <c r="D116" s="107">
        <f>(D107+D96+D87+D75+D64+D53+D43+D33+D22+D12)/10</f>
        <v>24.81950826693541</v>
      </c>
      <c r="E116" s="107">
        <f aca="true" t="shared" si="32" ref="E116:R116">(E107+E96+E87+E75+E64+E53+E43+E33+E22+E12)/10</f>
        <v>24.546487591059446</v>
      </c>
      <c r="F116" s="107">
        <f t="shared" si="32"/>
        <v>99.90463241706098</v>
      </c>
      <c r="G116" s="107">
        <f t="shared" si="32"/>
        <v>689.9389817615364</v>
      </c>
      <c r="H116" s="107">
        <f t="shared" si="32"/>
        <v>0.4779454763525157</v>
      </c>
      <c r="I116" s="107">
        <f t="shared" si="32"/>
        <v>0.5961932770131478</v>
      </c>
      <c r="J116" s="107">
        <f t="shared" si="32"/>
        <v>18.033812183689395</v>
      </c>
      <c r="K116" s="107">
        <f t="shared" si="32"/>
        <v>0.48701</v>
      </c>
      <c r="L116" s="107">
        <f t="shared" si="32"/>
        <v>3.780308189325526</v>
      </c>
      <c r="M116" s="107">
        <f t="shared" si="32"/>
        <v>302.39485379926373</v>
      </c>
      <c r="N116" s="107">
        <f>(N107+N96+N87+N75+N64+N53+N43+N33+N22+N12)/10</f>
        <v>455.0808392101949</v>
      </c>
      <c r="O116" s="107">
        <f t="shared" si="32"/>
        <v>79.60287029187427</v>
      </c>
      <c r="P116" s="107">
        <f t="shared" si="32"/>
        <v>6.289911518796993</v>
      </c>
      <c r="Q116" s="107">
        <f t="shared" si="32"/>
        <v>4.041398</v>
      </c>
      <c r="R116" s="107">
        <f t="shared" si="32"/>
        <v>0.052683</v>
      </c>
      <c r="S116" s="120"/>
      <c r="T116" s="123"/>
      <c r="U116" s="123"/>
      <c r="V116" s="123"/>
      <c r="W116" s="123"/>
      <c r="X116" s="65" t="s">
        <v>101</v>
      </c>
      <c r="Y116" s="66"/>
      <c r="Z116" s="66">
        <f aca="true" t="shared" si="33" ref="Z116:AN116">(Z107+Z96+Z87+Z75+Z64+Z53+Z43+Z33+Z22+Z12)/10</f>
        <v>21.660979111749857</v>
      </c>
      <c r="AA116" s="66">
        <f t="shared" si="33"/>
        <v>19.649528253376843</v>
      </c>
      <c r="AB116" s="66">
        <f t="shared" si="33"/>
        <v>84.85084443469097</v>
      </c>
      <c r="AC116" s="66">
        <f t="shared" si="33"/>
        <v>613.0556484661548</v>
      </c>
      <c r="AD116" s="66">
        <f t="shared" si="33"/>
        <v>0.38727173741775484</v>
      </c>
      <c r="AE116" s="66">
        <f t="shared" si="33"/>
        <v>0.5110367395346976</v>
      </c>
      <c r="AF116" s="66">
        <f t="shared" si="33"/>
        <v>19.687315202471716</v>
      </c>
      <c r="AG116" s="66">
        <f t="shared" si="33"/>
        <v>1.0261</v>
      </c>
      <c r="AH116" s="66">
        <f t="shared" si="33"/>
        <v>4.9329027936808485</v>
      </c>
      <c r="AI116" s="66">
        <f t="shared" si="33"/>
        <v>266.2944188240346</v>
      </c>
      <c r="AJ116" s="66">
        <f t="shared" si="33"/>
        <v>382.36664532697193</v>
      </c>
      <c r="AK116" s="66">
        <f t="shared" si="33"/>
        <v>112.31448757270178</v>
      </c>
      <c r="AL116" s="66">
        <f t="shared" si="33"/>
        <v>11.179941463647076</v>
      </c>
      <c r="AM116" s="66">
        <f t="shared" si="33"/>
        <v>3.28418</v>
      </c>
      <c r="AN116" s="66">
        <f t="shared" si="33"/>
        <v>0.039103000000000006</v>
      </c>
      <c r="AO116" s="120"/>
    </row>
    <row r="117" spans="1:41" s="63" customFormat="1" ht="15.75" customHeight="1">
      <c r="A117" s="158"/>
      <c r="B117" s="15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18"/>
      <c r="T117" s="122"/>
      <c r="U117" s="122"/>
      <c r="V117" s="122"/>
      <c r="W117" s="122"/>
      <c r="X117" s="64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118"/>
    </row>
    <row r="118" spans="1:41" s="131" customFormat="1" ht="15.75" customHeight="1">
      <c r="A118" s="127"/>
      <c r="B118" s="128"/>
      <c r="C118" s="85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30"/>
      <c r="T118" s="122"/>
      <c r="U118" s="122"/>
      <c r="V118" s="122"/>
      <c r="W118" s="122"/>
      <c r="X118" s="128"/>
      <c r="Y118" s="85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30"/>
    </row>
    <row r="119" spans="1:24" s="122" customFormat="1" ht="15.75" customHeight="1">
      <c r="A119" s="138"/>
      <c r="B119" s="139"/>
      <c r="X119" s="139"/>
    </row>
    <row r="120" spans="1:24" s="122" customFormat="1" ht="15.75" customHeight="1">
      <c r="A120" s="138"/>
      <c r="B120" s="139"/>
      <c r="X120" s="139"/>
    </row>
    <row r="121" spans="1:24" s="122" customFormat="1" ht="15.75" customHeight="1">
      <c r="A121" s="138"/>
      <c r="B121" s="139"/>
      <c r="X121" s="139"/>
    </row>
    <row r="122" spans="1:24" s="122" customFormat="1" ht="15.75" customHeight="1">
      <c r="A122" s="138"/>
      <c r="B122" s="139"/>
      <c r="X122" s="139"/>
    </row>
    <row r="123" spans="1:24" s="122" customFormat="1" ht="15.75" customHeight="1">
      <c r="A123" s="138"/>
      <c r="B123" s="139"/>
      <c r="X123" s="139"/>
    </row>
    <row r="124" spans="1:24" s="122" customFormat="1" ht="15.75" customHeight="1">
      <c r="A124" s="138"/>
      <c r="B124" s="139"/>
      <c r="X124" s="139"/>
    </row>
    <row r="125" spans="1:24" s="122" customFormat="1" ht="15.75" customHeight="1">
      <c r="A125" s="138"/>
      <c r="B125" s="139"/>
      <c r="X125" s="139"/>
    </row>
    <row r="126" spans="1:24" s="122" customFormat="1" ht="15.75" customHeight="1">
      <c r="A126" s="138"/>
      <c r="B126" s="139"/>
      <c r="X126" s="139"/>
    </row>
    <row r="127" spans="1:24" s="122" customFormat="1" ht="15.75" customHeight="1">
      <c r="A127" s="138"/>
      <c r="B127" s="139"/>
      <c r="X127" s="139"/>
    </row>
    <row r="128" spans="1:24" s="122" customFormat="1" ht="15.75" customHeight="1">
      <c r="A128" s="138"/>
      <c r="B128" s="139"/>
      <c r="X128" s="139"/>
    </row>
    <row r="129" spans="1:24" s="122" customFormat="1" ht="15.75" customHeight="1">
      <c r="A129" s="138"/>
      <c r="B129" s="139"/>
      <c r="X129" s="139"/>
    </row>
    <row r="130" spans="1:24" s="122" customFormat="1" ht="15.75" customHeight="1">
      <c r="A130" s="138"/>
      <c r="B130" s="139"/>
      <c r="X130" s="139"/>
    </row>
    <row r="131" spans="1:24" s="122" customFormat="1" ht="15.75" customHeight="1">
      <c r="A131" s="138"/>
      <c r="B131" s="139"/>
      <c r="X131" s="139"/>
    </row>
    <row r="132" spans="1:24" s="122" customFormat="1" ht="15.75" customHeight="1">
      <c r="A132" s="138"/>
      <c r="B132" s="139"/>
      <c r="X132" s="139"/>
    </row>
    <row r="133" spans="1:24" s="122" customFormat="1" ht="15.75" customHeight="1">
      <c r="A133" s="138"/>
      <c r="B133" s="139"/>
      <c r="X133" s="139"/>
    </row>
    <row r="134" spans="1:24" s="122" customFormat="1" ht="15.75" customHeight="1">
      <c r="A134" s="138"/>
      <c r="B134" s="139"/>
      <c r="X134" s="139"/>
    </row>
    <row r="135" spans="1:24" s="122" customFormat="1" ht="15.75" customHeight="1">
      <c r="A135" s="138"/>
      <c r="B135" s="139"/>
      <c r="X135" s="139"/>
    </row>
    <row r="136" spans="1:24" s="122" customFormat="1" ht="15.75" customHeight="1">
      <c r="A136" s="138"/>
      <c r="B136" s="139"/>
      <c r="X136" s="139"/>
    </row>
    <row r="137" spans="1:24" s="122" customFormat="1" ht="15.75" customHeight="1">
      <c r="A137" s="138"/>
      <c r="B137" s="139"/>
      <c r="X137" s="139"/>
    </row>
    <row r="138" spans="1:24" s="122" customFormat="1" ht="15.75" customHeight="1">
      <c r="A138" s="138"/>
      <c r="B138" s="139"/>
      <c r="X138" s="139"/>
    </row>
    <row r="139" spans="1:24" s="122" customFormat="1" ht="15.75" customHeight="1">
      <c r="A139" s="138"/>
      <c r="B139" s="139"/>
      <c r="X139" s="139"/>
    </row>
    <row r="140" spans="1:24" s="122" customFormat="1" ht="15.75" customHeight="1">
      <c r="A140" s="138"/>
      <c r="B140" s="139"/>
      <c r="X140" s="139"/>
    </row>
    <row r="141" spans="1:24" s="122" customFormat="1" ht="15.75" customHeight="1">
      <c r="A141" s="138"/>
      <c r="B141" s="139"/>
      <c r="X141" s="139"/>
    </row>
    <row r="142" spans="1:24" s="122" customFormat="1" ht="15.75" customHeight="1">
      <c r="A142" s="138"/>
      <c r="B142" s="139"/>
      <c r="X142" s="139"/>
    </row>
    <row r="143" spans="1:24" s="122" customFormat="1" ht="15.75" customHeight="1">
      <c r="A143" s="138"/>
      <c r="B143" s="139"/>
      <c r="X143" s="139"/>
    </row>
    <row r="144" spans="1:24" s="122" customFormat="1" ht="15.75" customHeight="1">
      <c r="A144" s="138"/>
      <c r="B144" s="139"/>
      <c r="X144" s="139"/>
    </row>
    <row r="145" spans="1:24" s="122" customFormat="1" ht="15.75" customHeight="1">
      <c r="A145" s="138"/>
      <c r="B145" s="139"/>
      <c r="X145" s="139"/>
    </row>
    <row r="146" spans="1:24" s="122" customFormat="1" ht="15.75" customHeight="1">
      <c r="A146" s="138"/>
      <c r="B146" s="139"/>
      <c r="X146" s="139"/>
    </row>
    <row r="147" spans="1:24" s="122" customFormat="1" ht="15.75" customHeight="1">
      <c r="A147" s="138"/>
      <c r="B147" s="139"/>
      <c r="X147" s="139"/>
    </row>
    <row r="148" spans="1:24" s="122" customFormat="1" ht="15.75" customHeight="1">
      <c r="A148" s="138"/>
      <c r="B148" s="139"/>
      <c r="X148" s="139"/>
    </row>
    <row r="149" spans="1:41" s="137" customFormat="1" ht="15.75" customHeight="1">
      <c r="A149" s="132"/>
      <c r="B149" s="133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6"/>
      <c r="T149" s="122"/>
      <c r="U149" s="122"/>
      <c r="V149" s="122"/>
      <c r="W149" s="122"/>
      <c r="X149" s="133"/>
      <c r="Y149" s="134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6"/>
    </row>
    <row r="150" spans="4:41" ht="15.75" customHeight="1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118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118"/>
    </row>
    <row r="151" spans="4:41" ht="15.75" customHeight="1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118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118"/>
    </row>
    <row r="152" spans="4:41" ht="15.75" customHeight="1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118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118"/>
    </row>
    <row r="153" spans="4:41" ht="15.75" customHeight="1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118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118"/>
    </row>
    <row r="154" spans="4:41" ht="15.75" customHeight="1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118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118"/>
    </row>
    <row r="155" spans="4:41" ht="15.75" customHeight="1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118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118"/>
    </row>
    <row r="156" spans="4:41" ht="15.75" customHeight="1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118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118"/>
    </row>
    <row r="157" spans="4:41" ht="15.75" customHeight="1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118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118"/>
    </row>
    <row r="158" spans="4:41" ht="15.75" customHeight="1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118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118"/>
    </row>
    <row r="159" spans="4:41" ht="15.75" customHeight="1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118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118"/>
    </row>
  </sheetData>
  <sheetProtection/>
  <mergeCells count="26"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G111:G112"/>
    <mergeCell ref="H111:L111"/>
    <mergeCell ref="M111:P111"/>
    <mergeCell ref="D111:F111"/>
    <mergeCell ref="A77:B77"/>
    <mergeCell ref="A89:B89"/>
    <mergeCell ref="A98:B98"/>
    <mergeCell ref="A35:B35"/>
    <mergeCell ref="A55:B55"/>
    <mergeCell ref="Z4:AB4"/>
    <mergeCell ref="AC4:AC5"/>
    <mergeCell ref="AD4:AH4"/>
    <mergeCell ref="AI4:AN4"/>
    <mergeCell ref="Z111:AB111"/>
    <mergeCell ref="AC111:AC112"/>
    <mergeCell ref="AD111:AH111"/>
    <mergeCell ref="AI111:AL111"/>
  </mergeCells>
  <printOptions/>
  <pageMargins left="0.6299212598425197" right="0.2362204724409449" top="0.7480314960629921" bottom="0.7480314960629921" header="0.31496062992125984" footer="0.31496062992125984"/>
  <pageSetup orientation="landscape" paperSize="9" scale="60" r:id="rId1"/>
  <ignoredErrors>
    <ignoredError sqref="G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6"/>
  <sheetViews>
    <sheetView tabSelected="1" zoomScale="87" zoomScaleNormal="87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4.28125" defaultRowHeight="10.5" customHeight="1"/>
  <cols>
    <col min="1" max="1" width="8.8515625" style="82" customWidth="1"/>
    <col min="2" max="2" width="49.57421875" style="1" customWidth="1"/>
    <col min="3" max="3" width="11.7109375" style="1" customWidth="1"/>
    <col min="4" max="4" width="6.57421875" style="1" customWidth="1"/>
    <col min="5" max="5" width="11.00390625" style="1" customWidth="1"/>
    <col min="6" max="6" width="9.00390625" style="1" customWidth="1"/>
    <col min="7" max="7" width="7.28125" style="1" customWidth="1"/>
    <col min="8" max="8" width="12.00390625" style="1" customWidth="1"/>
    <col min="9" max="9" width="8.57421875" style="1" customWidth="1"/>
    <col min="10" max="10" width="7.140625" style="1" customWidth="1"/>
    <col min="11" max="11" width="7.421875" style="1" customWidth="1"/>
    <col min="12" max="12" width="6.421875" style="1" customWidth="1"/>
    <col min="13" max="13" width="6.28125" style="1" customWidth="1"/>
    <col min="14" max="14" width="6.140625" style="1" customWidth="1"/>
    <col min="15" max="15" width="6.421875" style="1" customWidth="1"/>
    <col min="16" max="17" width="6.00390625" style="1" customWidth="1"/>
    <col min="18" max="18" width="5.8515625" style="1" customWidth="1"/>
    <col min="19" max="19" width="8.28125" style="1" customWidth="1"/>
    <col min="20" max="20" width="6.8515625" style="1" customWidth="1"/>
    <col min="21" max="22" width="5.28125" style="1" customWidth="1"/>
    <col min="23" max="23" width="6.57421875" style="1" customWidth="1"/>
    <col min="24" max="24" width="7.57421875" style="1" customWidth="1"/>
    <col min="25" max="25" width="6.421875" style="1" customWidth="1"/>
    <col min="26" max="26" width="6.57421875" style="1" customWidth="1"/>
    <col min="27" max="27" width="7.28125" style="1" customWidth="1"/>
    <col min="28" max="28" width="5.00390625" style="1" customWidth="1"/>
    <col min="29" max="30" width="6.421875" style="1" customWidth="1"/>
    <col min="31" max="31" width="7.140625" style="1" customWidth="1"/>
    <col min="32" max="33" width="7.28125" style="1" customWidth="1"/>
    <col min="34" max="35" width="4.28125" style="8" customWidth="1"/>
    <col min="36" max="36" width="0" style="8" hidden="1" customWidth="1"/>
    <col min="37" max="37" width="5.7109375" style="8" hidden="1" customWidth="1"/>
    <col min="38" max="38" width="8.8515625" style="82" hidden="1" customWidth="1"/>
    <col min="39" max="39" width="49.57421875" style="1" hidden="1" customWidth="1"/>
    <col min="40" max="40" width="7.00390625" style="1" hidden="1" customWidth="1"/>
    <col min="41" max="41" width="6.57421875" style="1" hidden="1" customWidth="1"/>
    <col min="42" max="42" width="10.140625" style="1" hidden="1" customWidth="1"/>
    <col min="43" max="43" width="9.00390625" style="1" hidden="1" customWidth="1"/>
    <col min="44" max="44" width="7.28125" style="1" hidden="1" customWidth="1"/>
    <col min="45" max="45" width="7.8515625" style="1" hidden="1" customWidth="1"/>
    <col min="46" max="46" width="5.421875" style="1" hidden="1" customWidth="1"/>
    <col min="47" max="47" width="7.140625" style="1" hidden="1" customWidth="1"/>
    <col min="48" max="48" width="7.421875" style="1" hidden="1" customWidth="1"/>
    <col min="49" max="49" width="6.421875" style="1" hidden="1" customWidth="1"/>
    <col min="50" max="50" width="6.28125" style="1" hidden="1" customWidth="1"/>
    <col min="51" max="51" width="6.140625" style="1" hidden="1" customWidth="1"/>
    <col min="52" max="52" width="6.421875" style="1" hidden="1" customWidth="1"/>
    <col min="53" max="54" width="6.00390625" style="1" hidden="1" customWidth="1"/>
    <col min="55" max="55" width="5.8515625" style="1" hidden="1" customWidth="1"/>
    <col min="56" max="56" width="8.28125" style="1" hidden="1" customWidth="1"/>
    <col min="57" max="57" width="6.8515625" style="1" hidden="1" customWidth="1"/>
    <col min="58" max="59" width="5.28125" style="1" hidden="1" customWidth="1"/>
    <col min="60" max="60" width="6.57421875" style="1" hidden="1" customWidth="1"/>
    <col min="61" max="61" width="7.57421875" style="1" hidden="1" customWidth="1"/>
    <col min="62" max="62" width="6.421875" style="1" hidden="1" customWidth="1"/>
    <col min="63" max="63" width="6.57421875" style="1" hidden="1" customWidth="1"/>
    <col min="64" max="64" width="7.28125" style="1" hidden="1" customWidth="1"/>
    <col min="65" max="65" width="5.00390625" style="1" hidden="1" customWidth="1"/>
    <col min="66" max="67" width="6.421875" style="1" hidden="1" customWidth="1"/>
    <col min="68" max="68" width="7.140625" style="1" hidden="1" customWidth="1"/>
    <col min="69" max="70" width="7.28125" style="1" hidden="1" customWidth="1"/>
    <col min="71" max="89" width="0" style="8" hidden="1" customWidth="1"/>
    <col min="90" max="16384" width="4.28125" style="8" customWidth="1"/>
  </cols>
  <sheetData>
    <row r="1" spans="1:70" s="110" customFormat="1" ht="10.5" customHeight="1">
      <c r="A1" s="108"/>
      <c r="B1" s="233" t="s">
        <v>165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L1" s="108"/>
      <c r="AM1" s="109" t="s">
        <v>107</v>
      </c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</row>
    <row r="2" spans="1:70" s="110" customFormat="1" ht="10.5" customHeight="1">
      <c r="A2" s="108"/>
      <c r="B2" s="234" t="s">
        <v>163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L2" s="108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</row>
    <row r="3" spans="1:70" s="14" customFormat="1" ht="10.5" customHeight="1">
      <c r="A3" s="106"/>
      <c r="B3" s="107" t="s">
        <v>137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L3" s="106"/>
      <c r="AM3" s="107" t="s">
        <v>137</v>
      </c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</row>
    <row r="5" spans="1:97" s="114" customFormat="1" ht="38.25" customHeight="1">
      <c r="A5" s="177" t="s">
        <v>76</v>
      </c>
      <c r="B5" s="178" t="s">
        <v>139</v>
      </c>
      <c r="C5" s="179" t="s">
        <v>77</v>
      </c>
      <c r="D5" s="179" t="s">
        <v>12</v>
      </c>
      <c r="E5" s="179" t="s">
        <v>13</v>
      </c>
      <c r="F5" s="179" t="s">
        <v>15</v>
      </c>
      <c r="G5" s="179" t="s">
        <v>14</v>
      </c>
      <c r="H5" s="179" t="s">
        <v>140</v>
      </c>
      <c r="I5" s="179" t="s">
        <v>11</v>
      </c>
      <c r="J5" s="179" t="s">
        <v>64</v>
      </c>
      <c r="K5" s="179" t="s">
        <v>5</v>
      </c>
      <c r="L5" s="179" t="s">
        <v>138</v>
      </c>
      <c r="M5" s="179" t="s">
        <v>141</v>
      </c>
      <c r="N5" s="179" t="s">
        <v>7</v>
      </c>
      <c r="O5" s="179" t="s">
        <v>93</v>
      </c>
      <c r="P5" s="179" t="s">
        <v>8</v>
      </c>
      <c r="Q5" s="179" t="s">
        <v>9</v>
      </c>
      <c r="R5" s="179" t="s">
        <v>67</v>
      </c>
      <c r="S5" s="179" t="s">
        <v>142</v>
      </c>
      <c r="T5" s="179" t="s">
        <v>68</v>
      </c>
      <c r="U5" s="179" t="s">
        <v>40</v>
      </c>
      <c r="V5" s="179" t="s">
        <v>37</v>
      </c>
      <c r="W5" s="179" t="s">
        <v>20</v>
      </c>
      <c r="X5" s="179" t="s">
        <v>143</v>
      </c>
      <c r="Y5" s="179" t="s">
        <v>10</v>
      </c>
      <c r="Z5" s="179" t="s">
        <v>18</v>
      </c>
      <c r="AA5" s="179" t="s">
        <v>144</v>
      </c>
      <c r="AB5" s="179" t="s">
        <v>16</v>
      </c>
      <c r="AC5" s="179" t="s">
        <v>17</v>
      </c>
      <c r="AD5" s="179" t="s">
        <v>57</v>
      </c>
      <c r="AE5" s="179" t="s">
        <v>19</v>
      </c>
      <c r="AF5" s="179" t="s">
        <v>145</v>
      </c>
      <c r="AG5" s="178"/>
      <c r="AH5" s="113"/>
      <c r="AI5" s="113"/>
      <c r="AJ5" s="113"/>
      <c r="AK5" s="113"/>
      <c r="AL5" s="111" t="s">
        <v>76</v>
      </c>
      <c r="AM5" s="112" t="s">
        <v>139</v>
      </c>
      <c r="AN5" s="115" t="s">
        <v>77</v>
      </c>
      <c r="AO5" s="115" t="s">
        <v>12</v>
      </c>
      <c r="AP5" s="115" t="s">
        <v>13</v>
      </c>
      <c r="AQ5" s="115" t="s">
        <v>15</v>
      </c>
      <c r="AR5" s="115" t="s">
        <v>14</v>
      </c>
      <c r="AS5" s="115" t="s">
        <v>140</v>
      </c>
      <c r="AT5" s="115" t="s">
        <v>11</v>
      </c>
      <c r="AU5" s="115" t="s">
        <v>64</v>
      </c>
      <c r="AV5" s="115" t="s">
        <v>5</v>
      </c>
      <c r="AW5" s="115" t="s">
        <v>138</v>
      </c>
      <c r="AX5" s="115" t="s">
        <v>141</v>
      </c>
      <c r="AY5" s="115" t="s">
        <v>7</v>
      </c>
      <c r="AZ5" s="115" t="s">
        <v>93</v>
      </c>
      <c r="BA5" s="115" t="s">
        <v>8</v>
      </c>
      <c r="BB5" s="115" t="s">
        <v>9</v>
      </c>
      <c r="BC5" s="115" t="s">
        <v>67</v>
      </c>
      <c r="BD5" s="115" t="s">
        <v>142</v>
      </c>
      <c r="BE5" s="115" t="s">
        <v>68</v>
      </c>
      <c r="BF5" s="115" t="s">
        <v>40</v>
      </c>
      <c r="BG5" s="115" t="s">
        <v>37</v>
      </c>
      <c r="BH5" s="115" t="s">
        <v>20</v>
      </c>
      <c r="BI5" s="115" t="s">
        <v>143</v>
      </c>
      <c r="BJ5" s="115" t="s">
        <v>10</v>
      </c>
      <c r="BK5" s="115" t="s">
        <v>18</v>
      </c>
      <c r="BL5" s="115" t="s">
        <v>144</v>
      </c>
      <c r="BM5" s="115" t="s">
        <v>16</v>
      </c>
      <c r="BN5" s="115" t="s">
        <v>17</v>
      </c>
      <c r="BO5" s="115" t="s">
        <v>57</v>
      </c>
      <c r="BP5" s="115" t="s">
        <v>19</v>
      </c>
      <c r="BQ5" s="115" t="s">
        <v>145</v>
      </c>
      <c r="BR5" s="112" t="s">
        <v>59</v>
      </c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</row>
    <row r="6" spans="1:70" s="4" customFormat="1" ht="12" customHeight="1">
      <c r="A6" s="68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3"/>
      <c r="AL6" s="68"/>
      <c r="AM6" s="5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3"/>
    </row>
    <row r="7" spans="1:89" s="9" customFormat="1" ht="10.5" customHeight="1">
      <c r="A7" s="211" t="s">
        <v>108</v>
      </c>
      <c r="B7" s="2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8"/>
      <c r="AI7" s="8"/>
      <c r="AJ7" s="8"/>
      <c r="AK7" s="8"/>
      <c r="AL7" s="229" t="s">
        <v>108</v>
      </c>
      <c r="AM7" s="230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</row>
    <row r="8" spans="1:89" s="10" customFormat="1" ht="10.5" customHeight="1">
      <c r="A8" s="93">
        <v>3</v>
      </c>
      <c r="B8" s="3" t="s">
        <v>121</v>
      </c>
      <c r="C8" s="1">
        <v>40</v>
      </c>
      <c r="D8" s="1"/>
      <c r="E8" s="1">
        <v>20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15</v>
      </c>
      <c r="V8" s="1"/>
      <c r="W8" s="1">
        <v>5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8"/>
      <c r="AI8" s="8"/>
      <c r="AJ8" s="8"/>
      <c r="AK8" s="8"/>
      <c r="AL8" s="89">
        <v>3</v>
      </c>
      <c r="AM8" s="90" t="s">
        <v>121</v>
      </c>
      <c r="AN8" s="2">
        <v>40</v>
      </c>
      <c r="AO8" s="2"/>
      <c r="AP8" s="2">
        <v>20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>
        <v>15</v>
      </c>
      <c r="BG8" s="2"/>
      <c r="BH8" s="2">
        <v>5</v>
      </c>
      <c r="BI8" s="2"/>
      <c r="BJ8" s="2"/>
      <c r="BK8" s="2"/>
      <c r="BL8" s="2"/>
      <c r="BM8" s="2"/>
      <c r="BN8" s="2"/>
      <c r="BO8" s="2"/>
      <c r="BP8" s="2"/>
      <c r="BQ8" s="2"/>
      <c r="BR8" s="2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</row>
    <row r="9" spans="1:60" ht="10.5" customHeight="1">
      <c r="A9" s="91"/>
      <c r="B9" s="92" t="s">
        <v>120</v>
      </c>
      <c r="C9" s="11">
        <v>230</v>
      </c>
      <c r="G9" s="1">
        <v>32.06</v>
      </c>
      <c r="R9" s="1">
        <v>190</v>
      </c>
      <c r="W9" s="1">
        <v>5</v>
      </c>
      <c r="AL9" s="91"/>
      <c r="AM9" s="92" t="s">
        <v>120</v>
      </c>
      <c r="AN9" s="11">
        <v>230</v>
      </c>
      <c r="AR9" s="1">
        <f>15.4*2.3</f>
        <v>35.419999999999995</v>
      </c>
      <c r="BC9" s="1">
        <f>88*2.3</f>
        <v>202.39999999999998</v>
      </c>
      <c r="BH9" s="1">
        <v>5</v>
      </c>
    </row>
    <row r="10" spans="1:97" s="10" customFormat="1" ht="10.5" customHeight="1">
      <c r="A10" s="93">
        <v>382</v>
      </c>
      <c r="B10" s="3" t="s">
        <v>6</v>
      </c>
      <c r="C10" s="1">
        <v>200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100</v>
      </c>
      <c r="S10" s="1"/>
      <c r="T10" s="1"/>
      <c r="U10" s="1"/>
      <c r="V10" s="1"/>
      <c r="W10" s="1"/>
      <c r="X10" s="1"/>
      <c r="Y10" s="1"/>
      <c r="Z10" s="1">
        <v>10</v>
      </c>
      <c r="AA10" s="1"/>
      <c r="AB10" s="1"/>
      <c r="AC10" s="1">
        <v>1.5</v>
      </c>
      <c r="AD10" s="1"/>
      <c r="AE10" s="1"/>
      <c r="AF10" s="1"/>
      <c r="AG10" s="1"/>
      <c r="AH10" s="8"/>
      <c r="AI10" s="8"/>
      <c r="AJ10" s="8"/>
      <c r="AK10" s="8"/>
      <c r="AL10" s="89">
        <v>382</v>
      </c>
      <c r="AM10" s="90" t="s">
        <v>6</v>
      </c>
      <c r="AN10" s="2">
        <v>200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>
        <v>100</v>
      </c>
      <c r="BD10" s="2"/>
      <c r="BE10" s="2"/>
      <c r="BF10" s="2"/>
      <c r="BG10" s="2"/>
      <c r="BH10" s="2"/>
      <c r="BI10" s="2"/>
      <c r="BJ10" s="2"/>
      <c r="BK10" s="2">
        <v>10</v>
      </c>
      <c r="BL10" s="2"/>
      <c r="BM10" s="2"/>
      <c r="BN10" s="2">
        <v>1.5</v>
      </c>
      <c r="BO10" s="2"/>
      <c r="BP10" s="2"/>
      <c r="BQ10" s="2"/>
      <c r="BR10" s="2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</row>
    <row r="11" spans="1:70" s="10" customFormat="1" ht="10.5" customHeight="1">
      <c r="A11" s="93"/>
      <c r="B11" s="3" t="s">
        <v>4</v>
      </c>
      <c r="C11" s="1">
        <v>30</v>
      </c>
      <c r="D11" s="1"/>
      <c r="E11" s="1">
        <f>AP11*AK11</f>
        <v>30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K11" s="10">
        <v>1.5</v>
      </c>
      <c r="AL11" s="89"/>
      <c r="AM11" s="90" t="s">
        <v>4</v>
      </c>
      <c r="AN11" s="148">
        <v>20</v>
      </c>
      <c r="AO11" s="148"/>
      <c r="AP11" s="148">
        <v>20</v>
      </c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</row>
    <row r="12" spans="1:97" s="10" customFormat="1" ht="10.5" customHeight="1">
      <c r="A12" s="93">
        <v>368</v>
      </c>
      <c r="B12" s="3" t="s">
        <v>118</v>
      </c>
      <c r="C12" s="1">
        <v>120</v>
      </c>
      <c r="D12" s="1"/>
      <c r="E12" s="1"/>
      <c r="F12" s="1"/>
      <c r="G12" s="1"/>
      <c r="H12" s="1"/>
      <c r="I12" s="1"/>
      <c r="J12" s="1"/>
      <c r="K12" s="1">
        <v>120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9">
        <v>368</v>
      </c>
      <c r="AM12" s="90" t="s">
        <v>118</v>
      </c>
      <c r="AN12" s="2">
        <v>120</v>
      </c>
      <c r="AO12" s="2"/>
      <c r="AP12" s="2"/>
      <c r="AQ12" s="2"/>
      <c r="AR12" s="2"/>
      <c r="AS12" s="2"/>
      <c r="AT12" s="2"/>
      <c r="AU12" s="2"/>
      <c r="AV12" s="2">
        <v>120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1:56" ht="10.5" customHeight="1">
      <c r="A13" s="71"/>
      <c r="AL13" s="7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97" s="15" customFormat="1" ht="10.5" customHeight="1">
      <c r="A14" s="180"/>
      <c r="B14" s="181" t="s">
        <v>156</v>
      </c>
      <c r="C14" s="1">
        <f aca="true" t="shared" si="0" ref="C14:AG14">SUM(C8:C13)</f>
        <v>620</v>
      </c>
      <c r="D14" s="1">
        <f t="shared" si="0"/>
        <v>0</v>
      </c>
      <c r="E14" s="1">
        <f t="shared" si="0"/>
        <v>50</v>
      </c>
      <c r="F14" s="1">
        <f t="shared" si="0"/>
        <v>0</v>
      </c>
      <c r="G14" s="1">
        <f t="shared" si="0"/>
        <v>32.06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120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290</v>
      </c>
      <c r="S14" s="1">
        <f t="shared" si="0"/>
        <v>0</v>
      </c>
      <c r="T14" s="1">
        <f t="shared" si="0"/>
        <v>0</v>
      </c>
      <c r="U14" s="1">
        <f t="shared" si="0"/>
        <v>15</v>
      </c>
      <c r="V14" s="1">
        <f t="shared" si="0"/>
        <v>0</v>
      </c>
      <c r="W14" s="1">
        <f t="shared" si="0"/>
        <v>10</v>
      </c>
      <c r="X14" s="1">
        <f t="shared" si="0"/>
        <v>0</v>
      </c>
      <c r="Y14" s="1">
        <f t="shared" si="0"/>
        <v>0</v>
      </c>
      <c r="Z14" s="1">
        <f t="shared" si="0"/>
        <v>10</v>
      </c>
      <c r="AA14" s="1">
        <f t="shared" si="0"/>
        <v>0</v>
      </c>
      <c r="AB14" s="1">
        <f t="shared" si="0"/>
        <v>0</v>
      </c>
      <c r="AC14" s="1">
        <f t="shared" si="0"/>
        <v>1.5</v>
      </c>
      <c r="AD14" s="1">
        <f t="shared" si="0"/>
        <v>0</v>
      </c>
      <c r="AE14" s="1">
        <f t="shared" si="0"/>
        <v>0</v>
      </c>
      <c r="AF14" s="1">
        <f t="shared" si="0"/>
        <v>0</v>
      </c>
      <c r="AG14" s="1">
        <f t="shared" si="0"/>
        <v>0</v>
      </c>
      <c r="AH14" s="14"/>
      <c r="AI14" s="14"/>
      <c r="AJ14" s="14"/>
      <c r="AK14" s="14"/>
      <c r="AL14" s="72"/>
      <c r="AM14" s="12" t="s">
        <v>156</v>
      </c>
      <c r="AN14" s="13">
        <f aca="true" t="shared" si="1" ref="AN14:BR14">SUM(AN8:AN13)</f>
        <v>610</v>
      </c>
      <c r="AO14" s="13">
        <f t="shared" si="1"/>
        <v>0</v>
      </c>
      <c r="AP14" s="13">
        <f t="shared" si="1"/>
        <v>40</v>
      </c>
      <c r="AQ14" s="13">
        <f t="shared" si="1"/>
        <v>0</v>
      </c>
      <c r="AR14" s="13">
        <f t="shared" si="1"/>
        <v>35.419999999999995</v>
      </c>
      <c r="AS14" s="13">
        <f t="shared" si="1"/>
        <v>0</v>
      </c>
      <c r="AT14" s="13">
        <f t="shared" si="1"/>
        <v>0</v>
      </c>
      <c r="AU14" s="13">
        <f t="shared" si="1"/>
        <v>0</v>
      </c>
      <c r="AV14" s="13">
        <f t="shared" si="1"/>
        <v>120</v>
      </c>
      <c r="AW14" s="13">
        <f t="shared" si="1"/>
        <v>0</v>
      </c>
      <c r="AX14" s="13">
        <f t="shared" si="1"/>
        <v>0</v>
      </c>
      <c r="AY14" s="13">
        <f t="shared" si="1"/>
        <v>0</v>
      </c>
      <c r="AZ14" s="13">
        <f t="shared" si="1"/>
        <v>0</v>
      </c>
      <c r="BA14" s="13">
        <f t="shared" si="1"/>
        <v>0</v>
      </c>
      <c r="BB14" s="13">
        <f t="shared" si="1"/>
        <v>0</v>
      </c>
      <c r="BC14" s="13">
        <f t="shared" si="1"/>
        <v>302.4</v>
      </c>
      <c r="BD14" s="13">
        <f t="shared" si="1"/>
        <v>0</v>
      </c>
      <c r="BE14" s="13">
        <f t="shared" si="1"/>
        <v>0</v>
      </c>
      <c r="BF14" s="13">
        <f t="shared" si="1"/>
        <v>15</v>
      </c>
      <c r="BG14" s="13">
        <f t="shared" si="1"/>
        <v>0</v>
      </c>
      <c r="BH14" s="13">
        <f t="shared" si="1"/>
        <v>10</v>
      </c>
      <c r="BI14" s="13">
        <f t="shared" si="1"/>
        <v>0</v>
      </c>
      <c r="BJ14" s="13">
        <f t="shared" si="1"/>
        <v>0</v>
      </c>
      <c r="BK14" s="13">
        <f t="shared" si="1"/>
        <v>10</v>
      </c>
      <c r="BL14" s="13">
        <f t="shared" si="1"/>
        <v>0</v>
      </c>
      <c r="BM14" s="13">
        <f t="shared" si="1"/>
        <v>0</v>
      </c>
      <c r="BN14" s="13">
        <f t="shared" si="1"/>
        <v>1.5</v>
      </c>
      <c r="BO14" s="13">
        <f t="shared" si="1"/>
        <v>0</v>
      </c>
      <c r="BP14" s="13">
        <f t="shared" si="1"/>
        <v>0</v>
      </c>
      <c r="BQ14" s="13">
        <f t="shared" si="1"/>
        <v>0</v>
      </c>
      <c r="BR14" s="13">
        <f t="shared" si="1"/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70" s="14" customFormat="1" ht="10.5" customHeight="1">
      <c r="A15" s="73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L15" s="73"/>
      <c r="AM15" s="16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97" s="9" customFormat="1" ht="10.5" customHeight="1">
      <c r="A16" s="225" t="s">
        <v>109</v>
      </c>
      <c r="B16" s="22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8"/>
      <c r="AI16" s="8"/>
      <c r="AJ16" s="8"/>
      <c r="AK16" s="8"/>
      <c r="AL16" s="231" t="s">
        <v>109</v>
      </c>
      <c r="AM16" s="231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</row>
    <row r="17" spans="1:70" s="10" customFormat="1" ht="10.5" customHeight="1">
      <c r="A17" s="165"/>
      <c r="B17" s="92" t="s">
        <v>119</v>
      </c>
      <c r="C17" s="11">
        <v>100</v>
      </c>
      <c r="D17" s="11"/>
      <c r="E17" s="11"/>
      <c r="F17" s="11"/>
      <c r="G17" s="11"/>
      <c r="H17" s="11"/>
      <c r="I17" s="11"/>
      <c r="J17" s="11">
        <v>100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2</v>
      </c>
      <c r="AG17" s="11"/>
      <c r="AK17" s="10">
        <v>1.67</v>
      </c>
      <c r="AL17" s="152"/>
      <c r="AM17" s="153" t="s">
        <v>119</v>
      </c>
      <c r="AN17" s="154">
        <v>60</v>
      </c>
      <c r="AO17" s="154"/>
      <c r="AP17" s="154"/>
      <c r="AQ17" s="154"/>
      <c r="AR17" s="154"/>
      <c r="AS17" s="154"/>
      <c r="AT17" s="154"/>
      <c r="AU17" s="154">
        <v>60</v>
      </c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</row>
    <row r="18" spans="1:61" s="148" customFormat="1" ht="10.5" customHeight="1">
      <c r="A18" s="93">
        <v>259</v>
      </c>
      <c r="B18" s="3" t="s">
        <v>22</v>
      </c>
      <c r="C18" s="1">
        <v>210</v>
      </c>
      <c r="D18" s="1"/>
      <c r="E18" s="1"/>
      <c r="F18" s="1"/>
      <c r="G18" s="1"/>
      <c r="H18" s="1"/>
      <c r="I18" s="1">
        <v>110</v>
      </c>
      <c r="J18" s="1"/>
      <c r="K18" s="1"/>
      <c r="L18" s="1"/>
      <c r="M18" s="1"/>
      <c r="N18" s="1">
        <v>68</v>
      </c>
      <c r="O18" s="1"/>
      <c r="P18" s="1"/>
      <c r="Q18" s="1"/>
      <c r="R18" s="1"/>
      <c r="S18" s="1"/>
      <c r="T18" s="1"/>
      <c r="U18" s="1"/>
      <c r="V18" s="1"/>
      <c r="W18" s="1"/>
      <c r="X18" s="1">
        <v>5.2</v>
      </c>
      <c r="Y18" s="1"/>
      <c r="Z18" s="1"/>
      <c r="AA18" s="1"/>
      <c r="AB18" s="1"/>
      <c r="AC18" s="1"/>
      <c r="AD18" s="1"/>
      <c r="AE18" s="1"/>
      <c r="AF18" s="1"/>
      <c r="AG18" s="1"/>
      <c r="AK18" s="148">
        <v>1.2</v>
      </c>
      <c r="AL18" s="89">
        <v>259</v>
      </c>
      <c r="AM18" s="90" t="s">
        <v>22</v>
      </c>
      <c r="AN18" s="148">
        <v>175</v>
      </c>
      <c r="AT18" s="148">
        <v>100</v>
      </c>
      <c r="AU18" s="148">
        <f>(10+6)</f>
        <v>16</v>
      </c>
      <c r="AY18" s="148">
        <v>79</v>
      </c>
      <c r="BI18" s="148">
        <v>6</v>
      </c>
    </row>
    <row r="19" spans="1:70" s="10" customFormat="1" ht="10.5" customHeight="1">
      <c r="A19" s="93" t="s">
        <v>39</v>
      </c>
      <c r="B19" s="3" t="s">
        <v>92</v>
      </c>
      <c r="C19" s="1">
        <v>200</v>
      </c>
      <c r="D19" s="1"/>
      <c r="E19" s="1"/>
      <c r="F19" s="1"/>
      <c r="G19" s="1"/>
      <c r="H19" s="1"/>
      <c r="I19" s="1"/>
      <c r="J19" s="1"/>
      <c r="K19" s="1">
        <v>40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5</v>
      </c>
      <c r="AA19" s="1"/>
      <c r="AB19" s="1">
        <v>0.1</v>
      </c>
      <c r="AC19" s="1"/>
      <c r="AD19" s="1"/>
      <c r="AE19" s="1"/>
      <c r="AF19" s="1"/>
      <c r="AG19" s="1"/>
      <c r="AL19" s="89" t="s">
        <v>39</v>
      </c>
      <c r="AM19" s="90" t="s">
        <v>92</v>
      </c>
      <c r="AN19" s="148">
        <v>200</v>
      </c>
      <c r="AO19" s="148"/>
      <c r="AP19" s="148"/>
      <c r="AQ19" s="148"/>
      <c r="AR19" s="148"/>
      <c r="AS19" s="148"/>
      <c r="AT19" s="148"/>
      <c r="AU19" s="148"/>
      <c r="AV19" s="148">
        <v>40</v>
      </c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>
        <v>5</v>
      </c>
      <c r="BL19" s="148"/>
      <c r="BM19" s="148">
        <v>0.1</v>
      </c>
      <c r="BN19" s="148"/>
      <c r="BO19" s="148"/>
      <c r="BP19" s="148"/>
      <c r="BQ19" s="148"/>
      <c r="BR19" s="148"/>
    </row>
    <row r="20" spans="1:70" s="10" customFormat="1" ht="10.5" customHeight="1">
      <c r="A20" s="93"/>
      <c r="B20" s="3" t="s">
        <v>4</v>
      </c>
      <c r="C20" s="1">
        <v>30</v>
      </c>
      <c r="D20" s="1"/>
      <c r="E20" s="1">
        <f>AK20*AP20</f>
        <v>30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K20" s="10">
        <v>1.2</v>
      </c>
      <c r="AL20" s="89"/>
      <c r="AM20" s="90" t="s">
        <v>4</v>
      </c>
      <c r="AN20" s="148">
        <v>25</v>
      </c>
      <c r="AO20" s="148"/>
      <c r="AP20" s="148">
        <v>25</v>
      </c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</row>
    <row r="21" spans="1:70" s="10" customFormat="1" ht="10.5" customHeight="1">
      <c r="A21" s="93"/>
      <c r="B21" s="3" t="s">
        <v>3</v>
      </c>
      <c r="C21" s="1">
        <v>30</v>
      </c>
      <c r="D21" s="1">
        <f>AK21*AO21</f>
        <v>30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K21" s="10">
        <v>1.2</v>
      </c>
      <c r="AL21" s="89"/>
      <c r="AM21" s="90" t="s">
        <v>3</v>
      </c>
      <c r="AN21" s="148">
        <v>25</v>
      </c>
      <c r="AO21" s="148">
        <v>25</v>
      </c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</row>
    <row r="22" spans="1:56" ht="10.5" customHeight="1">
      <c r="A22" s="93"/>
      <c r="B22" s="3" t="s">
        <v>122</v>
      </c>
      <c r="C22" s="1">
        <v>225</v>
      </c>
      <c r="S22" s="1">
        <v>225</v>
      </c>
      <c r="AL22" s="93"/>
      <c r="AM22" s="90" t="s">
        <v>122</v>
      </c>
      <c r="AN22" s="2">
        <v>200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>
        <v>200</v>
      </c>
    </row>
    <row r="23" spans="1:56" ht="10.5" customHeight="1">
      <c r="A23" s="71"/>
      <c r="AL23" s="71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89" s="15" customFormat="1" ht="10.5" customHeight="1">
      <c r="A24" s="180"/>
      <c r="B24" s="181" t="s">
        <v>156</v>
      </c>
      <c r="C24" s="1">
        <f aca="true" t="shared" si="2" ref="C24:AG24">SUM(C17:C22)</f>
        <v>795</v>
      </c>
      <c r="D24" s="1">
        <f t="shared" si="2"/>
        <v>30</v>
      </c>
      <c r="E24" s="1">
        <f t="shared" si="2"/>
        <v>30</v>
      </c>
      <c r="F24" s="1">
        <f t="shared" si="2"/>
        <v>0</v>
      </c>
      <c r="G24" s="1">
        <f t="shared" si="2"/>
        <v>0</v>
      </c>
      <c r="H24" s="1">
        <f t="shared" si="2"/>
        <v>0</v>
      </c>
      <c r="I24" s="1">
        <f t="shared" si="2"/>
        <v>110</v>
      </c>
      <c r="J24" s="1">
        <f t="shared" si="2"/>
        <v>100</v>
      </c>
      <c r="K24" s="1">
        <f t="shared" si="2"/>
        <v>40</v>
      </c>
      <c r="L24" s="1">
        <f t="shared" si="2"/>
        <v>0</v>
      </c>
      <c r="M24" s="1">
        <f t="shared" si="2"/>
        <v>0</v>
      </c>
      <c r="N24" s="1">
        <f t="shared" si="2"/>
        <v>68</v>
      </c>
      <c r="O24" s="1">
        <f t="shared" si="2"/>
        <v>0</v>
      </c>
      <c r="P24" s="1">
        <f t="shared" si="2"/>
        <v>0</v>
      </c>
      <c r="Q24" s="1">
        <f t="shared" si="2"/>
        <v>0</v>
      </c>
      <c r="R24" s="1">
        <f t="shared" si="2"/>
        <v>0</v>
      </c>
      <c r="S24" s="1">
        <f t="shared" si="2"/>
        <v>225</v>
      </c>
      <c r="T24" s="1">
        <f t="shared" si="2"/>
        <v>0</v>
      </c>
      <c r="U24" s="1">
        <f t="shared" si="2"/>
        <v>0</v>
      </c>
      <c r="V24" s="1">
        <f t="shared" si="2"/>
        <v>0</v>
      </c>
      <c r="W24" s="1">
        <f t="shared" si="2"/>
        <v>0</v>
      </c>
      <c r="X24" s="1">
        <f t="shared" si="2"/>
        <v>5.2</v>
      </c>
      <c r="Y24" s="1">
        <f t="shared" si="2"/>
        <v>0</v>
      </c>
      <c r="Z24" s="1">
        <f t="shared" si="2"/>
        <v>5</v>
      </c>
      <c r="AA24" s="1">
        <f t="shared" si="2"/>
        <v>0</v>
      </c>
      <c r="AB24" s="1">
        <f t="shared" si="2"/>
        <v>0.1</v>
      </c>
      <c r="AC24" s="1">
        <f t="shared" si="2"/>
        <v>0</v>
      </c>
      <c r="AD24" s="1">
        <f t="shared" si="2"/>
        <v>0</v>
      </c>
      <c r="AE24" s="1">
        <f t="shared" si="2"/>
        <v>0</v>
      </c>
      <c r="AF24" s="1">
        <f t="shared" si="2"/>
        <v>2</v>
      </c>
      <c r="AG24" s="1">
        <f t="shared" si="2"/>
        <v>0</v>
      </c>
      <c r="AH24" s="14"/>
      <c r="AI24" s="14"/>
      <c r="AJ24" s="14"/>
      <c r="AK24" s="14"/>
      <c r="AL24" s="72"/>
      <c r="AM24" s="12" t="s">
        <v>156</v>
      </c>
      <c r="AN24" s="13">
        <f aca="true" t="shared" si="3" ref="AN24:BR24">SUM(AN17:AN22)</f>
        <v>685</v>
      </c>
      <c r="AO24" s="13">
        <f t="shared" si="3"/>
        <v>25</v>
      </c>
      <c r="AP24" s="13">
        <f t="shared" si="3"/>
        <v>25</v>
      </c>
      <c r="AQ24" s="13">
        <f t="shared" si="3"/>
        <v>0</v>
      </c>
      <c r="AR24" s="13">
        <f t="shared" si="3"/>
        <v>0</v>
      </c>
      <c r="AS24" s="13">
        <f t="shared" si="3"/>
        <v>0</v>
      </c>
      <c r="AT24" s="13">
        <f t="shared" si="3"/>
        <v>100</v>
      </c>
      <c r="AU24" s="13">
        <f t="shared" si="3"/>
        <v>76</v>
      </c>
      <c r="AV24" s="13">
        <f t="shared" si="3"/>
        <v>40</v>
      </c>
      <c r="AW24" s="13">
        <f t="shared" si="3"/>
        <v>0</v>
      </c>
      <c r="AX24" s="13">
        <f t="shared" si="3"/>
        <v>0</v>
      </c>
      <c r="AY24" s="13">
        <f t="shared" si="3"/>
        <v>79</v>
      </c>
      <c r="AZ24" s="13">
        <f t="shared" si="3"/>
        <v>0</v>
      </c>
      <c r="BA24" s="13">
        <f t="shared" si="3"/>
        <v>0</v>
      </c>
      <c r="BB24" s="13">
        <f t="shared" si="3"/>
        <v>0</v>
      </c>
      <c r="BC24" s="13">
        <f t="shared" si="3"/>
        <v>0</v>
      </c>
      <c r="BD24" s="13">
        <f t="shared" si="3"/>
        <v>200</v>
      </c>
      <c r="BE24" s="13">
        <f t="shared" si="3"/>
        <v>0</v>
      </c>
      <c r="BF24" s="13">
        <f t="shared" si="3"/>
        <v>0</v>
      </c>
      <c r="BG24" s="13">
        <f t="shared" si="3"/>
        <v>0</v>
      </c>
      <c r="BH24" s="13">
        <f t="shared" si="3"/>
        <v>0</v>
      </c>
      <c r="BI24" s="13">
        <f t="shared" si="3"/>
        <v>6</v>
      </c>
      <c r="BJ24" s="13">
        <f t="shared" si="3"/>
        <v>0</v>
      </c>
      <c r="BK24" s="13">
        <f t="shared" si="3"/>
        <v>5</v>
      </c>
      <c r="BL24" s="13">
        <f t="shared" si="3"/>
        <v>0</v>
      </c>
      <c r="BM24" s="13">
        <f t="shared" si="3"/>
        <v>0.1</v>
      </c>
      <c r="BN24" s="13">
        <f t="shared" si="3"/>
        <v>0</v>
      </c>
      <c r="BO24" s="13">
        <f t="shared" si="3"/>
        <v>0</v>
      </c>
      <c r="BP24" s="13">
        <f t="shared" si="3"/>
        <v>0</v>
      </c>
      <c r="BQ24" s="13">
        <f t="shared" si="3"/>
        <v>0</v>
      </c>
      <c r="BR24" s="13">
        <f t="shared" si="3"/>
        <v>0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</row>
    <row r="25" spans="1:70" s="14" customFormat="1" ht="10.5" customHeight="1">
      <c r="A25" s="74"/>
      <c r="B25" s="2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L25" s="74"/>
      <c r="AM25" s="2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97" s="9" customFormat="1" ht="10.5" customHeight="1">
      <c r="A26" s="211" t="s">
        <v>110</v>
      </c>
      <c r="B26" s="2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8"/>
      <c r="AI26" s="8"/>
      <c r="AJ26" s="8"/>
      <c r="AK26" s="8"/>
      <c r="AL26" s="229" t="s">
        <v>110</v>
      </c>
      <c r="AM26" s="230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</row>
    <row r="27" spans="1:70" s="10" customFormat="1" ht="10.5" customHeight="1">
      <c r="A27" s="93"/>
      <c r="B27" s="3" t="s">
        <v>123</v>
      </c>
      <c r="C27" s="1">
        <v>100</v>
      </c>
      <c r="D27" s="1"/>
      <c r="E27" s="1"/>
      <c r="F27" s="1"/>
      <c r="G27" s="1"/>
      <c r="H27" s="1"/>
      <c r="I27" s="1"/>
      <c r="J27" s="1">
        <v>92.25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8</v>
      </c>
      <c r="Y27" s="1"/>
      <c r="Z27" s="1"/>
      <c r="AA27" s="1"/>
      <c r="AB27" s="1"/>
      <c r="AC27" s="1"/>
      <c r="AD27" s="1"/>
      <c r="AE27" s="1"/>
      <c r="AF27" s="1">
        <v>2</v>
      </c>
      <c r="AG27" s="1"/>
      <c r="AK27" s="10">
        <v>1.25</v>
      </c>
      <c r="AL27" s="89"/>
      <c r="AM27" s="90" t="s">
        <v>123</v>
      </c>
      <c r="AN27" s="148">
        <v>80</v>
      </c>
      <c r="AO27" s="148"/>
      <c r="AP27" s="148"/>
      <c r="AQ27" s="148"/>
      <c r="AR27" s="148"/>
      <c r="AS27" s="148"/>
      <c r="AT27" s="148"/>
      <c r="AU27" s="148">
        <v>77</v>
      </c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>
        <v>4.8</v>
      </c>
      <c r="BJ27" s="148"/>
      <c r="BK27" s="148"/>
      <c r="BL27" s="148"/>
      <c r="BM27" s="148"/>
      <c r="BN27" s="148"/>
      <c r="BO27" s="148"/>
      <c r="BP27" s="148"/>
      <c r="BQ27" s="148"/>
      <c r="BR27" s="148"/>
    </row>
    <row r="28" spans="1:70" s="10" customFormat="1" ht="10.5" customHeight="1">
      <c r="A28" s="93">
        <v>296</v>
      </c>
      <c r="B28" s="3" t="s">
        <v>86</v>
      </c>
      <c r="C28" s="1">
        <v>100</v>
      </c>
      <c r="D28" s="1"/>
      <c r="E28" s="1">
        <v>11.04</v>
      </c>
      <c r="F28" s="1">
        <v>4</v>
      </c>
      <c r="G28" s="1"/>
      <c r="H28" s="1"/>
      <c r="I28" s="1"/>
      <c r="J28" s="1"/>
      <c r="K28" s="1"/>
      <c r="L28" s="1"/>
      <c r="M28" s="1"/>
      <c r="N28" s="1"/>
      <c r="O28" s="1"/>
      <c r="P28" s="1">
        <v>59.53</v>
      </c>
      <c r="Q28" s="1"/>
      <c r="R28" s="1"/>
      <c r="S28" s="1"/>
      <c r="T28" s="1"/>
      <c r="U28" s="1">
        <v>7.7</v>
      </c>
      <c r="V28" s="1">
        <v>9.25</v>
      </c>
      <c r="W28" s="1">
        <f>$AK$28*BH28</f>
        <v>6.65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K28" s="10">
        <v>1.33</v>
      </c>
      <c r="AL28" s="89">
        <v>296</v>
      </c>
      <c r="AM28" s="90" t="s">
        <v>86</v>
      </c>
      <c r="AN28" s="148">
        <v>75</v>
      </c>
      <c r="AO28" s="148"/>
      <c r="AP28" s="148">
        <v>9</v>
      </c>
      <c r="AQ28" s="148">
        <v>2.25</v>
      </c>
      <c r="AR28" s="148"/>
      <c r="AS28" s="148"/>
      <c r="AT28" s="148"/>
      <c r="AU28" s="148"/>
      <c r="AV28" s="148"/>
      <c r="AW28" s="148"/>
      <c r="AX28" s="148"/>
      <c r="AY28" s="148"/>
      <c r="AZ28" s="148"/>
      <c r="BA28" s="148">
        <v>41</v>
      </c>
      <c r="BB28" s="148"/>
      <c r="BC28" s="148">
        <v>13</v>
      </c>
      <c r="BD28" s="148"/>
      <c r="BE28" s="148"/>
      <c r="BF28" s="148">
        <v>5</v>
      </c>
      <c r="BG28" s="148">
        <v>7.5</v>
      </c>
      <c r="BH28" s="148">
        <v>5</v>
      </c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</row>
    <row r="29" spans="1:70" s="10" customFormat="1" ht="10.5" customHeight="1">
      <c r="A29" s="156">
        <v>302</v>
      </c>
      <c r="B29" s="3" t="s">
        <v>124</v>
      </c>
      <c r="C29" s="1">
        <v>200</v>
      </c>
      <c r="D29" s="1"/>
      <c r="E29" s="1"/>
      <c r="F29" s="1"/>
      <c r="G29" s="1">
        <v>37.94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5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K29" s="10">
        <v>1.54</v>
      </c>
      <c r="AL29" s="94">
        <v>302</v>
      </c>
      <c r="AM29" s="90" t="s">
        <v>124</v>
      </c>
      <c r="AN29" s="148">
        <v>130</v>
      </c>
      <c r="AO29" s="148"/>
      <c r="AP29" s="148"/>
      <c r="AQ29" s="148"/>
      <c r="AR29" s="148">
        <f>22*1.3</f>
        <v>28.6</v>
      </c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>
        <v>5</v>
      </c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</row>
    <row r="30" spans="1:70" s="10" customFormat="1" ht="10.5" customHeight="1">
      <c r="A30" s="93" t="s">
        <v>95</v>
      </c>
      <c r="B30" s="3" t="s">
        <v>66</v>
      </c>
      <c r="C30" s="1">
        <v>200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100</v>
      </c>
      <c r="S30" s="1"/>
      <c r="T30" s="1"/>
      <c r="U30" s="1"/>
      <c r="V30" s="1"/>
      <c r="W30" s="1"/>
      <c r="X30" s="1"/>
      <c r="Y30" s="1"/>
      <c r="Z30" s="1">
        <v>10</v>
      </c>
      <c r="AA30" s="1"/>
      <c r="AB30" s="1"/>
      <c r="AC30" s="1"/>
      <c r="AD30" s="1">
        <v>2.5</v>
      </c>
      <c r="AE30" s="1"/>
      <c r="AF30" s="1"/>
      <c r="AG30" s="1"/>
      <c r="AL30" s="89" t="s">
        <v>95</v>
      </c>
      <c r="AM30" s="90" t="s">
        <v>66</v>
      </c>
      <c r="AN30" s="148">
        <v>200</v>
      </c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>
        <v>100</v>
      </c>
      <c r="BD30" s="148"/>
      <c r="BE30" s="148"/>
      <c r="BF30" s="148"/>
      <c r="BG30" s="148"/>
      <c r="BH30" s="148"/>
      <c r="BI30" s="148"/>
      <c r="BJ30" s="148"/>
      <c r="BK30" s="148">
        <v>10</v>
      </c>
      <c r="BL30" s="148"/>
      <c r="BM30" s="148"/>
      <c r="BN30" s="148"/>
      <c r="BO30" s="148">
        <v>2.5</v>
      </c>
      <c r="BP30" s="148"/>
      <c r="BQ30" s="148"/>
      <c r="BR30" s="148"/>
    </row>
    <row r="31" spans="1:70" s="10" customFormat="1" ht="10.5" customHeight="1">
      <c r="A31" s="93"/>
      <c r="B31" s="3" t="s">
        <v>4</v>
      </c>
      <c r="C31" s="1">
        <v>30</v>
      </c>
      <c r="D31" s="1"/>
      <c r="E31" s="1">
        <v>30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K31" s="10">
        <v>1.2</v>
      </c>
      <c r="AL31" s="89"/>
      <c r="AM31" s="90" t="s">
        <v>4</v>
      </c>
      <c r="AN31" s="148">
        <v>25</v>
      </c>
      <c r="AO31" s="148"/>
      <c r="AP31" s="148">
        <v>25</v>
      </c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</row>
    <row r="32" spans="1:70" s="10" customFormat="1" ht="10.5" customHeight="1">
      <c r="A32" s="93"/>
      <c r="B32" s="3" t="s">
        <v>127</v>
      </c>
      <c r="C32" s="1">
        <v>30</v>
      </c>
      <c r="D32" s="1">
        <v>30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K32" s="10">
        <v>1.2</v>
      </c>
      <c r="AL32" s="89"/>
      <c r="AM32" s="90" t="s">
        <v>127</v>
      </c>
      <c r="AN32" s="148">
        <v>25</v>
      </c>
      <c r="AO32" s="148">
        <v>25</v>
      </c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</row>
    <row r="33" spans="1:97" s="10" customFormat="1" ht="10.5" customHeight="1">
      <c r="A33" s="93"/>
      <c r="B33" s="3" t="s">
        <v>125</v>
      </c>
      <c r="C33" s="1">
        <v>150</v>
      </c>
      <c r="D33" s="1"/>
      <c r="E33" s="1"/>
      <c r="F33" s="1"/>
      <c r="G33" s="1"/>
      <c r="H33" s="1"/>
      <c r="I33" s="1"/>
      <c r="J33" s="1"/>
      <c r="K33" s="1"/>
      <c r="L33" s="1"/>
      <c r="M33" s="1">
        <v>150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8"/>
      <c r="AI33" s="8"/>
      <c r="AJ33" s="8"/>
      <c r="AK33" s="8"/>
      <c r="AL33" s="89"/>
      <c r="AM33" s="90" t="s">
        <v>125</v>
      </c>
      <c r="AN33" s="2">
        <v>150</v>
      </c>
      <c r="AO33" s="2"/>
      <c r="AP33" s="2"/>
      <c r="AQ33" s="2"/>
      <c r="AR33" s="2"/>
      <c r="AS33" s="2"/>
      <c r="AT33" s="2"/>
      <c r="AU33" s="2"/>
      <c r="AV33" s="2"/>
      <c r="AW33" s="2"/>
      <c r="AX33" s="2">
        <v>150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</row>
    <row r="34" spans="1:97" s="10" customFormat="1" ht="10.5" customHeight="1">
      <c r="A34" s="7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8"/>
      <c r="AI34" s="8"/>
      <c r="AJ34" s="8"/>
      <c r="AK34" s="8"/>
      <c r="AL34" s="69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1:97" s="15" customFormat="1" ht="10.5" customHeight="1">
      <c r="A35" s="180"/>
      <c r="B35" s="181" t="s">
        <v>156</v>
      </c>
      <c r="C35" s="1">
        <f aca="true" t="shared" si="4" ref="C35:I35">SUM(C27:C33)</f>
        <v>810</v>
      </c>
      <c r="D35" s="1">
        <f t="shared" si="4"/>
        <v>30</v>
      </c>
      <c r="E35" s="1">
        <f t="shared" si="4"/>
        <v>41.04</v>
      </c>
      <c r="F35" s="1">
        <f t="shared" si="4"/>
        <v>4</v>
      </c>
      <c r="G35" s="1">
        <f t="shared" si="4"/>
        <v>37.94</v>
      </c>
      <c r="H35" s="1">
        <f t="shared" si="4"/>
        <v>0</v>
      </c>
      <c r="I35" s="1">
        <f t="shared" si="4"/>
        <v>0</v>
      </c>
      <c r="J35" s="1">
        <v>94.25</v>
      </c>
      <c r="K35" s="1"/>
      <c r="L35" s="1">
        <f aca="true" t="shared" si="5" ref="L35:AG35">SUM(L27:L33)</f>
        <v>0</v>
      </c>
      <c r="M35" s="1">
        <f t="shared" si="5"/>
        <v>150</v>
      </c>
      <c r="N35" s="1">
        <f t="shared" si="5"/>
        <v>0</v>
      </c>
      <c r="O35" s="1">
        <f t="shared" si="5"/>
        <v>0</v>
      </c>
      <c r="P35" s="1">
        <f t="shared" si="5"/>
        <v>59.53</v>
      </c>
      <c r="Q35" s="1">
        <f t="shared" si="5"/>
        <v>0</v>
      </c>
      <c r="R35" s="1">
        <f t="shared" si="5"/>
        <v>100</v>
      </c>
      <c r="S35" s="1">
        <f t="shared" si="5"/>
        <v>0</v>
      </c>
      <c r="T35" s="1">
        <f t="shared" si="5"/>
        <v>0</v>
      </c>
      <c r="U35" s="1">
        <f t="shared" si="5"/>
        <v>7.7</v>
      </c>
      <c r="V35" s="1">
        <f t="shared" si="5"/>
        <v>9.25</v>
      </c>
      <c r="W35" s="1">
        <f t="shared" si="5"/>
        <v>11.65</v>
      </c>
      <c r="X35" s="1">
        <f t="shared" si="5"/>
        <v>8</v>
      </c>
      <c r="Y35" s="1">
        <f t="shared" si="5"/>
        <v>0</v>
      </c>
      <c r="Z35" s="1">
        <f t="shared" si="5"/>
        <v>10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2.5</v>
      </c>
      <c r="AE35" s="1">
        <f t="shared" si="5"/>
        <v>0</v>
      </c>
      <c r="AF35" s="1">
        <f t="shared" si="5"/>
        <v>2</v>
      </c>
      <c r="AG35" s="1">
        <f t="shared" si="5"/>
        <v>0</v>
      </c>
      <c r="AH35" s="14"/>
      <c r="AI35" s="14"/>
      <c r="AJ35" s="14"/>
      <c r="AK35" s="14"/>
      <c r="AL35" s="72"/>
      <c r="AM35" s="12" t="s">
        <v>156</v>
      </c>
      <c r="AN35" s="13">
        <f aca="true" t="shared" si="6" ref="AN35:AU35">SUM(AN27:AN33)</f>
        <v>685</v>
      </c>
      <c r="AO35" s="13">
        <f t="shared" si="6"/>
        <v>25</v>
      </c>
      <c r="AP35" s="13">
        <f t="shared" si="6"/>
        <v>34</v>
      </c>
      <c r="AQ35" s="13">
        <f t="shared" si="6"/>
        <v>2.25</v>
      </c>
      <c r="AR35" s="13">
        <f t="shared" si="6"/>
        <v>28.6</v>
      </c>
      <c r="AS35" s="13">
        <f t="shared" si="6"/>
        <v>0</v>
      </c>
      <c r="AT35" s="13">
        <f t="shared" si="6"/>
        <v>0</v>
      </c>
      <c r="AU35" s="13">
        <f t="shared" si="6"/>
        <v>77</v>
      </c>
      <c r="AV35" s="13"/>
      <c r="AW35" s="13">
        <f aca="true" t="shared" si="7" ref="AW35:BR35">SUM(AW27:AW33)</f>
        <v>0</v>
      </c>
      <c r="AX35" s="13">
        <f t="shared" si="7"/>
        <v>150</v>
      </c>
      <c r="AY35" s="13">
        <f t="shared" si="7"/>
        <v>0</v>
      </c>
      <c r="AZ35" s="13">
        <f t="shared" si="7"/>
        <v>0</v>
      </c>
      <c r="BA35" s="13">
        <f t="shared" si="7"/>
        <v>41</v>
      </c>
      <c r="BB35" s="13">
        <f t="shared" si="7"/>
        <v>0</v>
      </c>
      <c r="BC35" s="13">
        <f t="shared" si="7"/>
        <v>113</v>
      </c>
      <c r="BD35" s="13">
        <f t="shared" si="7"/>
        <v>0</v>
      </c>
      <c r="BE35" s="13">
        <f t="shared" si="7"/>
        <v>0</v>
      </c>
      <c r="BF35" s="13">
        <f t="shared" si="7"/>
        <v>5</v>
      </c>
      <c r="BG35" s="13">
        <f t="shared" si="7"/>
        <v>7.5</v>
      </c>
      <c r="BH35" s="13">
        <f t="shared" si="7"/>
        <v>10</v>
      </c>
      <c r="BI35" s="13">
        <f t="shared" si="7"/>
        <v>4.8</v>
      </c>
      <c r="BJ35" s="13">
        <f t="shared" si="7"/>
        <v>0</v>
      </c>
      <c r="BK35" s="13">
        <f t="shared" si="7"/>
        <v>10</v>
      </c>
      <c r="BL35" s="13">
        <f t="shared" si="7"/>
        <v>0</v>
      </c>
      <c r="BM35" s="13">
        <f t="shared" si="7"/>
        <v>0</v>
      </c>
      <c r="BN35" s="13">
        <f t="shared" si="7"/>
        <v>0</v>
      </c>
      <c r="BO35" s="13">
        <f t="shared" si="7"/>
        <v>2.5</v>
      </c>
      <c r="BP35" s="13">
        <f t="shared" si="7"/>
        <v>0</v>
      </c>
      <c r="BQ35" s="13">
        <f t="shared" si="7"/>
        <v>0</v>
      </c>
      <c r="BR35" s="13">
        <f t="shared" si="7"/>
        <v>0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70" s="14" customFormat="1" ht="10.5" customHeight="1">
      <c r="A36" s="74"/>
      <c r="B36" s="2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L36" s="74"/>
      <c r="AM36" s="22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89" s="9" customFormat="1" ht="10.5" customHeight="1">
      <c r="A37" s="211" t="s">
        <v>111</v>
      </c>
      <c r="B37" s="21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8"/>
      <c r="AI37" s="8"/>
      <c r="AJ37" s="8"/>
      <c r="AK37" s="8"/>
      <c r="AL37" s="229" t="s">
        <v>111</v>
      </c>
      <c r="AM37" s="230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</row>
    <row r="38" spans="1:70" s="10" customFormat="1" ht="10.5" customHeight="1">
      <c r="A38" s="93"/>
      <c r="B38" s="3" t="s">
        <v>126</v>
      </c>
      <c r="C38" s="1">
        <v>100</v>
      </c>
      <c r="D38" s="1"/>
      <c r="E38" s="1"/>
      <c r="F38" s="1"/>
      <c r="G38" s="1"/>
      <c r="H38" s="1"/>
      <c r="I38" s="1"/>
      <c r="J38" s="1">
        <v>92.25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8</v>
      </c>
      <c r="Y38" s="1"/>
      <c r="Z38" s="1">
        <v>3.35</v>
      </c>
      <c r="AA38" s="1"/>
      <c r="AB38" s="1"/>
      <c r="AC38" s="1"/>
      <c r="AD38" s="1"/>
      <c r="AE38" s="1"/>
      <c r="AF38" s="1">
        <v>2</v>
      </c>
      <c r="AG38" s="1"/>
      <c r="AK38" s="10">
        <v>1.25</v>
      </c>
      <c r="AL38" s="89"/>
      <c r="AM38" s="90" t="s">
        <v>126</v>
      </c>
      <c r="AN38" s="148">
        <v>80</v>
      </c>
      <c r="AO38" s="148"/>
      <c r="AP38" s="148"/>
      <c r="AQ38" s="148"/>
      <c r="AR38" s="148"/>
      <c r="AS38" s="148"/>
      <c r="AT38" s="148"/>
      <c r="AU38" s="148">
        <v>80</v>
      </c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>
        <v>4</v>
      </c>
      <c r="BJ38" s="148"/>
      <c r="BK38" s="148">
        <v>3</v>
      </c>
      <c r="BL38" s="148"/>
      <c r="BM38" s="148"/>
      <c r="BN38" s="148"/>
      <c r="BO38" s="148"/>
      <c r="BP38" s="148"/>
      <c r="BQ38" s="148"/>
      <c r="BR38" s="148"/>
    </row>
    <row r="39" spans="1:70" s="10" customFormat="1" ht="10.5" customHeight="1">
      <c r="A39" s="93" t="s">
        <v>105</v>
      </c>
      <c r="B39" s="3" t="s">
        <v>104</v>
      </c>
      <c r="C39" s="1">
        <v>160</v>
      </c>
      <c r="D39" s="1"/>
      <c r="E39" s="1"/>
      <c r="F39" s="1">
        <v>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>$AK$39*BB39</f>
        <v>107.3</v>
      </c>
      <c r="R39" s="1">
        <v>20.25</v>
      </c>
      <c r="S39" s="1"/>
      <c r="T39" s="1"/>
      <c r="U39" s="1">
        <v>6.8</v>
      </c>
      <c r="V39" s="1">
        <f>$AK$39*BG39</f>
        <v>0</v>
      </c>
      <c r="W39" s="1">
        <f>$AK$39*BH39</f>
        <v>7.25</v>
      </c>
      <c r="X39" s="1">
        <v>4.8</v>
      </c>
      <c r="Y39" s="1"/>
      <c r="Z39" s="1"/>
      <c r="AA39" s="1"/>
      <c r="AB39" s="1"/>
      <c r="AC39" s="1"/>
      <c r="AD39" s="1"/>
      <c r="AE39" s="1"/>
      <c r="AF39" s="1"/>
      <c r="AG39" s="1"/>
      <c r="AK39" s="10">
        <v>1.45</v>
      </c>
      <c r="AL39" s="89" t="s">
        <v>105</v>
      </c>
      <c r="AM39" s="90" t="s">
        <v>104</v>
      </c>
      <c r="AN39" s="148">
        <v>110</v>
      </c>
      <c r="AO39" s="148"/>
      <c r="AP39" s="148"/>
      <c r="AQ39" s="148">
        <v>2.5</v>
      </c>
      <c r="AR39" s="148"/>
      <c r="AS39" s="148"/>
      <c r="AT39" s="148"/>
      <c r="AU39" s="148">
        <v>6</v>
      </c>
      <c r="AV39" s="148"/>
      <c r="AW39" s="148"/>
      <c r="AX39" s="148"/>
      <c r="AY39" s="148"/>
      <c r="AZ39" s="148"/>
      <c r="BA39" s="148"/>
      <c r="BB39" s="148">
        <f>37*2</f>
        <v>74</v>
      </c>
      <c r="BC39" s="148">
        <v>25</v>
      </c>
      <c r="BD39" s="148"/>
      <c r="BE39" s="148"/>
      <c r="BF39" s="148">
        <v>4</v>
      </c>
      <c r="BG39" s="148"/>
      <c r="BH39" s="148">
        <v>5</v>
      </c>
      <c r="BI39" s="148">
        <v>4</v>
      </c>
      <c r="BJ39" s="148"/>
      <c r="BK39" s="148"/>
      <c r="BL39" s="148"/>
      <c r="BM39" s="148"/>
      <c r="BN39" s="148"/>
      <c r="BO39" s="148"/>
      <c r="BP39" s="148"/>
      <c r="BQ39" s="148"/>
      <c r="BR39" s="148"/>
    </row>
    <row r="40" spans="1:70" s="10" customFormat="1" ht="10.5" customHeight="1">
      <c r="A40" s="93">
        <v>312</v>
      </c>
      <c r="B40" s="3" t="s">
        <v>75</v>
      </c>
      <c r="C40" s="1">
        <v>180</v>
      </c>
      <c r="D40" s="1"/>
      <c r="E40" s="1"/>
      <c r="F40" s="1"/>
      <c r="G40" s="1"/>
      <c r="H40" s="1"/>
      <c r="I40" s="1">
        <v>139.9</v>
      </c>
      <c r="J40" s="1"/>
      <c r="K40" s="1"/>
      <c r="L40" s="1"/>
      <c r="M40" s="1"/>
      <c r="N40" s="1"/>
      <c r="O40" s="1"/>
      <c r="P40" s="1"/>
      <c r="Q40" s="1"/>
      <c r="R40" s="1">
        <v>17</v>
      </c>
      <c r="S40" s="1"/>
      <c r="T40" s="1"/>
      <c r="U40" s="1"/>
      <c r="V40" s="1"/>
      <c r="W40" s="1">
        <f>$AK$40*BH40</f>
        <v>6.3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K40" s="10">
        <v>1.2</v>
      </c>
      <c r="AL40" s="89">
        <v>312</v>
      </c>
      <c r="AM40" s="90" t="s">
        <v>75</v>
      </c>
      <c r="AN40" s="148">
        <v>150</v>
      </c>
      <c r="AO40" s="148"/>
      <c r="AP40" s="148"/>
      <c r="AQ40" s="148"/>
      <c r="AR40" s="148"/>
      <c r="AS40" s="148"/>
      <c r="AT40" s="148">
        <f>85.5*1.5</f>
        <v>128.25</v>
      </c>
      <c r="AU40" s="148"/>
      <c r="AV40" s="148"/>
      <c r="AW40" s="148"/>
      <c r="AX40" s="148"/>
      <c r="AY40" s="148"/>
      <c r="AZ40" s="148"/>
      <c r="BA40" s="148"/>
      <c r="BB40" s="148"/>
      <c r="BC40" s="148">
        <f>15*1.5</f>
        <v>22.5</v>
      </c>
      <c r="BD40" s="148"/>
      <c r="BE40" s="148"/>
      <c r="BF40" s="148"/>
      <c r="BG40" s="148"/>
      <c r="BH40" s="148">
        <f>3.5*1.5</f>
        <v>5.25</v>
      </c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</row>
    <row r="41" spans="1:70" s="10" customFormat="1" ht="10.5" customHeight="1">
      <c r="A41" s="93">
        <v>377</v>
      </c>
      <c r="B41" s="3" t="s">
        <v>38</v>
      </c>
      <c r="C41" s="1">
        <v>200</v>
      </c>
      <c r="D41" s="1"/>
      <c r="E41" s="1"/>
      <c r="F41" s="1"/>
      <c r="G41" s="1"/>
      <c r="H41" s="1"/>
      <c r="I41" s="1"/>
      <c r="J41" s="1"/>
      <c r="K41" s="1">
        <v>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10</v>
      </c>
      <c r="AA41" s="1"/>
      <c r="AB41" s="1">
        <v>0.4</v>
      </c>
      <c r="AC41" s="1"/>
      <c r="AD41" s="1"/>
      <c r="AE41" s="1"/>
      <c r="AF41" s="1"/>
      <c r="AG41" s="1"/>
      <c r="AL41" s="89">
        <v>377</v>
      </c>
      <c r="AM41" s="90" t="s">
        <v>38</v>
      </c>
      <c r="AN41" s="148">
        <v>200</v>
      </c>
      <c r="AO41" s="148"/>
      <c r="AP41" s="148"/>
      <c r="AQ41" s="148"/>
      <c r="AR41" s="148"/>
      <c r="AS41" s="148"/>
      <c r="AT41" s="148"/>
      <c r="AU41" s="148"/>
      <c r="AV41" s="148">
        <v>7</v>
      </c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>
        <v>10</v>
      </c>
      <c r="BL41" s="148"/>
      <c r="BM41" s="148">
        <v>0.4</v>
      </c>
      <c r="BN41" s="148"/>
      <c r="BO41" s="148"/>
      <c r="BP41" s="148"/>
      <c r="BQ41" s="148"/>
      <c r="BR41" s="148"/>
    </row>
    <row r="42" spans="1:70" s="10" customFormat="1" ht="10.5" customHeight="1">
      <c r="A42" s="93"/>
      <c r="B42" s="3" t="s">
        <v>127</v>
      </c>
      <c r="C42" s="1">
        <v>50</v>
      </c>
      <c r="D42" s="1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0">
        <v>2</v>
      </c>
      <c r="AL42" s="89"/>
      <c r="AM42" s="90" t="s">
        <v>127</v>
      </c>
      <c r="AN42" s="148">
        <v>25</v>
      </c>
      <c r="AO42" s="148">
        <v>25</v>
      </c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</row>
    <row r="43" spans="1:68" ht="10.5" customHeight="1">
      <c r="A43" s="93" t="s">
        <v>39</v>
      </c>
      <c r="B43" s="3" t="s">
        <v>94</v>
      </c>
      <c r="C43" s="1">
        <v>50</v>
      </c>
      <c r="F43" s="1">
        <v>32.5</v>
      </c>
      <c r="K43" s="1">
        <v>15</v>
      </c>
      <c r="R43" s="1">
        <v>15</v>
      </c>
      <c r="W43" s="1">
        <v>5</v>
      </c>
      <c r="Z43" s="1">
        <v>4</v>
      </c>
      <c r="AE43" s="1">
        <v>5</v>
      </c>
      <c r="AL43" s="93" t="s">
        <v>39</v>
      </c>
      <c r="AM43" s="90" t="s">
        <v>94</v>
      </c>
      <c r="AN43" s="1">
        <v>50</v>
      </c>
      <c r="AQ43" s="1">
        <v>25.5</v>
      </c>
      <c r="AV43" s="1">
        <v>15</v>
      </c>
      <c r="BC43" s="1">
        <v>15</v>
      </c>
      <c r="BH43" s="1">
        <v>5</v>
      </c>
      <c r="BK43" s="1">
        <v>4</v>
      </c>
      <c r="BP43" s="1">
        <v>1</v>
      </c>
    </row>
    <row r="44" spans="1:97" s="10" customFormat="1" ht="10.5" customHeight="1">
      <c r="A44" s="7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8"/>
      <c r="AI44" s="8"/>
      <c r="AJ44" s="8"/>
      <c r="AK44" s="8"/>
      <c r="AL44" s="69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</row>
    <row r="45" spans="1:97" s="15" customFormat="1" ht="10.5" customHeight="1">
      <c r="A45" s="180"/>
      <c r="B45" s="181" t="s">
        <v>156</v>
      </c>
      <c r="C45" s="1">
        <f aca="true" t="shared" si="8" ref="C45:AG45">SUM(C38:C44)</f>
        <v>740</v>
      </c>
      <c r="D45" s="1">
        <f t="shared" si="8"/>
        <v>50</v>
      </c>
      <c r="E45" s="1">
        <f t="shared" si="8"/>
        <v>0</v>
      </c>
      <c r="F45" s="1">
        <f t="shared" si="8"/>
        <v>36.5</v>
      </c>
      <c r="G45" s="1">
        <f t="shared" si="8"/>
        <v>0</v>
      </c>
      <c r="H45" s="1">
        <f t="shared" si="8"/>
        <v>0</v>
      </c>
      <c r="I45" s="1">
        <f t="shared" si="8"/>
        <v>139.9</v>
      </c>
      <c r="J45" s="1">
        <f t="shared" si="8"/>
        <v>92.25</v>
      </c>
      <c r="K45" s="1">
        <f t="shared" si="8"/>
        <v>22</v>
      </c>
      <c r="L45" s="1">
        <f t="shared" si="8"/>
        <v>0</v>
      </c>
      <c r="M45" s="1">
        <f t="shared" si="8"/>
        <v>0</v>
      </c>
      <c r="N45" s="1">
        <f t="shared" si="8"/>
        <v>0</v>
      </c>
      <c r="O45" s="1">
        <f t="shared" si="8"/>
        <v>0</v>
      </c>
      <c r="P45" s="1">
        <f t="shared" si="8"/>
        <v>0</v>
      </c>
      <c r="Q45" s="1">
        <f t="shared" si="8"/>
        <v>107.3</v>
      </c>
      <c r="R45" s="1">
        <f t="shared" si="8"/>
        <v>52.25</v>
      </c>
      <c r="S45" s="1">
        <f t="shared" si="8"/>
        <v>0</v>
      </c>
      <c r="T45" s="1">
        <f t="shared" si="8"/>
        <v>0</v>
      </c>
      <c r="U45" s="1">
        <f t="shared" si="8"/>
        <v>6.8</v>
      </c>
      <c r="V45" s="1">
        <f t="shared" si="8"/>
        <v>0</v>
      </c>
      <c r="W45" s="1">
        <f t="shared" si="8"/>
        <v>18.55</v>
      </c>
      <c r="X45" s="1">
        <f t="shared" si="8"/>
        <v>12.8</v>
      </c>
      <c r="Y45" s="1">
        <f t="shared" si="8"/>
        <v>0</v>
      </c>
      <c r="Z45" s="1">
        <f t="shared" si="8"/>
        <v>17.35</v>
      </c>
      <c r="AA45" s="1">
        <f t="shared" si="8"/>
        <v>0</v>
      </c>
      <c r="AB45" s="1">
        <f t="shared" si="8"/>
        <v>0.4</v>
      </c>
      <c r="AC45" s="1">
        <f t="shared" si="8"/>
        <v>0</v>
      </c>
      <c r="AD45" s="1">
        <f t="shared" si="8"/>
        <v>0</v>
      </c>
      <c r="AE45" s="1">
        <f t="shared" si="8"/>
        <v>5</v>
      </c>
      <c r="AF45" s="1">
        <f t="shared" si="8"/>
        <v>2</v>
      </c>
      <c r="AG45" s="1">
        <f t="shared" si="8"/>
        <v>0</v>
      </c>
      <c r="AH45" s="14"/>
      <c r="AI45" s="14"/>
      <c r="AJ45" s="14"/>
      <c r="AK45" s="14"/>
      <c r="AL45" s="72"/>
      <c r="AM45" s="12" t="s">
        <v>156</v>
      </c>
      <c r="AN45" s="13">
        <f aca="true" t="shared" si="9" ref="AN45:BR45">SUM(AN38:AN44)</f>
        <v>615</v>
      </c>
      <c r="AO45" s="13">
        <f t="shared" si="9"/>
        <v>25</v>
      </c>
      <c r="AP45" s="13">
        <f t="shared" si="9"/>
        <v>0</v>
      </c>
      <c r="AQ45" s="13">
        <f t="shared" si="9"/>
        <v>28</v>
      </c>
      <c r="AR45" s="13">
        <f t="shared" si="9"/>
        <v>0</v>
      </c>
      <c r="AS45" s="13">
        <f t="shared" si="9"/>
        <v>0</v>
      </c>
      <c r="AT45" s="13">
        <f t="shared" si="9"/>
        <v>128.25</v>
      </c>
      <c r="AU45" s="13">
        <f t="shared" si="9"/>
        <v>86</v>
      </c>
      <c r="AV45" s="13">
        <f t="shared" si="9"/>
        <v>22</v>
      </c>
      <c r="AW45" s="13">
        <f t="shared" si="9"/>
        <v>0</v>
      </c>
      <c r="AX45" s="13">
        <f t="shared" si="9"/>
        <v>0</v>
      </c>
      <c r="AY45" s="13">
        <f t="shared" si="9"/>
        <v>0</v>
      </c>
      <c r="AZ45" s="13">
        <f t="shared" si="9"/>
        <v>0</v>
      </c>
      <c r="BA45" s="13">
        <f t="shared" si="9"/>
        <v>0</v>
      </c>
      <c r="BB45" s="13">
        <f t="shared" si="9"/>
        <v>74</v>
      </c>
      <c r="BC45" s="13">
        <f t="shared" si="9"/>
        <v>62.5</v>
      </c>
      <c r="BD45" s="13">
        <f t="shared" si="9"/>
        <v>0</v>
      </c>
      <c r="BE45" s="13">
        <f t="shared" si="9"/>
        <v>0</v>
      </c>
      <c r="BF45" s="13">
        <f t="shared" si="9"/>
        <v>4</v>
      </c>
      <c r="BG45" s="13">
        <f t="shared" si="9"/>
        <v>0</v>
      </c>
      <c r="BH45" s="13">
        <f t="shared" si="9"/>
        <v>15.25</v>
      </c>
      <c r="BI45" s="13">
        <f t="shared" si="9"/>
        <v>8</v>
      </c>
      <c r="BJ45" s="13">
        <f t="shared" si="9"/>
        <v>0</v>
      </c>
      <c r="BK45" s="13">
        <f t="shared" si="9"/>
        <v>17</v>
      </c>
      <c r="BL45" s="13">
        <f t="shared" si="9"/>
        <v>0</v>
      </c>
      <c r="BM45" s="13">
        <f t="shared" si="9"/>
        <v>0.4</v>
      </c>
      <c r="BN45" s="13">
        <f t="shared" si="9"/>
        <v>0</v>
      </c>
      <c r="BO45" s="13">
        <f t="shared" si="9"/>
        <v>0</v>
      </c>
      <c r="BP45" s="13">
        <f t="shared" si="9"/>
        <v>1</v>
      </c>
      <c r="BQ45" s="13">
        <f t="shared" si="9"/>
        <v>0</v>
      </c>
      <c r="BR45" s="13">
        <f t="shared" si="9"/>
        <v>0</v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</row>
    <row r="46" spans="1:70" s="14" customFormat="1" ht="10.5" customHeight="1">
      <c r="A46" s="74"/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L46" s="74"/>
      <c r="AM46" s="22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97" s="9" customFormat="1" ht="10.5" customHeight="1">
      <c r="A47" s="211" t="s">
        <v>112</v>
      </c>
      <c r="B47" s="2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8"/>
      <c r="AI47" s="8"/>
      <c r="AJ47" s="8"/>
      <c r="AK47" s="8"/>
      <c r="AL47" s="229" t="s">
        <v>112</v>
      </c>
      <c r="AM47" s="230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</row>
    <row r="48" spans="1:70" s="10" customFormat="1" ht="10.5" customHeight="1">
      <c r="A48" s="156"/>
      <c r="B48" s="92" t="s">
        <v>128</v>
      </c>
      <c r="C48" s="11">
        <v>100</v>
      </c>
      <c r="D48" s="1"/>
      <c r="E48" s="1"/>
      <c r="F48" s="1"/>
      <c r="G48" s="1"/>
      <c r="H48" s="1"/>
      <c r="I48" s="1"/>
      <c r="J48" s="1">
        <v>100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>
        <v>2.5</v>
      </c>
      <c r="AG48" s="1"/>
      <c r="AK48" s="10">
        <v>1.43</v>
      </c>
      <c r="AL48" s="94"/>
      <c r="AM48" s="153" t="s">
        <v>128</v>
      </c>
      <c r="AN48" s="154">
        <v>70</v>
      </c>
      <c r="AO48" s="148"/>
      <c r="AP48" s="148"/>
      <c r="AQ48" s="148"/>
      <c r="AR48" s="148"/>
      <c r="AS48" s="148"/>
      <c r="AT48" s="148"/>
      <c r="AU48" s="148">
        <v>70</v>
      </c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</row>
    <row r="49" spans="1:70" s="10" customFormat="1" ht="10.5" customHeight="1">
      <c r="A49" s="93">
        <v>212</v>
      </c>
      <c r="B49" s="3" t="s">
        <v>96</v>
      </c>
      <c r="C49" s="1">
        <v>210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49</v>
      </c>
      <c r="P49" s="1"/>
      <c r="Q49" s="1"/>
      <c r="R49" s="1">
        <v>30</v>
      </c>
      <c r="S49" s="1"/>
      <c r="T49" s="1"/>
      <c r="U49" s="1"/>
      <c r="V49" s="1"/>
      <c r="W49" s="1">
        <v>10.88</v>
      </c>
      <c r="X49" s="1"/>
      <c r="Y49" s="1">
        <v>93.01</v>
      </c>
      <c r="Z49" s="1"/>
      <c r="AA49" s="1"/>
      <c r="AB49" s="1"/>
      <c r="AC49" s="1"/>
      <c r="AD49" s="1"/>
      <c r="AE49" s="1"/>
      <c r="AF49" s="1"/>
      <c r="AG49" s="1"/>
      <c r="AK49" s="10">
        <v>1.4</v>
      </c>
      <c r="AL49" s="89">
        <v>212</v>
      </c>
      <c r="AM49" s="90" t="s">
        <v>96</v>
      </c>
      <c r="AN49" s="148">
        <v>150</v>
      </c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>
        <v>37.5</v>
      </c>
      <c r="BA49" s="148"/>
      <c r="BB49" s="148"/>
      <c r="BC49" s="148">
        <v>32.6</v>
      </c>
      <c r="BD49" s="148"/>
      <c r="BE49" s="148"/>
      <c r="BF49" s="148"/>
      <c r="BG49" s="148"/>
      <c r="BH49" s="148">
        <v>9.2</v>
      </c>
      <c r="BI49" s="148"/>
      <c r="BJ49" s="148">
        <v>92.4</v>
      </c>
      <c r="BK49" s="148"/>
      <c r="BL49" s="148"/>
      <c r="BM49" s="148"/>
      <c r="BN49" s="148"/>
      <c r="BO49" s="148"/>
      <c r="BP49" s="148"/>
      <c r="BQ49" s="148"/>
      <c r="BR49" s="148"/>
    </row>
    <row r="50" spans="1:70" s="10" customFormat="1" ht="10.5" customHeight="1">
      <c r="A50" s="93"/>
      <c r="B50" s="3" t="s">
        <v>92</v>
      </c>
      <c r="C50" s="1">
        <v>200</v>
      </c>
      <c r="D50" s="1"/>
      <c r="E50" s="1"/>
      <c r="F50" s="1"/>
      <c r="G50" s="1"/>
      <c r="H50" s="1"/>
      <c r="I50" s="1"/>
      <c r="J50" s="1"/>
      <c r="K50" s="1">
        <v>40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10</v>
      </c>
      <c r="AA50" s="1"/>
      <c r="AB50" s="1">
        <v>0.1</v>
      </c>
      <c r="AC50" s="1"/>
      <c r="AD50" s="1"/>
      <c r="AE50" s="1"/>
      <c r="AF50" s="1"/>
      <c r="AG50" s="1"/>
      <c r="AL50" s="89"/>
      <c r="AM50" s="90" t="s">
        <v>92</v>
      </c>
      <c r="AN50" s="148">
        <v>200</v>
      </c>
      <c r="AO50" s="148"/>
      <c r="AP50" s="148"/>
      <c r="AQ50" s="148"/>
      <c r="AR50" s="148"/>
      <c r="AS50" s="148"/>
      <c r="AT50" s="148"/>
      <c r="AU50" s="148"/>
      <c r="AV50" s="148">
        <v>40</v>
      </c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>
        <v>5</v>
      </c>
      <c r="BL50" s="148"/>
      <c r="BM50" s="148">
        <v>0.1</v>
      </c>
      <c r="BN50" s="148"/>
      <c r="BO50" s="148"/>
      <c r="BP50" s="148"/>
      <c r="BQ50" s="148"/>
      <c r="BR50" s="148"/>
    </row>
    <row r="51" spans="1:70" s="10" customFormat="1" ht="10.5" customHeight="1">
      <c r="A51" s="167"/>
      <c r="B51" s="3" t="s">
        <v>4</v>
      </c>
      <c r="C51" s="1">
        <v>60</v>
      </c>
      <c r="D51" s="1"/>
      <c r="E51" s="1">
        <v>55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K51" s="10">
        <v>1.5</v>
      </c>
      <c r="AL51" s="95"/>
      <c r="AM51" s="90" t="s">
        <v>4</v>
      </c>
      <c r="AN51" s="148">
        <v>40</v>
      </c>
      <c r="AO51" s="148"/>
      <c r="AP51" s="148">
        <v>40</v>
      </c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</row>
    <row r="52" spans="1:70" s="10" customFormat="1" ht="10.5" customHeight="1">
      <c r="A52" s="167"/>
      <c r="B52" s="3" t="s">
        <v>127</v>
      </c>
      <c r="C52" s="1">
        <v>30</v>
      </c>
      <c r="D52" s="1">
        <f>AK52*AO52</f>
        <v>30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K52" s="10">
        <v>1.2</v>
      </c>
      <c r="AL52" s="95"/>
      <c r="AM52" s="90" t="s">
        <v>127</v>
      </c>
      <c r="AN52" s="148">
        <v>25</v>
      </c>
      <c r="AO52" s="148">
        <v>25</v>
      </c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</row>
    <row r="53" spans="1:97" s="10" customFormat="1" ht="10.5" customHeight="1">
      <c r="A53" s="93">
        <v>368</v>
      </c>
      <c r="B53" s="3" t="s">
        <v>135</v>
      </c>
      <c r="C53" s="1">
        <v>120</v>
      </c>
      <c r="D53" s="1"/>
      <c r="E53" s="1"/>
      <c r="F53" s="1"/>
      <c r="G53" s="1"/>
      <c r="H53" s="1"/>
      <c r="I53" s="1"/>
      <c r="J53" s="1"/>
      <c r="K53" s="1">
        <v>120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8"/>
      <c r="AI53" s="8"/>
      <c r="AJ53" s="8"/>
      <c r="AK53" s="8"/>
      <c r="AL53" s="89">
        <v>368</v>
      </c>
      <c r="AM53" s="90" t="s">
        <v>135</v>
      </c>
      <c r="AN53" s="2">
        <v>120</v>
      </c>
      <c r="AO53" s="2"/>
      <c r="AP53" s="2"/>
      <c r="AQ53" s="2"/>
      <c r="AR53" s="2"/>
      <c r="AS53" s="2"/>
      <c r="AT53" s="2"/>
      <c r="AU53" s="2"/>
      <c r="AV53" s="2">
        <v>120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</row>
    <row r="54" spans="1:97" s="10" customFormat="1" ht="10.5" customHeight="1">
      <c r="A54" s="7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8"/>
      <c r="AI54" s="8"/>
      <c r="AJ54" s="8"/>
      <c r="AK54" s="8"/>
      <c r="AL54" s="69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</row>
    <row r="55" spans="1:97" s="15" customFormat="1" ht="10.5" customHeight="1">
      <c r="A55" s="180"/>
      <c r="B55" s="181" t="s">
        <v>156</v>
      </c>
      <c r="C55" s="1">
        <f aca="true" t="shared" si="10" ref="C55:J55">SUM(C48:C53)</f>
        <v>720</v>
      </c>
      <c r="D55" s="1">
        <f t="shared" si="10"/>
        <v>30</v>
      </c>
      <c r="E55" s="1">
        <f t="shared" si="10"/>
        <v>55</v>
      </c>
      <c r="F55" s="1">
        <f t="shared" si="10"/>
        <v>0</v>
      </c>
      <c r="G55" s="1">
        <f t="shared" si="10"/>
        <v>0</v>
      </c>
      <c r="H55" s="1">
        <f t="shared" si="10"/>
        <v>0</v>
      </c>
      <c r="I55" s="1">
        <f t="shared" si="10"/>
        <v>0</v>
      </c>
      <c r="J55" s="1">
        <f t="shared" si="10"/>
        <v>100</v>
      </c>
      <c r="K55" s="1">
        <f>K48+K49+K50+K51+K53+K52</f>
        <v>160</v>
      </c>
      <c r="L55" s="1">
        <f aca="true" t="shared" si="11" ref="L55:AG55">SUM(L48:L53)</f>
        <v>0</v>
      </c>
      <c r="M55" s="1">
        <f t="shared" si="11"/>
        <v>0</v>
      </c>
      <c r="N55" s="1">
        <f t="shared" si="11"/>
        <v>0</v>
      </c>
      <c r="O55" s="1">
        <f t="shared" si="11"/>
        <v>49</v>
      </c>
      <c r="P55" s="1">
        <f t="shared" si="11"/>
        <v>0</v>
      </c>
      <c r="Q55" s="1">
        <f t="shared" si="11"/>
        <v>0</v>
      </c>
      <c r="R55" s="1">
        <f t="shared" si="11"/>
        <v>30</v>
      </c>
      <c r="S55" s="1">
        <f t="shared" si="11"/>
        <v>0</v>
      </c>
      <c r="T55" s="1">
        <f t="shared" si="11"/>
        <v>0</v>
      </c>
      <c r="U55" s="1">
        <f t="shared" si="11"/>
        <v>0</v>
      </c>
      <c r="V55" s="1">
        <f t="shared" si="11"/>
        <v>0</v>
      </c>
      <c r="W55" s="1">
        <f t="shared" si="11"/>
        <v>10.88</v>
      </c>
      <c r="X55" s="1">
        <f t="shared" si="11"/>
        <v>0</v>
      </c>
      <c r="Y55" s="1">
        <f t="shared" si="11"/>
        <v>93.01</v>
      </c>
      <c r="Z55" s="1">
        <f t="shared" si="11"/>
        <v>10</v>
      </c>
      <c r="AA55" s="1">
        <f t="shared" si="11"/>
        <v>0</v>
      </c>
      <c r="AB55" s="1">
        <f t="shared" si="11"/>
        <v>0.1</v>
      </c>
      <c r="AC55" s="1">
        <f t="shared" si="11"/>
        <v>0</v>
      </c>
      <c r="AD55" s="1">
        <f t="shared" si="11"/>
        <v>0</v>
      </c>
      <c r="AE55" s="1">
        <f t="shared" si="11"/>
        <v>0</v>
      </c>
      <c r="AF55" s="1">
        <f t="shared" si="11"/>
        <v>2.5</v>
      </c>
      <c r="AG55" s="1">
        <f t="shared" si="11"/>
        <v>0</v>
      </c>
      <c r="AH55" s="14"/>
      <c r="AI55" s="14"/>
      <c r="AJ55" s="14"/>
      <c r="AK55" s="14"/>
      <c r="AL55" s="72"/>
      <c r="AM55" s="12" t="s">
        <v>156</v>
      </c>
      <c r="AN55" s="13">
        <f aca="true" t="shared" si="12" ref="AN55:AU55">SUM(AN48:AN53)</f>
        <v>605</v>
      </c>
      <c r="AO55" s="13">
        <f t="shared" si="12"/>
        <v>25</v>
      </c>
      <c r="AP55" s="13">
        <f t="shared" si="12"/>
        <v>40</v>
      </c>
      <c r="AQ55" s="13">
        <f t="shared" si="12"/>
        <v>0</v>
      </c>
      <c r="AR55" s="13">
        <f t="shared" si="12"/>
        <v>0</v>
      </c>
      <c r="AS55" s="13">
        <f t="shared" si="12"/>
        <v>0</v>
      </c>
      <c r="AT55" s="13">
        <f t="shared" si="12"/>
        <v>0</v>
      </c>
      <c r="AU55" s="13">
        <f t="shared" si="12"/>
        <v>70</v>
      </c>
      <c r="AV55" s="13">
        <f>AV48+AV49+AV50+AV51+AV53+AV52</f>
        <v>160</v>
      </c>
      <c r="AW55" s="13">
        <f aca="true" t="shared" si="13" ref="AW55:BR55">SUM(AW48:AW53)</f>
        <v>0</v>
      </c>
      <c r="AX55" s="13">
        <f t="shared" si="13"/>
        <v>0</v>
      </c>
      <c r="AY55" s="13">
        <f t="shared" si="13"/>
        <v>0</v>
      </c>
      <c r="AZ55" s="13">
        <f t="shared" si="13"/>
        <v>37.5</v>
      </c>
      <c r="BA55" s="13">
        <f t="shared" si="13"/>
        <v>0</v>
      </c>
      <c r="BB55" s="13">
        <f t="shared" si="13"/>
        <v>0</v>
      </c>
      <c r="BC55" s="13">
        <f t="shared" si="13"/>
        <v>32.6</v>
      </c>
      <c r="BD55" s="13">
        <f t="shared" si="13"/>
        <v>0</v>
      </c>
      <c r="BE55" s="13">
        <f t="shared" si="13"/>
        <v>0</v>
      </c>
      <c r="BF55" s="13">
        <f t="shared" si="13"/>
        <v>0</v>
      </c>
      <c r="BG55" s="13">
        <f t="shared" si="13"/>
        <v>0</v>
      </c>
      <c r="BH55" s="13">
        <f t="shared" si="13"/>
        <v>9.2</v>
      </c>
      <c r="BI55" s="13">
        <f t="shared" si="13"/>
        <v>0</v>
      </c>
      <c r="BJ55" s="13">
        <f t="shared" si="13"/>
        <v>92.4</v>
      </c>
      <c r="BK55" s="13">
        <f t="shared" si="13"/>
        <v>5</v>
      </c>
      <c r="BL55" s="13">
        <f t="shared" si="13"/>
        <v>0</v>
      </c>
      <c r="BM55" s="13">
        <f t="shared" si="13"/>
        <v>0.1</v>
      </c>
      <c r="BN55" s="13">
        <f t="shared" si="13"/>
        <v>0</v>
      </c>
      <c r="BO55" s="13">
        <f t="shared" si="13"/>
        <v>0</v>
      </c>
      <c r="BP55" s="13">
        <f t="shared" si="13"/>
        <v>0</v>
      </c>
      <c r="BQ55" s="13">
        <f t="shared" si="13"/>
        <v>0</v>
      </c>
      <c r="BR55" s="13">
        <f t="shared" si="13"/>
        <v>0</v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</row>
    <row r="56" spans="1:38" ht="10.5" customHeight="1">
      <c r="A56" s="71"/>
      <c r="AL56" s="71"/>
    </row>
    <row r="57" spans="1:97" s="9" customFormat="1" ht="10.5" customHeight="1">
      <c r="A57" s="211" t="s">
        <v>113</v>
      </c>
      <c r="B57" s="2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8"/>
      <c r="AI57" s="8"/>
      <c r="AJ57" s="8"/>
      <c r="AK57" s="8"/>
      <c r="AL57" s="229" t="s">
        <v>113</v>
      </c>
      <c r="AM57" s="230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</row>
    <row r="58" spans="1:70" s="10" customFormat="1" ht="10.5" customHeight="1">
      <c r="A58" s="93"/>
      <c r="B58" s="3" t="s">
        <v>119</v>
      </c>
      <c r="C58" s="1">
        <v>100</v>
      </c>
      <c r="D58" s="1"/>
      <c r="E58" s="1"/>
      <c r="F58" s="1"/>
      <c r="G58" s="1"/>
      <c r="H58" s="1"/>
      <c r="I58" s="1"/>
      <c r="J58" s="1">
        <v>100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>
        <v>2</v>
      </c>
      <c r="AG58" s="1"/>
      <c r="AK58" s="10">
        <v>1.5</v>
      </c>
      <c r="AL58" s="89"/>
      <c r="AM58" s="90" t="s">
        <v>119</v>
      </c>
      <c r="AN58" s="148">
        <v>60</v>
      </c>
      <c r="AO58" s="148"/>
      <c r="AP58" s="148"/>
      <c r="AQ58" s="148"/>
      <c r="AR58" s="148"/>
      <c r="AS58" s="148"/>
      <c r="AT58" s="148"/>
      <c r="AU58" s="148">
        <v>60</v>
      </c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</row>
    <row r="59" spans="1:70" s="10" customFormat="1" ht="10.5" customHeight="1">
      <c r="A59" s="93">
        <v>269</v>
      </c>
      <c r="B59" s="3" t="s">
        <v>88</v>
      </c>
      <c r="C59" s="1">
        <v>100</v>
      </c>
      <c r="D59" s="1"/>
      <c r="E59" s="1">
        <f>$AK$59*AP59</f>
        <v>25.74</v>
      </c>
      <c r="F59" s="1"/>
      <c r="G59" s="1"/>
      <c r="H59" s="1"/>
      <c r="I59" s="1"/>
      <c r="J59" s="1"/>
      <c r="K59" s="1"/>
      <c r="L59" s="1"/>
      <c r="M59" s="1"/>
      <c r="N59" s="1">
        <v>70</v>
      </c>
      <c r="O59" s="1"/>
      <c r="P59" s="1"/>
      <c r="Q59" s="1"/>
      <c r="R59" s="1">
        <v>15.02</v>
      </c>
      <c r="S59" s="1"/>
      <c r="T59" s="1"/>
      <c r="U59" s="1"/>
      <c r="V59" s="1"/>
      <c r="W59" s="1"/>
      <c r="X59" s="1">
        <v>3.29</v>
      </c>
      <c r="Y59" s="1"/>
      <c r="Z59" s="1"/>
      <c r="AA59" s="1"/>
      <c r="AB59" s="1"/>
      <c r="AC59" s="1"/>
      <c r="AD59" s="1"/>
      <c r="AE59" s="1"/>
      <c r="AF59" s="1"/>
      <c r="AG59" s="1"/>
      <c r="AK59" s="10">
        <v>1.43</v>
      </c>
      <c r="AL59" s="89">
        <v>269</v>
      </c>
      <c r="AM59" s="90" t="s">
        <v>88</v>
      </c>
      <c r="AN59" s="148">
        <f>50*1.4</f>
        <v>70</v>
      </c>
      <c r="AO59" s="148"/>
      <c r="AP59" s="148">
        <v>18</v>
      </c>
      <c r="AQ59" s="148"/>
      <c r="AR59" s="148"/>
      <c r="AS59" s="148"/>
      <c r="AT59" s="148"/>
      <c r="AU59" s="148"/>
      <c r="AV59" s="148"/>
      <c r="AW59" s="148"/>
      <c r="AX59" s="148"/>
      <c r="AY59" s="148">
        <f>(28+12)*1.4</f>
        <v>56</v>
      </c>
      <c r="AZ59" s="148"/>
      <c r="BA59" s="148"/>
      <c r="BB59" s="148"/>
      <c r="BC59" s="148">
        <f>10*1.4</f>
        <v>14</v>
      </c>
      <c r="BD59" s="148"/>
      <c r="BE59" s="148"/>
      <c r="BF59" s="148"/>
      <c r="BG59" s="148"/>
      <c r="BH59" s="148"/>
      <c r="BI59" s="148">
        <v>3</v>
      </c>
      <c r="BJ59" s="148"/>
      <c r="BK59" s="148"/>
      <c r="BL59" s="148"/>
      <c r="BM59" s="148"/>
      <c r="BN59" s="148"/>
      <c r="BO59" s="148"/>
      <c r="BP59" s="148"/>
      <c r="BQ59" s="148"/>
      <c r="BR59" s="148"/>
    </row>
    <row r="60" spans="1:70" s="10" customFormat="1" ht="10.5" customHeight="1">
      <c r="A60" s="156" t="s">
        <v>70</v>
      </c>
      <c r="B60" s="92" t="s">
        <v>71</v>
      </c>
      <c r="C60" s="11">
        <v>200</v>
      </c>
      <c r="D60" s="1"/>
      <c r="E60" s="1"/>
      <c r="F60" s="1">
        <v>2</v>
      </c>
      <c r="G60" s="1"/>
      <c r="H60" s="1"/>
      <c r="I60" s="1">
        <f>$AK$60*AT60</f>
        <v>62.5</v>
      </c>
      <c r="J60" s="1">
        <v>21.25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f>$AK$60*BH60</f>
        <v>6.25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K60" s="10">
        <v>1.25</v>
      </c>
      <c r="AL60" s="94" t="s">
        <v>70</v>
      </c>
      <c r="AM60" s="153" t="s">
        <v>71</v>
      </c>
      <c r="AN60" s="154">
        <v>160</v>
      </c>
      <c r="AO60" s="148"/>
      <c r="AP60" s="148"/>
      <c r="AQ60" s="148">
        <v>1.5</v>
      </c>
      <c r="AR60" s="148"/>
      <c r="AS60" s="148"/>
      <c r="AT60" s="148">
        <v>50</v>
      </c>
      <c r="AU60" s="148">
        <f>14+5+16+23+10</f>
        <v>68</v>
      </c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>
        <v>5</v>
      </c>
      <c r="BI60" s="148"/>
      <c r="BJ60" s="148"/>
      <c r="BK60" s="148"/>
      <c r="BL60" s="148"/>
      <c r="BM60" s="148"/>
      <c r="BN60" s="148"/>
      <c r="BO60" s="148"/>
      <c r="BP60" s="148"/>
      <c r="BQ60" s="148"/>
      <c r="BR60" s="148">
        <v>0.3</v>
      </c>
    </row>
    <row r="61" spans="1:70" s="10" customFormat="1" ht="10.5" customHeight="1">
      <c r="A61" s="93"/>
      <c r="B61" s="3" t="s">
        <v>90</v>
      </c>
      <c r="C61" s="1">
        <v>200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10</v>
      </c>
      <c r="AA61" s="1"/>
      <c r="AB61" s="1">
        <v>0.4</v>
      </c>
      <c r="AC61" s="1"/>
      <c r="AD61" s="1"/>
      <c r="AE61" s="1"/>
      <c r="AF61" s="1"/>
      <c r="AG61" s="1"/>
      <c r="AL61" s="89"/>
      <c r="AM61" s="90" t="s">
        <v>90</v>
      </c>
      <c r="AN61" s="148">
        <v>200</v>
      </c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>
        <v>10</v>
      </c>
      <c r="BL61" s="148"/>
      <c r="BM61" s="148">
        <v>0.4</v>
      </c>
      <c r="BN61" s="148"/>
      <c r="BO61" s="148"/>
      <c r="BP61" s="148"/>
      <c r="BQ61" s="148"/>
      <c r="BR61" s="148"/>
    </row>
    <row r="62" spans="1:70" s="10" customFormat="1" ht="10.5" customHeight="1">
      <c r="A62" s="93"/>
      <c r="B62" s="3" t="s">
        <v>127</v>
      </c>
      <c r="C62" s="1">
        <v>30</v>
      </c>
      <c r="D62" s="1">
        <v>40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K62" s="10">
        <v>1.2</v>
      </c>
      <c r="AL62" s="89"/>
      <c r="AM62" s="90" t="s">
        <v>127</v>
      </c>
      <c r="AN62" s="148">
        <v>25</v>
      </c>
      <c r="AO62" s="148">
        <v>25</v>
      </c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</row>
    <row r="63" spans="1:70" s="10" customFormat="1" ht="10.5" customHeight="1">
      <c r="A63" s="93"/>
      <c r="B63" s="3" t="s">
        <v>4</v>
      </c>
      <c r="C63" s="1">
        <v>30</v>
      </c>
      <c r="D63" s="1"/>
      <c r="E63" s="1">
        <f>AK63*AP63</f>
        <v>30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K63" s="10">
        <v>1.2</v>
      </c>
      <c r="AL63" s="89"/>
      <c r="AM63" s="90" t="s">
        <v>4</v>
      </c>
      <c r="AN63" s="148">
        <v>25</v>
      </c>
      <c r="AO63" s="148"/>
      <c r="AP63" s="148">
        <v>25</v>
      </c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</row>
    <row r="64" spans="1:97" s="10" customFormat="1" ht="10.5" customHeight="1">
      <c r="A64" s="93"/>
      <c r="B64" s="3" t="s">
        <v>136</v>
      </c>
      <c r="C64" s="1">
        <v>200</v>
      </c>
      <c r="D64" s="1"/>
      <c r="E64" s="1"/>
      <c r="F64" s="1"/>
      <c r="G64" s="1"/>
      <c r="H64" s="1"/>
      <c r="I64" s="1"/>
      <c r="J64" s="1"/>
      <c r="K64" s="1"/>
      <c r="L64" s="1"/>
      <c r="M64" s="1">
        <v>200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8"/>
      <c r="AI64" s="8"/>
      <c r="AJ64" s="8"/>
      <c r="AK64" s="8"/>
      <c r="AL64" s="89"/>
      <c r="AM64" s="90" t="s">
        <v>136</v>
      </c>
      <c r="AN64" s="2">
        <v>200</v>
      </c>
      <c r="AO64" s="2"/>
      <c r="AP64" s="2"/>
      <c r="AQ64" s="2"/>
      <c r="AR64" s="2"/>
      <c r="AS64" s="2"/>
      <c r="AT64" s="2"/>
      <c r="AU64" s="2"/>
      <c r="AV64" s="2"/>
      <c r="AW64" s="2"/>
      <c r="AX64" s="2">
        <v>200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</row>
    <row r="65" spans="1:97" s="10" customFormat="1" ht="10.5" customHeight="1">
      <c r="A65" s="7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8"/>
      <c r="AI65" s="8"/>
      <c r="AJ65" s="8"/>
      <c r="AK65" s="8"/>
      <c r="AL65" s="6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</row>
    <row r="66" spans="1:97" s="15" customFormat="1" ht="10.5" customHeight="1">
      <c r="A66" s="180"/>
      <c r="B66" s="181" t="s">
        <v>156</v>
      </c>
      <c r="C66" s="1">
        <f aca="true" t="shared" si="14" ref="C66:AF66">SUM(C58:C65)</f>
        <v>860</v>
      </c>
      <c r="D66" s="1">
        <f t="shared" si="14"/>
        <v>40</v>
      </c>
      <c r="E66" s="1">
        <f t="shared" si="14"/>
        <v>55.739999999999995</v>
      </c>
      <c r="F66" s="1">
        <f t="shared" si="14"/>
        <v>2</v>
      </c>
      <c r="G66" s="1">
        <f t="shared" si="14"/>
        <v>0</v>
      </c>
      <c r="H66" s="1">
        <f t="shared" si="14"/>
        <v>0</v>
      </c>
      <c r="I66" s="1">
        <f t="shared" si="14"/>
        <v>62.5</v>
      </c>
      <c r="J66" s="1">
        <f t="shared" si="14"/>
        <v>121.25</v>
      </c>
      <c r="K66" s="1">
        <f t="shared" si="14"/>
        <v>0</v>
      </c>
      <c r="L66" s="1">
        <f t="shared" si="14"/>
        <v>0</v>
      </c>
      <c r="M66" s="1">
        <f t="shared" si="14"/>
        <v>200</v>
      </c>
      <c r="N66" s="1">
        <f t="shared" si="14"/>
        <v>70</v>
      </c>
      <c r="O66" s="1">
        <f t="shared" si="14"/>
        <v>0</v>
      </c>
      <c r="P66" s="1">
        <f t="shared" si="14"/>
        <v>0</v>
      </c>
      <c r="Q66" s="1">
        <f t="shared" si="14"/>
        <v>0</v>
      </c>
      <c r="R66" s="1">
        <f t="shared" si="14"/>
        <v>15.02</v>
      </c>
      <c r="S66" s="1">
        <f t="shared" si="14"/>
        <v>0</v>
      </c>
      <c r="T66" s="1">
        <f t="shared" si="14"/>
        <v>0</v>
      </c>
      <c r="U66" s="1">
        <f t="shared" si="14"/>
        <v>0</v>
      </c>
      <c r="V66" s="1">
        <f t="shared" si="14"/>
        <v>0</v>
      </c>
      <c r="W66" s="1">
        <f t="shared" si="14"/>
        <v>6.25</v>
      </c>
      <c r="X66" s="1">
        <f t="shared" si="14"/>
        <v>3.29</v>
      </c>
      <c r="Y66" s="1">
        <f t="shared" si="14"/>
        <v>0</v>
      </c>
      <c r="Z66" s="1">
        <f t="shared" si="14"/>
        <v>10</v>
      </c>
      <c r="AA66" s="1">
        <f t="shared" si="14"/>
        <v>0</v>
      </c>
      <c r="AB66" s="1">
        <f t="shared" si="14"/>
        <v>0.4</v>
      </c>
      <c r="AC66" s="1">
        <f t="shared" si="14"/>
        <v>0</v>
      </c>
      <c r="AD66" s="1">
        <f t="shared" si="14"/>
        <v>0</v>
      </c>
      <c r="AE66" s="1">
        <f t="shared" si="14"/>
        <v>0</v>
      </c>
      <c r="AF66" s="1">
        <f t="shared" si="14"/>
        <v>2</v>
      </c>
      <c r="AG66" s="1">
        <f>SUM(AG59:AG64)</f>
        <v>0</v>
      </c>
      <c r="AH66" s="23">
        <f>SUM(AH59:AH64)</f>
        <v>0</v>
      </c>
      <c r="AI66" s="14"/>
      <c r="AJ66" s="14"/>
      <c r="AK66" s="14"/>
      <c r="AL66" s="72"/>
      <c r="AM66" s="12" t="s">
        <v>156</v>
      </c>
      <c r="AN66" s="13">
        <f aca="true" t="shared" si="15" ref="AN66:BQ66">SUM(AN58:AN65)</f>
        <v>740</v>
      </c>
      <c r="AO66" s="13">
        <f t="shared" si="15"/>
        <v>25</v>
      </c>
      <c r="AP66" s="13">
        <f t="shared" si="15"/>
        <v>43</v>
      </c>
      <c r="AQ66" s="13">
        <f t="shared" si="15"/>
        <v>1.5</v>
      </c>
      <c r="AR66" s="13">
        <f t="shared" si="15"/>
        <v>0</v>
      </c>
      <c r="AS66" s="13">
        <f t="shared" si="15"/>
        <v>0</v>
      </c>
      <c r="AT66" s="13">
        <f t="shared" si="15"/>
        <v>50</v>
      </c>
      <c r="AU66" s="13">
        <f t="shared" si="15"/>
        <v>128</v>
      </c>
      <c r="AV66" s="13">
        <f t="shared" si="15"/>
        <v>0</v>
      </c>
      <c r="AW66" s="13">
        <f t="shared" si="15"/>
        <v>0</v>
      </c>
      <c r="AX66" s="13">
        <f t="shared" si="15"/>
        <v>200</v>
      </c>
      <c r="AY66" s="13">
        <f t="shared" si="15"/>
        <v>56</v>
      </c>
      <c r="AZ66" s="13">
        <f t="shared" si="15"/>
        <v>0</v>
      </c>
      <c r="BA66" s="13">
        <f t="shared" si="15"/>
        <v>0</v>
      </c>
      <c r="BB66" s="13">
        <f t="shared" si="15"/>
        <v>0</v>
      </c>
      <c r="BC66" s="13">
        <f t="shared" si="15"/>
        <v>14</v>
      </c>
      <c r="BD66" s="13">
        <f t="shared" si="15"/>
        <v>0</v>
      </c>
      <c r="BE66" s="13">
        <f t="shared" si="15"/>
        <v>0</v>
      </c>
      <c r="BF66" s="13">
        <f t="shared" si="15"/>
        <v>0</v>
      </c>
      <c r="BG66" s="13">
        <f t="shared" si="15"/>
        <v>0</v>
      </c>
      <c r="BH66" s="13">
        <f t="shared" si="15"/>
        <v>5</v>
      </c>
      <c r="BI66" s="13">
        <f t="shared" si="15"/>
        <v>3</v>
      </c>
      <c r="BJ66" s="13">
        <f t="shared" si="15"/>
        <v>0</v>
      </c>
      <c r="BK66" s="13">
        <f t="shared" si="15"/>
        <v>10</v>
      </c>
      <c r="BL66" s="13">
        <f t="shared" si="15"/>
        <v>0</v>
      </c>
      <c r="BM66" s="13">
        <f t="shared" si="15"/>
        <v>0.4</v>
      </c>
      <c r="BN66" s="13">
        <f t="shared" si="15"/>
        <v>0</v>
      </c>
      <c r="BO66" s="13">
        <f t="shared" si="15"/>
        <v>0</v>
      </c>
      <c r="BP66" s="13">
        <f t="shared" si="15"/>
        <v>0</v>
      </c>
      <c r="BQ66" s="13">
        <f t="shared" si="15"/>
        <v>0</v>
      </c>
      <c r="BR66" s="13">
        <f>SUM(BR59:BR64)</f>
        <v>0.3</v>
      </c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</row>
    <row r="67" spans="1:97" s="10" customFormat="1" ht="10.5" customHeight="1">
      <c r="A67" s="7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8"/>
      <c r="AI67" s="8"/>
      <c r="AJ67" s="8"/>
      <c r="AK67" s="8"/>
      <c r="AL67" s="69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</row>
    <row r="68" spans="1:97" s="24" customFormat="1" ht="10.5" customHeight="1">
      <c r="A68" s="211" t="s">
        <v>114</v>
      </c>
      <c r="B68" s="2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4"/>
      <c r="AI68" s="14"/>
      <c r="AJ68" s="14"/>
      <c r="AK68" s="14"/>
      <c r="AL68" s="229" t="s">
        <v>114</v>
      </c>
      <c r="AM68" s="230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</row>
    <row r="69" spans="1:70" s="10" customFormat="1" ht="10.5" customHeight="1">
      <c r="A69" s="93"/>
      <c r="B69" s="3" t="s">
        <v>128</v>
      </c>
      <c r="C69" s="1">
        <v>100</v>
      </c>
      <c r="D69" s="1"/>
      <c r="E69" s="1"/>
      <c r="F69" s="1"/>
      <c r="G69" s="1"/>
      <c r="H69" s="1"/>
      <c r="I69" s="1"/>
      <c r="J69" s="1">
        <v>100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>
        <v>2</v>
      </c>
      <c r="AG69" s="1"/>
      <c r="AK69" s="10">
        <v>1.43</v>
      </c>
      <c r="AL69" s="89"/>
      <c r="AM69" s="90" t="s">
        <v>128</v>
      </c>
      <c r="AN69" s="148">
        <v>70</v>
      </c>
      <c r="AO69" s="148"/>
      <c r="AP69" s="148"/>
      <c r="AQ69" s="148"/>
      <c r="AR69" s="148"/>
      <c r="AS69" s="148"/>
      <c r="AT69" s="148"/>
      <c r="AU69" s="148">
        <v>70</v>
      </c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</row>
    <row r="70" spans="1:70" s="10" customFormat="1" ht="10.5" customHeight="1">
      <c r="A70" s="93">
        <v>235</v>
      </c>
      <c r="B70" s="3" t="s">
        <v>85</v>
      </c>
      <c r="C70" s="1">
        <v>100</v>
      </c>
      <c r="D70" s="1"/>
      <c r="E70" s="1">
        <f>$AK$70*AP70</f>
        <v>11.97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v>85.2</v>
      </c>
      <c r="R70" s="1"/>
      <c r="S70" s="1"/>
      <c r="T70" s="1"/>
      <c r="U70" s="1"/>
      <c r="V70" s="1"/>
      <c r="W70" s="1"/>
      <c r="X70" s="1">
        <v>4.71</v>
      </c>
      <c r="Y70" s="1">
        <v>2.99</v>
      </c>
      <c r="Z70" s="1"/>
      <c r="AA70" s="1"/>
      <c r="AB70" s="1"/>
      <c r="AC70" s="1"/>
      <c r="AD70" s="1"/>
      <c r="AE70" s="1"/>
      <c r="AF70" s="1"/>
      <c r="AG70" s="1"/>
      <c r="AK70" s="10">
        <v>1.33</v>
      </c>
      <c r="AL70" s="89">
        <v>235</v>
      </c>
      <c r="AM70" s="90" t="s">
        <v>85</v>
      </c>
      <c r="AN70" s="148">
        <v>75</v>
      </c>
      <c r="AO70" s="148"/>
      <c r="AP70" s="148">
        <f>6*1.5</f>
        <v>9</v>
      </c>
      <c r="AQ70" s="148"/>
      <c r="AR70" s="148"/>
      <c r="AS70" s="148"/>
      <c r="AT70" s="148"/>
      <c r="AU70" s="148">
        <f>(9+1)*1.5</f>
        <v>15</v>
      </c>
      <c r="AV70" s="148"/>
      <c r="AW70" s="148"/>
      <c r="AX70" s="148"/>
      <c r="AY70" s="148"/>
      <c r="AZ70" s="148"/>
      <c r="BA70" s="148"/>
      <c r="BB70" s="148">
        <f>43*1.5</f>
        <v>64.5</v>
      </c>
      <c r="BC70" s="148"/>
      <c r="BD70" s="148"/>
      <c r="BE70" s="148"/>
      <c r="BF70" s="148"/>
      <c r="BG70" s="148"/>
      <c r="BH70" s="148"/>
      <c r="BI70" s="148">
        <v>6</v>
      </c>
      <c r="BJ70" s="148">
        <f>2*1.5</f>
        <v>3</v>
      </c>
      <c r="BK70" s="148"/>
      <c r="BL70" s="148"/>
      <c r="BM70" s="148"/>
      <c r="BN70" s="148"/>
      <c r="BO70" s="148"/>
      <c r="BP70" s="148"/>
      <c r="BQ70" s="148"/>
      <c r="BR70" s="148"/>
    </row>
    <row r="71" spans="1:70" s="10" customFormat="1" ht="10.5" customHeight="1">
      <c r="A71" s="93">
        <v>310</v>
      </c>
      <c r="B71" s="3" t="s">
        <v>84</v>
      </c>
      <c r="C71" s="1">
        <v>200</v>
      </c>
      <c r="D71" s="1"/>
      <c r="E71" s="1"/>
      <c r="F71" s="1"/>
      <c r="G71" s="1"/>
      <c r="H71" s="1"/>
      <c r="I71" s="1">
        <v>157.6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>
        <f>$AK$71*BH71</f>
        <v>7.02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K71" s="10">
        <v>1.17</v>
      </c>
      <c r="AL71" s="89">
        <v>310</v>
      </c>
      <c r="AM71" s="90" t="s">
        <v>84</v>
      </c>
      <c r="AN71" s="148">
        <v>170</v>
      </c>
      <c r="AO71" s="148"/>
      <c r="AP71" s="148"/>
      <c r="AQ71" s="148"/>
      <c r="AR71" s="148"/>
      <c r="AS71" s="148"/>
      <c r="AT71" s="148">
        <v>170</v>
      </c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>
        <v>6</v>
      </c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</row>
    <row r="72" spans="1:70" s="10" customFormat="1" ht="10.5" customHeight="1">
      <c r="A72" s="93" t="s">
        <v>39</v>
      </c>
      <c r="B72" s="3" t="s">
        <v>89</v>
      </c>
      <c r="C72" s="1">
        <v>200</v>
      </c>
      <c r="D72" s="1"/>
      <c r="E72" s="1"/>
      <c r="F72" s="1"/>
      <c r="G72" s="1"/>
      <c r="H72" s="1"/>
      <c r="I72" s="1"/>
      <c r="J72" s="1"/>
      <c r="K72" s="1"/>
      <c r="L72" s="1">
        <v>25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>
        <v>10</v>
      </c>
      <c r="AA72" s="1"/>
      <c r="AB72" s="1"/>
      <c r="AC72" s="1"/>
      <c r="AD72" s="1"/>
      <c r="AE72" s="1"/>
      <c r="AF72" s="1"/>
      <c r="AG72" s="1"/>
      <c r="AL72" s="89" t="s">
        <v>39</v>
      </c>
      <c r="AM72" s="90" t="s">
        <v>89</v>
      </c>
      <c r="AN72" s="148">
        <v>200</v>
      </c>
      <c r="AO72" s="148"/>
      <c r="AP72" s="148"/>
      <c r="AQ72" s="148"/>
      <c r="AR72" s="148"/>
      <c r="AS72" s="148"/>
      <c r="AT72" s="148"/>
      <c r="AU72" s="148"/>
      <c r="AV72" s="148"/>
      <c r="AW72" s="148">
        <v>20</v>
      </c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>
        <v>5</v>
      </c>
      <c r="BL72" s="148"/>
      <c r="BM72" s="148"/>
      <c r="BN72" s="148"/>
      <c r="BO72" s="148"/>
      <c r="BP72" s="148"/>
      <c r="BQ72" s="148"/>
      <c r="BR72" s="148"/>
    </row>
    <row r="73" spans="1:70" s="10" customFormat="1" ht="10.5" customHeight="1">
      <c r="A73" s="93"/>
      <c r="B73" s="3" t="s">
        <v>4</v>
      </c>
      <c r="C73" s="1">
        <v>60</v>
      </c>
      <c r="D73" s="1"/>
      <c r="E73" s="1">
        <f>$AK$73*AP73</f>
        <v>60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K73" s="10">
        <v>1.5</v>
      </c>
      <c r="AL73" s="89"/>
      <c r="AM73" s="90" t="s">
        <v>4</v>
      </c>
      <c r="AN73" s="148">
        <v>40</v>
      </c>
      <c r="AO73" s="148"/>
      <c r="AP73" s="148">
        <v>40</v>
      </c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</row>
    <row r="74" spans="1:70" s="10" customFormat="1" ht="10.5" customHeight="1">
      <c r="A74" s="93"/>
      <c r="B74" s="3" t="s">
        <v>127</v>
      </c>
      <c r="C74" s="1">
        <v>40</v>
      </c>
      <c r="D74" s="1">
        <v>40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K74" s="10">
        <v>1.2</v>
      </c>
      <c r="AL74" s="89"/>
      <c r="AM74" s="90" t="s">
        <v>127</v>
      </c>
      <c r="AN74" s="148">
        <v>25</v>
      </c>
      <c r="AO74" s="148">
        <v>25</v>
      </c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</row>
    <row r="75" spans="1:97" s="10" customFormat="1" ht="10.5" customHeight="1">
      <c r="A75" s="93"/>
      <c r="B75" s="3" t="s">
        <v>134</v>
      </c>
      <c r="C75" s="1">
        <v>150</v>
      </c>
      <c r="D75" s="1"/>
      <c r="E75" s="1"/>
      <c r="F75" s="1"/>
      <c r="G75" s="1"/>
      <c r="H75" s="1"/>
      <c r="I75" s="1"/>
      <c r="J75" s="1"/>
      <c r="K75" s="1"/>
      <c r="L75" s="1"/>
      <c r="M75" s="1">
        <v>150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8"/>
      <c r="AI75" s="8"/>
      <c r="AJ75" s="8"/>
      <c r="AK75" s="8"/>
      <c r="AL75" s="89"/>
      <c r="AM75" s="90" t="s">
        <v>134</v>
      </c>
      <c r="AN75" s="2">
        <v>150</v>
      </c>
      <c r="AO75" s="2"/>
      <c r="AP75" s="2"/>
      <c r="AQ75" s="2"/>
      <c r="AR75" s="2"/>
      <c r="AS75" s="2"/>
      <c r="AT75" s="2"/>
      <c r="AU75" s="2"/>
      <c r="AV75" s="2"/>
      <c r="AW75" s="2"/>
      <c r="AX75" s="2">
        <v>150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</row>
    <row r="76" spans="1:70" ht="10.5" customHeight="1">
      <c r="A76" s="70"/>
      <c r="B76" s="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L76" s="70"/>
      <c r="AM76" s="8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1:97" s="15" customFormat="1" ht="10.5" customHeight="1">
      <c r="A77" s="180"/>
      <c r="B77" s="181" t="s">
        <v>156</v>
      </c>
      <c r="C77" s="1">
        <f aca="true" t="shared" si="16" ref="C77:AG77">SUM(C69:C76)</f>
        <v>850</v>
      </c>
      <c r="D77" s="1">
        <f t="shared" si="16"/>
        <v>40</v>
      </c>
      <c r="E77" s="1">
        <f t="shared" si="16"/>
        <v>71.97</v>
      </c>
      <c r="F77" s="1">
        <f t="shared" si="16"/>
        <v>0</v>
      </c>
      <c r="G77" s="1">
        <f t="shared" si="16"/>
        <v>0</v>
      </c>
      <c r="H77" s="1">
        <f t="shared" si="16"/>
        <v>0</v>
      </c>
      <c r="I77" s="1">
        <f t="shared" si="16"/>
        <v>157.6</v>
      </c>
      <c r="J77" s="1">
        <f t="shared" si="16"/>
        <v>100</v>
      </c>
      <c r="K77" s="1">
        <f t="shared" si="16"/>
        <v>0</v>
      </c>
      <c r="L77" s="1">
        <f t="shared" si="16"/>
        <v>25</v>
      </c>
      <c r="M77" s="1">
        <f t="shared" si="16"/>
        <v>150</v>
      </c>
      <c r="N77" s="1">
        <f t="shared" si="16"/>
        <v>0</v>
      </c>
      <c r="O77" s="1">
        <f t="shared" si="16"/>
        <v>0</v>
      </c>
      <c r="P77" s="1">
        <f t="shared" si="16"/>
        <v>0</v>
      </c>
      <c r="Q77" s="1">
        <f t="shared" si="16"/>
        <v>85.2</v>
      </c>
      <c r="R77" s="1">
        <f t="shared" si="16"/>
        <v>0</v>
      </c>
      <c r="S77" s="1">
        <f t="shared" si="16"/>
        <v>0</v>
      </c>
      <c r="T77" s="1">
        <f t="shared" si="16"/>
        <v>0</v>
      </c>
      <c r="U77" s="1">
        <f t="shared" si="16"/>
        <v>0</v>
      </c>
      <c r="V77" s="1">
        <f t="shared" si="16"/>
        <v>0</v>
      </c>
      <c r="W77" s="1">
        <f t="shared" si="16"/>
        <v>7.02</v>
      </c>
      <c r="X77" s="1">
        <f t="shared" si="16"/>
        <v>4.71</v>
      </c>
      <c r="Y77" s="1">
        <f t="shared" si="16"/>
        <v>2.99</v>
      </c>
      <c r="Z77" s="1">
        <f t="shared" si="16"/>
        <v>10</v>
      </c>
      <c r="AA77" s="1">
        <f t="shared" si="16"/>
        <v>0</v>
      </c>
      <c r="AB77" s="1">
        <f t="shared" si="16"/>
        <v>0</v>
      </c>
      <c r="AC77" s="1">
        <f t="shared" si="16"/>
        <v>0</v>
      </c>
      <c r="AD77" s="1">
        <f t="shared" si="16"/>
        <v>0</v>
      </c>
      <c r="AE77" s="1">
        <f t="shared" si="16"/>
        <v>0</v>
      </c>
      <c r="AF77" s="1">
        <f t="shared" si="16"/>
        <v>2</v>
      </c>
      <c r="AG77" s="1">
        <f t="shared" si="16"/>
        <v>0</v>
      </c>
      <c r="AH77" s="14"/>
      <c r="AI77" s="14"/>
      <c r="AJ77" s="14"/>
      <c r="AK77" s="14"/>
      <c r="AL77" s="72"/>
      <c r="AM77" s="12" t="s">
        <v>156</v>
      </c>
      <c r="AN77" s="13">
        <f aca="true" t="shared" si="17" ref="AN77:BR77">SUM(AN69:AN76)</f>
        <v>730</v>
      </c>
      <c r="AO77" s="13">
        <f t="shared" si="17"/>
        <v>25</v>
      </c>
      <c r="AP77" s="13">
        <f t="shared" si="17"/>
        <v>49</v>
      </c>
      <c r="AQ77" s="13">
        <f t="shared" si="17"/>
        <v>0</v>
      </c>
      <c r="AR77" s="13">
        <f t="shared" si="17"/>
        <v>0</v>
      </c>
      <c r="AS77" s="13">
        <f t="shared" si="17"/>
        <v>0</v>
      </c>
      <c r="AT77" s="13">
        <f t="shared" si="17"/>
        <v>170</v>
      </c>
      <c r="AU77" s="13">
        <f t="shared" si="17"/>
        <v>85</v>
      </c>
      <c r="AV77" s="13">
        <f t="shared" si="17"/>
        <v>0</v>
      </c>
      <c r="AW77" s="13">
        <f t="shared" si="17"/>
        <v>20</v>
      </c>
      <c r="AX77" s="13">
        <f t="shared" si="17"/>
        <v>150</v>
      </c>
      <c r="AY77" s="13">
        <f t="shared" si="17"/>
        <v>0</v>
      </c>
      <c r="AZ77" s="13">
        <f t="shared" si="17"/>
        <v>0</v>
      </c>
      <c r="BA77" s="13">
        <f t="shared" si="17"/>
        <v>0</v>
      </c>
      <c r="BB77" s="13">
        <f t="shared" si="17"/>
        <v>64.5</v>
      </c>
      <c r="BC77" s="13">
        <f t="shared" si="17"/>
        <v>0</v>
      </c>
      <c r="BD77" s="13">
        <f t="shared" si="17"/>
        <v>0</v>
      </c>
      <c r="BE77" s="13">
        <f t="shared" si="17"/>
        <v>0</v>
      </c>
      <c r="BF77" s="13">
        <f t="shared" si="17"/>
        <v>0</v>
      </c>
      <c r="BG77" s="13">
        <f t="shared" si="17"/>
        <v>0</v>
      </c>
      <c r="BH77" s="13">
        <f t="shared" si="17"/>
        <v>6</v>
      </c>
      <c r="BI77" s="13">
        <f t="shared" si="17"/>
        <v>6</v>
      </c>
      <c r="BJ77" s="13">
        <f t="shared" si="17"/>
        <v>3</v>
      </c>
      <c r="BK77" s="13">
        <f t="shared" si="17"/>
        <v>5</v>
      </c>
      <c r="BL77" s="13">
        <f t="shared" si="17"/>
        <v>0</v>
      </c>
      <c r="BM77" s="13">
        <f t="shared" si="17"/>
        <v>0</v>
      </c>
      <c r="BN77" s="13">
        <f t="shared" si="17"/>
        <v>0</v>
      </c>
      <c r="BO77" s="13">
        <f t="shared" si="17"/>
        <v>0</v>
      </c>
      <c r="BP77" s="13">
        <f t="shared" si="17"/>
        <v>0</v>
      </c>
      <c r="BQ77" s="13">
        <f t="shared" si="17"/>
        <v>0</v>
      </c>
      <c r="BR77" s="13">
        <f t="shared" si="17"/>
        <v>0</v>
      </c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</row>
    <row r="78" spans="1:39" ht="10.5" customHeight="1">
      <c r="A78" s="71"/>
      <c r="B78" s="25"/>
      <c r="AL78" s="71"/>
      <c r="AM78" s="25"/>
    </row>
    <row r="79" spans="1:97" s="9" customFormat="1" ht="10.5" customHeight="1">
      <c r="A79" s="211" t="s">
        <v>115</v>
      </c>
      <c r="B79" s="21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8"/>
      <c r="AI79" s="8"/>
      <c r="AJ79" s="8"/>
      <c r="AK79" s="8"/>
      <c r="AL79" s="229" t="s">
        <v>115</v>
      </c>
      <c r="AM79" s="230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</row>
    <row r="80" spans="1:70" s="10" customFormat="1" ht="10.5" customHeight="1">
      <c r="A80" s="93"/>
      <c r="B80" s="3" t="s">
        <v>130</v>
      </c>
      <c r="C80" s="1">
        <v>100</v>
      </c>
      <c r="D80" s="1"/>
      <c r="E80" s="1"/>
      <c r="F80" s="1"/>
      <c r="G80" s="1"/>
      <c r="H80" s="1"/>
      <c r="I80" s="1"/>
      <c r="J80" s="1">
        <v>92.25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v>7</v>
      </c>
      <c r="Y80" s="1"/>
      <c r="Z80" s="1"/>
      <c r="AA80" s="1"/>
      <c r="AB80" s="1"/>
      <c r="AC80" s="1"/>
      <c r="AD80" s="1"/>
      <c r="AE80" s="1"/>
      <c r="AF80" s="1">
        <v>2</v>
      </c>
      <c r="AG80" s="1"/>
      <c r="AK80" s="10">
        <v>1.25</v>
      </c>
      <c r="AL80" s="89"/>
      <c r="AM80" s="90" t="s">
        <v>130</v>
      </c>
      <c r="AN80" s="148">
        <v>80</v>
      </c>
      <c r="AO80" s="148"/>
      <c r="AP80" s="148"/>
      <c r="AQ80" s="148"/>
      <c r="AR80" s="148"/>
      <c r="AS80" s="148"/>
      <c r="AT80" s="148"/>
      <c r="AU80" s="148">
        <v>77</v>
      </c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>
        <v>4.8</v>
      </c>
      <c r="BJ80" s="148"/>
      <c r="BK80" s="148"/>
      <c r="BL80" s="148"/>
      <c r="BM80" s="148"/>
      <c r="BN80" s="148"/>
      <c r="BO80" s="148"/>
      <c r="BP80" s="148"/>
      <c r="BQ80" s="148"/>
      <c r="BR80" s="148"/>
    </row>
    <row r="81" spans="1:70" s="10" customFormat="1" ht="10.5" customHeight="1">
      <c r="A81" s="93">
        <v>278</v>
      </c>
      <c r="B81" s="3" t="s">
        <v>73</v>
      </c>
      <c r="C81" s="1">
        <v>100</v>
      </c>
      <c r="D81" s="1"/>
      <c r="E81" s="1">
        <f>$AK$81*AP81</f>
        <v>12</v>
      </c>
      <c r="F81" s="1">
        <v>3.5</v>
      </c>
      <c r="G81" s="1"/>
      <c r="H81" s="1"/>
      <c r="I81" s="1"/>
      <c r="J81" s="1"/>
      <c r="K81" s="1"/>
      <c r="L81" s="1"/>
      <c r="M81" s="1"/>
      <c r="N81" s="1">
        <f>$AK$81*AY81</f>
        <v>57</v>
      </c>
      <c r="O81" s="1"/>
      <c r="P81" s="1"/>
      <c r="Q81" s="1"/>
      <c r="R81" s="1">
        <f>$AK$81*BC81</f>
        <v>18</v>
      </c>
      <c r="S81" s="1"/>
      <c r="T81" s="1"/>
      <c r="U81" s="1"/>
      <c r="V81" s="1"/>
      <c r="W81" s="1"/>
      <c r="X81" s="1">
        <v>4</v>
      </c>
      <c r="Y81" s="1"/>
      <c r="Z81" s="1"/>
      <c r="AA81" s="1"/>
      <c r="AB81" s="1"/>
      <c r="AC81" s="1"/>
      <c r="AD81" s="1"/>
      <c r="AE81" s="1"/>
      <c r="AF81" s="1"/>
      <c r="AG81" s="1"/>
      <c r="AK81" s="10">
        <v>1.5</v>
      </c>
      <c r="AL81" s="89">
        <v>278</v>
      </c>
      <c r="AM81" s="90" t="s">
        <v>73</v>
      </c>
      <c r="AN81" s="148">
        <v>60</v>
      </c>
      <c r="AO81" s="148"/>
      <c r="AP81" s="148">
        <v>8</v>
      </c>
      <c r="AQ81" s="148">
        <v>2</v>
      </c>
      <c r="AR81" s="148"/>
      <c r="AS81" s="148"/>
      <c r="AT81" s="148"/>
      <c r="AU81" s="148">
        <v>20</v>
      </c>
      <c r="AV81" s="148"/>
      <c r="AW81" s="148"/>
      <c r="AX81" s="148"/>
      <c r="AY81" s="148">
        <v>38</v>
      </c>
      <c r="AZ81" s="148"/>
      <c r="BA81" s="148"/>
      <c r="BB81" s="148"/>
      <c r="BC81" s="148">
        <v>12</v>
      </c>
      <c r="BD81" s="148"/>
      <c r="BE81" s="148"/>
      <c r="BF81" s="148"/>
      <c r="BG81" s="148"/>
      <c r="BH81" s="148"/>
      <c r="BI81" s="148">
        <v>4</v>
      </c>
      <c r="BJ81" s="148"/>
      <c r="BK81" s="148"/>
      <c r="BL81" s="148"/>
      <c r="BM81" s="148"/>
      <c r="BN81" s="148"/>
      <c r="BO81" s="148"/>
      <c r="BP81" s="148"/>
      <c r="BQ81" s="148"/>
      <c r="BR81" s="148"/>
    </row>
    <row r="82" spans="1:70" s="10" customFormat="1" ht="10.5" customHeight="1">
      <c r="A82" s="156">
        <v>330</v>
      </c>
      <c r="B82" s="3" t="s">
        <v>72</v>
      </c>
      <c r="C82" s="1">
        <v>50</v>
      </c>
      <c r="D82" s="1"/>
      <c r="E82" s="1"/>
      <c r="F82" s="1">
        <v>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10.5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 s="94">
        <v>330</v>
      </c>
      <c r="AM82" s="90" t="s">
        <v>72</v>
      </c>
      <c r="AN82" s="148">
        <v>50</v>
      </c>
      <c r="AO82" s="148"/>
      <c r="AP82" s="148"/>
      <c r="AQ82" s="148">
        <v>3.75</v>
      </c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>
        <v>12.5</v>
      </c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</row>
    <row r="83" spans="1:70" s="10" customFormat="1" ht="10.5" customHeight="1">
      <c r="A83" s="93">
        <v>302</v>
      </c>
      <c r="B83" s="3" t="s">
        <v>131</v>
      </c>
      <c r="C83" s="1">
        <v>210</v>
      </c>
      <c r="D83" s="1"/>
      <c r="E83" s="1"/>
      <c r="F83" s="1"/>
      <c r="G83" s="1">
        <v>40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6.4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K83" s="10">
        <v>1.4</v>
      </c>
      <c r="AL83" s="89">
        <v>302</v>
      </c>
      <c r="AM83" s="90" t="s">
        <v>131</v>
      </c>
      <c r="AN83" s="148">
        <v>150</v>
      </c>
      <c r="AO83" s="148"/>
      <c r="AP83" s="148"/>
      <c r="AQ83" s="148"/>
      <c r="AR83" s="148">
        <f>25*1.5</f>
        <v>37.5</v>
      </c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>
        <v>6</v>
      </c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</row>
    <row r="84" spans="1:70" s="10" customFormat="1" ht="10.5" customHeight="1">
      <c r="A84" s="93">
        <v>342</v>
      </c>
      <c r="B84" s="3" t="s">
        <v>92</v>
      </c>
      <c r="C84" s="1">
        <v>200</v>
      </c>
      <c r="D84" s="1"/>
      <c r="E84" s="1"/>
      <c r="F84" s="1"/>
      <c r="G84" s="1"/>
      <c r="H84" s="1"/>
      <c r="I84" s="1"/>
      <c r="J84" s="1"/>
      <c r="K84" s="1">
        <v>55.5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>
        <v>10</v>
      </c>
      <c r="AA84" s="1"/>
      <c r="AB84" s="1"/>
      <c r="AC84" s="1"/>
      <c r="AD84" s="1"/>
      <c r="AE84" s="1"/>
      <c r="AF84" s="1"/>
      <c r="AG84" s="1"/>
      <c r="AL84" s="89">
        <v>342</v>
      </c>
      <c r="AM84" s="90" t="s">
        <v>92</v>
      </c>
      <c r="AN84" s="148">
        <v>200</v>
      </c>
      <c r="AO84" s="148"/>
      <c r="AP84" s="148"/>
      <c r="AQ84" s="148"/>
      <c r="AR84" s="148"/>
      <c r="AS84" s="148"/>
      <c r="AT84" s="148"/>
      <c r="AU84" s="148"/>
      <c r="AV84" s="148">
        <v>40</v>
      </c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>
        <v>5</v>
      </c>
      <c r="BL84" s="148"/>
      <c r="BM84" s="148"/>
      <c r="BN84" s="148"/>
      <c r="BO84" s="148"/>
      <c r="BP84" s="148"/>
      <c r="BQ84" s="148"/>
      <c r="BR84" s="148"/>
    </row>
    <row r="85" spans="1:70" s="10" customFormat="1" ht="10.5" customHeight="1">
      <c r="A85" s="93"/>
      <c r="B85" s="3" t="s">
        <v>127</v>
      </c>
      <c r="C85" s="1">
        <v>40</v>
      </c>
      <c r="D85" s="1">
        <v>40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K85" s="10">
        <v>1.2</v>
      </c>
      <c r="AL85" s="89"/>
      <c r="AM85" s="90" t="s">
        <v>127</v>
      </c>
      <c r="AN85" s="148">
        <v>25</v>
      </c>
      <c r="AO85" s="148">
        <v>25</v>
      </c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</row>
    <row r="86" spans="1:70" s="10" customFormat="1" ht="10.5" customHeight="1">
      <c r="A86" s="93"/>
      <c r="B86" s="3" t="s">
        <v>4</v>
      </c>
      <c r="C86" s="1">
        <v>60</v>
      </c>
      <c r="D86" s="1"/>
      <c r="E86" s="1">
        <f>AK86*AP86</f>
        <v>60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K86" s="10">
        <v>1.5</v>
      </c>
      <c r="AL86" s="89"/>
      <c r="AM86" s="90" t="s">
        <v>4</v>
      </c>
      <c r="AN86" s="148">
        <v>40</v>
      </c>
      <c r="AO86" s="148"/>
      <c r="AP86" s="148">
        <v>40</v>
      </c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</row>
    <row r="87" spans="1:97" s="10" customFormat="1" ht="10.5" customHeight="1">
      <c r="A87" s="168"/>
      <c r="B87" s="169" t="s">
        <v>129</v>
      </c>
      <c r="C87" s="17">
        <v>37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>
        <v>37.5</v>
      </c>
      <c r="AB87" s="17"/>
      <c r="AC87" s="17"/>
      <c r="AD87" s="17"/>
      <c r="AE87" s="17"/>
      <c r="AF87" s="17"/>
      <c r="AG87" s="17"/>
      <c r="AH87" s="8"/>
      <c r="AI87" s="8"/>
      <c r="AJ87" s="8"/>
      <c r="AK87" s="8"/>
      <c r="AL87" s="96"/>
      <c r="AM87" s="97" t="s">
        <v>129</v>
      </c>
      <c r="AN87" s="26">
        <v>25</v>
      </c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>
        <v>25</v>
      </c>
      <c r="BM87" s="26"/>
      <c r="BN87" s="26"/>
      <c r="BO87" s="26"/>
      <c r="BP87" s="26"/>
      <c r="BQ87" s="26"/>
      <c r="BR87" s="26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</row>
    <row r="88" spans="1:97" s="10" customFormat="1" ht="10.5" customHeight="1">
      <c r="A88" s="7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8"/>
      <c r="AI88" s="8"/>
      <c r="AJ88" s="8"/>
      <c r="AK88" s="8"/>
      <c r="AL88" s="6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</row>
    <row r="89" spans="1:97" s="15" customFormat="1" ht="10.5" customHeight="1">
      <c r="A89" s="180"/>
      <c r="B89" s="181" t="s">
        <v>156</v>
      </c>
      <c r="C89" s="1">
        <f aca="true" t="shared" si="18" ref="C89:AG89">SUM(C80:C88)</f>
        <v>797</v>
      </c>
      <c r="D89" s="1">
        <f t="shared" si="18"/>
        <v>40</v>
      </c>
      <c r="E89" s="1">
        <f t="shared" si="18"/>
        <v>72</v>
      </c>
      <c r="F89" s="1">
        <f t="shared" si="18"/>
        <v>7.5</v>
      </c>
      <c r="G89" s="1">
        <f t="shared" si="18"/>
        <v>40</v>
      </c>
      <c r="H89" s="1">
        <f t="shared" si="18"/>
        <v>0</v>
      </c>
      <c r="I89" s="1">
        <f t="shared" si="18"/>
        <v>0</v>
      </c>
      <c r="J89" s="1">
        <f t="shared" si="18"/>
        <v>92.25</v>
      </c>
      <c r="K89" s="1">
        <f t="shared" si="18"/>
        <v>55.5</v>
      </c>
      <c r="L89" s="1">
        <f t="shared" si="18"/>
        <v>0</v>
      </c>
      <c r="M89" s="1">
        <f t="shared" si="18"/>
        <v>0</v>
      </c>
      <c r="N89" s="1">
        <f t="shared" si="18"/>
        <v>57</v>
      </c>
      <c r="O89" s="1">
        <f t="shared" si="18"/>
        <v>0</v>
      </c>
      <c r="P89" s="1">
        <f t="shared" si="18"/>
        <v>0</v>
      </c>
      <c r="Q89" s="1">
        <f t="shared" si="18"/>
        <v>0</v>
      </c>
      <c r="R89" s="1">
        <f t="shared" si="18"/>
        <v>18</v>
      </c>
      <c r="S89" s="1">
        <f t="shared" si="18"/>
        <v>0</v>
      </c>
      <c r="T89" s="1">
        <f t="shared" si="18"/>
        <v>0</v>
      </c>
      <c r="U89" s="1">
        <f t="shared" si="18"/>
        <v>0</v>
      </c>
      <c r="V89" s="1">
        <f t="shared" si="18"/>
        <v>10.5</v>
      </c>
      <c r="W89" s="1">
        <f t="shared" si="18"/>
        <v>6.4</v>
      </c>
      <c r="X89" s="1">
        <f t="shared" si="18"/>
        <v>11</v>
      </c>
      <c r="Y89" s="1">
        <f t="shared" si="18"/>
        <v>0</v>
      </c>
      <c r="Z89" s="1">
        <f t="shared" si="18"/>
        <v>10</v>
      </c>
      <c r="AA89" s="1">
        <f t="shared" si="18"/>
        <v>37.5</v>
      </c>
      <c r="AB89" s="1">
        <f t="shared" si="18"/>
        <v>0</v>
      </c>
      <c r="AC89" s="1">
        <f t="shared" si="18"/>
        <v>0</v>
      </c>
      <c r="AD89" s="1">
        <f t="shared" si="18"/>
        <v>0</v>
      </c>
      <c r="AE89" s="1">
        <f t="shared" si="18"/>
        <v>0</v>
      </c>
      <c r="AF89" s="1">
        <f t="shared" si="18"/>
        <v>2</v>
      </c>
      <c r="AG89" s="1">
        <f t="shared" si="18"/>
        <v>0</v>
      </c>
      <c r="AH89" s="14"/>
      <c r="AI89" s="14"/>
      <c r="AJ89" s="14"/>
      <c r="AK89" s="14"/>
      <c r="AL89" s="72"/>
      <c r="AM89" s="12" t="s">
        <v>156</v>
      </c>
      <c r="AN89" s="13">
        <f aca="true" t="shared" si="19" ref="AN89:BR89">SUM(AN80:AN88)</f>
        <v>630</v>
      </c>
      <c r="AO89" s="13">
        <f t="shared" si="19"/>
        <v>25</v>
      </c>
      <c r="AP89" s="13">
        <f t="shared" si="19"/>
        <v>48</v>
      </c>
      <c r="AQ89" s="13">
        <f t="shared" si="19"/>
        <v>5.75</v>
      </c>
      <c r="AR89" s="13">
        <f t="shared" si="19"/>
        <v>37.5</v>
      </c>
      <c r="AS89" s="13">
        <f t="shared" si="19"/>
        <v>0</v>
      </c>
      <c r="AT89" s="13">
        <f t="shared" si="19"/>
        <v>0</v>
      </c>
      <c r="AU89" s="13">
        <f t="shared" si="19"/>
        <v>97</v>
      </c>
      <c r="AV89" s="13">
        <f t="shared" si="19"/>
        <v>40</v>
      </c>
      <c r="AW89" s="13">
        <f t="shared" si="19"/>
        <v>0</v>
      </c>
      <c r="AX89" s="13">
        <f t="shared" si="19"/>
        <v>0</v>
      </c>
      <c r="AY89" s="13">
        <f t="shared" si="19"/>
        <v>38</v>
      </c>
      <c r="AZ89" s="13">
        <f t="shared" si="19"/>
        <v>0</v>
      </c>
      <c r="BA89" s="13">
        <f t="shared" si="19"/>
        <v>0</v>
      </c>
      <c r="BB89" s="13">
        <f t="shared" si="19"/>
        <v>0</v>
      </c>
      <c r="BC89" s="13">
        <f t="shared" si="19"/>
        <v>12</v>
      </c>
      <c r="BD89" s="13">
        <f t="shared" si="19"/>
        <v>0</v>
      </c>
      <c r="BE89" s="13">
        <f t="shared" si="19"/>
        <v>0</v>
      </c>
      <c r="BF89" s="13">
        <f t="shared" si="19"/>
        <v>0</v>
      </c>
      <c r="BG89" s="13">
        <f t="shared" si="19"/>
        <v>12.5</v>
      </c>
      <c r="BH89" s="13">
        <f t="shared" si="19"/>
        <v>6</v>
      </c>
      <c r="BI89" s="13">
        <f t="shared" si="19"/>
        <v>8.8</v>
      </c>
      <c r="BJ89" s="13">
        <f t="shared" si="19"/>
        <v>0</v>
      </c>
      <c r="BK89" s="13">
        <f t="shared" si="19"/>
        <v>5</v>
      </c>
      <c r="BL89" s="13">
        <f t="shared" si="19"/>
        <v>25</v>
      </c>
      <c r="BM89" s="13">
        <f t="shared" si="19"/>
        <v>0</v>
      </c>
      <c r="BN89" s="13">
        <f t="shared" si="19"/>
        <v>0</v>
      </c>
      <c r="BO89" s="13">
        <f t="shared" si="19"/>
        <v>0</v>
      </c>
      <c r="BP89" s="13">
        <f t="shared" si="19"/>
        <v>0</v>
      </c>
      <c r="BQ89" s="13">
        <f t="shared" si="19"/>
        <v>0</v>
      </c>
      <c r="BR89" s="13">
        <f t="shared" si="19"/>
        <v>0</v>
      </c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</row>
    <row r="90" spans="1:70" s="14" customFormat="1" ht="10.5" customHeight="1">
      <c r="A90" s="74"/>
      <c r="B90" s="2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 s="74"/>
      <c r="AM90" s="2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97" s="24" customFormat="1" ht="10.5" customHeight="1">
      <c r="A91" s="211" t="s">
        <v>116</v>
      </c>
      <c r="B91" s="21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4"/>
      <c r="AI91" s="14"/>
      <c r="AJ91" s="14"/>
      <c r="AK91" s="14"/>
      <c r="AL91" s="229" t="s">
        <v>116</v>
      </c>
      <c r="AM91" s="230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</row>
    <row r="92" spans="1:70" s="10" customFormat="1" ht="10.5" customHeight="1">
      <c r="A92" s="93">
        <v>222</v>
      </c>
      <c r="B92" s="3" t="s">
        <v>69</v>
      </c>
      <c r="C92" s="1">
        <v>200</v>
      </c>
      <c r="D92" s="1"/>
      <c r="E92" s="1">
        <f>$AK$92*AP92</f>
        <v>7.5</v>
      </c>
      <c r="F92" s="1"/>
      <c r="G92" s="1">
        <f>$AK$92*AR92</f>
        <v>15</v>
      </c>
      <c r="H92" s="1"/>
      <c r="I92" s="1"/>
      <c r="J92" s="1"/>
      <c r="K92" s="1"/>
      <c r="L92" s="1">
        <v>25</v>
      </c>
      <c r="M92" s="1"/>
      <c r="N92" s="1"/>
      <c r="O92" s="1"/>
      <c r="P92" s="1"/>
      <c r="Q92" s="1"/>
      <c r="R92" s="1"/>
      <c r="S92" s="1"/>
      <c r="T92" s="1">
        <v>150</v>
      </c>
      <c r="U92" s="1"/>
      <c r="V92" s="1">
        <v>5.25</v>
      </c>
      <c r="W92" s="1">
        <v>6.81</v>
      </c>
      <c r="X92" s="1"/>
      <c r="Y92" s="1">
        <v>4</v>
      </c>
      <c r="Z92" s="1">
        <v>4</v>
      </c>
      <c r="AA92" s="1"/>
      <c r="AB92" s="1"/>
      <c r="AC92" s="1"/>
      <c r="AD92" s="1"/>
      <c r="AE92" s="1"/>
      <c r="AF92" s="1"/>
      <c r="AG92" s="1"/>
      <c r="AK92" s="10">
        <v>1.25</v>
      </c>
      <c r="AL92" s="89">
        <v>222</v>
      </c>
      <c r="AM92" s="90" t="s">
        <v>69</v>
      </c>
      <c r="AN92" s="148">
        <v>160</v>
      </c>
      <c r="AO92" s="148"/>
      <c r="AP92" s="148">
        <f>2*3</f>
        <v>6</v>
      </c>
      <c r="AQ92" s="148"/>
      <c r="AR92" s="148">
        <v>12</v>
      </c>
      <c r="AS92" s="148"/>
      <c r="AT92" s="148"/>
      <c r="AU92" s="148"/>
      <c r="AV92" s="148"/>
      <c r="AW92" s="148">
        <v>16</v>
      </c>
      <c r="AX92" s="148"/>
      <c r="AY92" s="148"/>
      <c r="AZ92" s="148"/>
      <c r="BA92" s="148"/>
      <c r="BB92" s="148"/>
      <c r="BC92" s="148"/>
      <c r="BD92" s="148"/>
      <c r="BE92" s="148">
        <v>125</v>
      </c>
      <c r="BF92" s="148"/>
      <c r="BG92" s="148">
        <v>5</v>
      </c>
      <c r="BH92" s="148">
        <f>2*3</f>
        <v>6</v>
      </c>
      <c r="BI92" s="148"/>
      <c r="BJ92" s="148">
        <v>4</v>
      </c>
      <c r="BK92" s="148">
        <v>5</v>
      </c>
      <c r="BL92" s="148"/>
      <c r="BM92" s="148"/>
      <c r="BN92" s="148"/>
      <c r="BO92" s="148"/>
      <c r="BP92" s="148"/>
      <c r="BQ92" s="148"/>
      <c r="BR92" s="148"/>
    </row>
    <row r="93" spans="1:70" s="10" customFormat="1" ht="10.5" customHeight="1">
      <c r="A93" s="93">
        <v>327</v>
      </c>
      <c r="B93" s="3" t="s">
        <v>91</v>
      </c>
      <c r="C93" s="1">
        <v>15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f>15/0.46</f>
        <v>32.608695652173914</v>
      </c>
      <c r="S93" s="1"/>
      <c r="T93" s="1"/>
      <c r="U93" s="1"/>
      <c r="V93" s="1"/>
      <c r="W93" s="1"/>
      <c r="X93" s="1"/>
      <c r="Y93" s="1"/>
      <c r="Z93" s="1">
        <f>15*41/100</f>
        <v>6.15</v>
      </c>
      <c r="AA93" s="1"/>
      <c r="AB93" s="1"/>
      <c r="AC93" s="1"/>
      <c r="AD93" s="1"/>
      <c r="AE93" s="1"/>
      <c r="AF93" s="1"/>
      <c r="AG93" s="1"/>
      <c r="AL93" s="89">
        <v>327</v>
      </c>
      <c r="AM93" s="90" t="s">
        <v>91</v>
      </c>
      <c r="AN93" s="148">
        <v>15</v>
      </c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>
        <f>15/0.46</f>
        <v>32.608695652173914</v>
      </c>
      <c r="BD93" s="148"/>
      <c r="BE93" s="148"/>
      <c r="BF93" s="148"/>
      <c r="BG93" s="148"/>
      <c r="BH93" s="148"/>
      <c r="BI93" s="148"/>
      <c r="BJ93" s="148"/>
      <c r="BK93" s="148">
        <f>15*41/100</f>
        <v>6.15</v>
      </c>
      <c r="BL93" s="148"/>
      <c r="BM93" s="148"/>
      <c r="BN93" s="148"/>
      <c r="BO93" s="148"/>
      <c r="BP93" s="148"/>
      <c r="BQ93" s="148"/>
      <c r="BR93" s="148"/>
    </row>
    <row r="94" spans="1:70" s="10" customFormat="1" ht="10.5" customHeight="1">
      <c r="A94" s="93">
        <v>397</v>
      </c>
      <c r="B94" s="3" t="s">
        <v>6</v>
      </c>
      <c r="C94" s="1">
        <v>200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90</v>
      </c>
      <c r="S94" s="1"/>
      <c r="T94" s="1"/>
      <c r="U94" s="1"/>
      <c r="V94" s="1"/>
      <c r="W94" s="1"/>
      <c r="X94" s="1"/>
      <c r="Y94" s="1"/>
      <c r="Z94" s="1">
        <v>10</v>
      </c>
      <c r="AA94" s="1"/>
      <c r="AB94" s="1"/>
      <c r="AC94" s="1">
        <v>1.5</v>
      </c>
      <c r="AD94" s="1"/>
      <c r="AE94" s="1"/>
      <c r="AF94" s="1"/>
      <c r="AG94" s="1"/>
      <c r="AL94" s="89">
        <v>397</v>
      </c>
      <c r="AM94" s="90" t="s">
        <v>6</v>
      </c>
      <c r="AN94" s="148">
        <v>200</v>
      </c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>
        <v>100</v>
      </c>
      <c r="BD94" s="148"/>
      <c r="BE94" s="148"/>
      <c r="BF94" s="148"/>
      <c r="BG94" s="148"/>
      <c r="BH94" s="148"/>
      <c r="BI94" s="148"/>
      <c r="BJ94" s="148"/>
      <c r="BK94" s="148">
        <v>10</v>
      </c>
      <c r="BL94" s="148"/>
      <c r="BM94" s="148"/>
      <c r="BN94" s="148">
        <v>1.5</v>
      </c>
      <c r="BO94" s="148"/>
      <c r="BP94" s="148"/>
      <c r="BQ94" s="148"/>
      <c r="BR94" s="148"/>
    </row>
    <row r="95" spans="1:70" s="10" customFormat="1" ht="10.5" customHeight="1">
      <c r="A95" s="93"/>
      <c r="B95" s="3" t="s">
        <v>4</v>
      </c>
      <c r="C95" s="1">
        <v>60</v>
      </c>
      <c r="D95" s="1"/>
      <c r="E95" s="1">
        <f>AK95*AP95</f>
        <v>60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K95" s="10">
        <v>1.5</v>
      </c>
      <c r="AL95" s="89"/>
      <c r="AM95" s="90" t="s">
        <v>4</v>
      </c>
      <c r="AN95" s="148">
        <v>40</v>
      </c>
      <c r="AO95" s="148"/>
      <c r="AP95" s="148">
        <v>40</v>
      </c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</row>
    <row r="96" spans="1:97" s="10" customFormat="1" ht="10.5" customHeight="1">
      <c r="A96" s="167"/>
      <c r="B96" s="3" t="s">
        <v>132</v>
      </c>
      <c r="C96" s="1">
        <v>225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v>225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8"/>
      <c r="AI96" s="8"/>
      <c r="AJ96" s="8"/>
      <c r="AK96" s="8"/>
      <c r="AL96" s="95"/>
      <c r="AM96" s="90" t="s">
        <v>132</v>
      </c>
      <c r="AN96" s="2">
        <v>180</v>
      </c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>
        <v>180</v>
      </c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</row>
    <row r="97" spans="1:97" s="10" customFormat="1" ht="10.5" customHeight="1">
      <c r="A97" s="71"/>
      <c r="B97" s="1"/>
      <c r="C97" s="32"/>
      <c r="D97" s="11"/>
      <c r="E97" s="11"/>
      <c r="F97" s="11"/>
      <c r="G97" s="11"/>
      <c r="H97" s="11"/>
      <c r="I97" s="1"/>
      <c r="J97" s="1"/>
      <c r="K97" s="1"/>
      <c r="L97" s="11"/>
      <c r="M97" s="11"/>
      <c r="N97" s="1"/>
      <c r="O97" s="1"/>
      <c r="P97" s="1"/>
      <c r="Q97" s="1"/>
      <c r="R97" s="1"/>
      <c r="S97" s="1"/>
      <c r="T97" s="1"/>
      <c r="U97" s="1"/>
      <c r="V97" s="1"/>
      <c r="W97" s="11"/>
      <c r="X97" s="11"/>
      <c r="Y97" s="1"/>
      <c r="Z97" s="11"/>
      <c r="AA97" s="11"/>
      <c r="AB97" s="11"/>
      <c r="AC97" s="11"/>
      <c r="AD97" s="11"/>
      <c r="AE97" s="11"/>
      <c r="AF97" s="11"/>
      <c r="AG97" s="1"/>
      <c r="AH97" s="8"/>
      <c r="AI97" s="8"/>
      <c r="AJ97" s="8"/>
      <c r="AK97" s="8"/>
      <c r="AL97" s="69"/>
      <c r="AM97" s="2"/>
      <c r="AN97" s="27"/>
      <c r="AO97" s="19"/>
      <c r="AP97" s="19"/>
      <c r="AQ97" s="19"/>
      <c r="AR97" s="19"/>
      <c r="AS97" s="19"/>
      <c r="AT97" s="2"/>
      <c r="AU97" s="2"/>
      <c r="AV97" s="2"/>
      <c r="AW97" s="19"/>
      <c r="AX97" s="19"/>
      <c r="AY97" s="2"/>
      <c r="AZ97" s="2"/>
      <c r="BA97" s="2"/>
      <c r="BB97" s="2"/>
      <c r="BC97" s="2"/>
      <c r="BD97" s="2"/>
      <c r="BE97" s="2"/>
      <c r="BF97" s="2"/>
      <c r="BG97" s="2"/>
      <c r="BH97" s="19"/>
      <c r="BI97" s="19"/>
      <c r="BJ97" s="2"/>
      <c r="BK97" s="19"/>
      <c r="BL97" s="19"/>
      <c r="BM97" s="19"/>
      <c r="BN97" s="19"/>
      <c r="BO97" s="19"/>
      <c r="BP97" s="19"/>
      <c r="BQ97" s="19"/>
      <c r="BR97" s="2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</row>
    <row r="98" spans="1:97" s="15" customFormat="1" ht="10.5" customHeight="1">
      <c r="A98" s="180"/>
      <c r="B98" s="181" t="s">
        <v>156</v>
      </c>
      <c r="C98" s="1">
        <f>SUM(C92:C97)</f>
        <v>700</v>
      </c>
      <c r="D98" s="1">
        <f aca="true" t="shared" si="20" ref="D98:AG98">SUM(D92:D97)</f>
        <v>0</v>
      </c>
      <c r="E98" s="1">
        <f t="shared" si="20"/>
        <v>67.5</v>
      </c>
      <c r="F98" s="1">
        <f t="shared" si="20"/>
        <v>0</v>
      </c>
      <c r="G98" s="1">
        <f t="shared" si="20"/>
        <v>15</v>
      </c>
      <c r="H98" s="1">
        <f t="shared" si="20"/>
        <v>0</v>
      </c>
      <c r="I98" s="1">
        <f t="shared" si="20"/>
        <v>0</v>
      </c>
      <c r="J98" s="1">
        <f t="shared" si="20"/>
        <v>0</v>
      </c>
      <c r="K98" s="1">
        <f t="shared" si="20"/>
        <v>0</v>
      </c>
      <c r="L98" s="1">
        <f t="shared" si="20"/>
        <v>25</v>
      </c>
      <c r="M98" s="1">
        <f t="shared" si="20"/>
        <v>0</v>
      </c>
      <c r="N98" s="1">
        <f t="shared" si="20"/>
        <v>0</v>
      </c>
      <c r="O98" s="1">
        <f t="shared" si="20"/>
        <v>0</v>
      </c>
      <c r="P98" s="1">
        <f t="shared" si="20"/>
        <v>0</v>
      </c>
      <c r="Q98" s="1">
        <f t="shared" si="20"/>
        <v>0</v>
      </c>
      <c r="R98" s="1">
        <f t="shared" si="20"/>
        <v>122.6086956521739</v>
      </c>
      <c r="S98" s="1">
        <f t="shared" si="20"/>
        <v>225</v>
      </c>
      <c r="T98" s="1">
        <f t="shared" si="20"/>
        <v>150</v>
      </c>
      <c r="U98" s="1">
        <f t="shared" si="20"/>
        <v>0</v>
      </c>
      <c r="V98" s="1">
        <f t="shared" si="20"/>
        <v>5.25</v>
      </c>
      <c r="W98" s="1">
        <f t="shared" si="20"/>
        <v>6.81</v>
      </c>
      <c r="X98" s="1">
        <f t="shared" si="20"/>
        <v>0</v>
      </c>
      <c r="Y98" s="1">
        <f t="shared" si="20"/>
        <v>4</v>
      </c>
      <c r="Z98" s="1">
        <f t="shared" si="20"/>
        <v>20.15</v>
      </c>
      <c r="AA98" s="1">
        <f t="shared" si="20"/>
        <v>0</v>
      </c>
      <c r="AB98" s="1">
        <f t="shared" si="20"/>
        <v>0</v>
      </c>
      <c r="AC98" s="1">
        <f t="shared" si="20"/>
        <v>1.5</v>
      </c>
      <c r="AD98" s="1">
        <f t="shared" si="20"/>
        <v>0</v>
      </c>
      <c r="AE98" s="1">
        <f t="shared" si="20"/>
        <v>0</v>
      </c>
      <c r="AF98" s="1">
        <f t="shared" si="20"/>
        <v>0</v>
      </c>
      <c r="AG98" s="1">
        <f t="shared" si="20"/>
        <v>0</v>
      </c>
      <c r="AH98" s="14"/>
      <c r="AI98" s="14"/>
      <c r="AJ98" s="14"/>
      <c r="AK98" s="14"/>
      <c r="AL98" s="72"/>
      <c r="AM98" s="12" t="s">
        <v>156</v>
      </c>
      <c r="AN98" s="13">
        <f>SUM(AN92:AN97)</f>
        <v>595</v>
      </c>
      <c r="AO98" s="13">
        <f aca="true" t="shared" si="21" ref="AO98:BR98">SUM(AO92:AO97)</f>
        <v>0</v>
      </c>
      <c r="AP98" s="13">
        <f t="shared" si="21"/>
        <v>46</v>
      </c>
      <c r="AQ98" s="13">
        <f t="shared" si="21"/>
        <v>0</v>
      </c>
      <c r="AR98" s="13">
        <f t="shared" si="21"/>
        <v>12</v>
      </c>
      <c r="AS98" s="13">
        <f t="shared" si="21"/>
        <v>0</v>
      </c>
      <c r="AT98" s="13">
        <f t="shared" si="21"/>
        <v>0</v>
      </c>
      <c r="AU98" s="13">
        <f t="shared" si="21"/>
        <v>0</v>
      </c>
      <c r="AV98" s="13">
        <f t="shared" si="21"/>
        <v>0</v>
      </c>
      <c r="AW98" s="13">
        <f t="shared" si="21"/>
        <v>16</v>
      </c>
      <c r="AX98" s="13">
        <f t="shared" si="21"/>
        <v>0</v>
      </c>
      <c r="AY98" s="13">
        <f t="shared" si="21"/>
        <v>0</v>
      </c>
      <c r="AZ98" s="13">
        <f t="shared" si="21"/>
        <v>0</v>
      </c>
      <c r="BA98" s="13">
        <f t="shared" si="21"/>
        <v>0</v>
      </c>
      <c r="BB98" s="13">
        <f t="shared" si="21"/>
        <v>0</v>
      </c>
      <c r="BC98" s="13">
        <f t="shared" si="21"/>
        <v>132.6086956521739</v>
      </c>
      <c r="BD98" s="13">
        <f t="shared" si="21"/>
        <v>180</v>
      </c>
      <c r="BE98" s="13">
        <f t="shared" si="21"/>
        <v>125</v>
      </c>
      <c r="BF98" s="13">
        <f t="shared" si="21"/>
        <v>0</v>
      </c>
      <c r="BG98" s="13">
        <f t="shared" si="21"/>
        <v>5</v>
      </c>
      <c r="BH98" s="13">
        <f t="shared" si="21"/>
        <v>6</v>
      </c>
      <c r="BI98" s="13">
        <f t="shared" si="21"/>
        <v>0</v>
      </c>
      <c r="BJ98" s="13">
        <f t="shared" si="21"/>
        <v>4</v>
      </c>
      <c r="BK98" s="13">
        <f t="shared" si="21"/>
        <v>21.15</v>
      </c>
      <c r="BL98" s="13">
        <f t="shared" si="21"/>
        <v>0</v>
      </c>
      <c r="BM98" s="13">
        <f t="shared" si="21"/>
        <v>0</v>
      </c>
      <c r="BN98" s="13">
        <f t="shared" si="21"/>
        <v>1.5</v>
      </c>
      <c r="BO98" s="13">
        <f t="shared" si="21"/>
        <v>0</v>
      </c>
      <c r="BP98" s="13">
        <f t="shared" si="21"/>
        <v>0</v>
      </c>
      <c r="BQ98" s="13">
        <f t="shared" si="21"/>
        <v>0</v>
      </c>
      <c r="BR98" s="13">
        <f t="shared" si="21"/>
        <v>0</v>
      </c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</row>
    <row r="99" spans="1:70" s="14" customFormat="1" ht="10.5" customHeight="1">
      <c r="A99" s="74"/>
      <c r="B99" s="2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 s="74"/>
      <c r="AM99" s="22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97" s="24" customFormat="1" ht="10.5" customHeight="1">
      <c r="A100" s="211" t="s">
        <v>117</v>
      </c>
      <c r="B100" s="21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4"/>
      <c r="AI100" s="14"/>
      <c r="AJ100" s="14"/>
      <c r="AK100" s="14"/>
      <c r="AL100" s="229" t="s">
        <v>117</v>
      </c>
      <c r="AM100" s="230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</row>
    <row r="101" spans="1:70" s="10" customFormat="1" ht="10.5" customHeight="1">
      <c r="A101" s="93"/>
      <c r="B101" s="3" t="s">
        <v>119</v>
      </c>
      <c r="C101" s="1">
        <v>100</v>
      </c>
      <c r="D101" s="1"/>
      <c r="E101" s="1"/>
      <c r="F101" s="1"/>
      <c r="G101" s="1"/>
      <c r="H101" s="1"/>
      <c r="I101" s="1"/>
      <c r="J101" s="1">
        <v>100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>
        <v>2</v>
      </c>
      <c r="AG101" s="1"/>
      <c r="AK101" s="10">
        <v>1.43</v>
      </c>
      <c r="AL101" s="89"/>
      <c r="AM101" s="90" t="s">
        <v>119</v>
      </c>
      <c r="AN101" s="148">
        <v>70</v>
      </c>
      <c r="AO101" s="148"/>
      <c r="AP101" s="148"/>
      <c r="AQ101" s="148"/>
      <c r="AR101" s="148"/>
      <c r="AS101" s="148"/>
      <c r="AT101" s="148"/>
      <c r="AU101" s="148">
        <v>70</v>
      </c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</row>
    <row r="102" spans="1:70" s="10" customFormat="1" ht="10.5" customHeight="1">
      <c r="A102" s="93">
        <v>297</v>
      </c>
      <c r="B102" s="3" t="s">
        <v>87</v>
      </c>
      <c r="C102" s="1">
        <v>100</v>
      </c>
      <c r="D102" s="1"/>
      <c r="E102" s="1">
        <f>$AK$102*AP102</f>
        <v>16.748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v>72.97</v>
      </c>
      <c r="Q102" s="1"/>
      <c r="R102" s="1">
        <f>$AK$102*BC102</f>
        <v>22.12</v>
      </c>
      <c r="S102" s="1"/>
      <c r="T102" s="1"/>
      <c r="U102" s="1"/>
      <c r="V102" s="1"/>
      <c r="W102" s="1">
        <f>$AK$102*BH102</f>
        <v>4.74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K102" s="10">
        <v>1.58</v>
      </c>
      <c r="AL102" s="89">
        <v>297</v>
      </c>
      <c r="AM102" s="90" t="s">
        <v>87</v>
      </c>
      <c r="AN102" s="148">
        <v>63</v>
      </c>
      <c r="AO102" s="148"/>
      <c r="AP102" s="148">
        <v>10.6</v>
      </c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>
        <f>37*1.2</f>
        <v>44.4</v>
      </c>
      <c r="BB102" s="148"/>
      <c r="BC102" s="148">
        <v>14</v>
      </c>
      <c r="BD102" s="148"/>
      <c r="BE102" s="148"/>
      <c r="BF102" s="148"/>
      <c r="BG102" s="148"/>
      <c r="BH102" s="148">
        <v>3</v>
      </c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</row>
    <row r="103" spans="1:70" s="10" customFormat="1" ht="10.5" customHeight="1">
      <c r="A103" s="156">
        <v>203</v>
      </c>
      <c r="B103" s="92" t="s">
        <v>36</v>
      </c>
      <c r="C103" s="11">
        <v>180</v>
      </c>
      <c r="D103" s="1"/>
      <c r="E103" s="1"/>
      <c r="F103" s="1"/>
      <c r="G103" s="1"/>
      <c r="H103" s="1">
        <v>50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>
        <v>5.2</v>
      </c>
      <c r="X103" s="1"/>
      <c r="Y103" s="1"/>
      <c r="Z103" s="1"/>
      <c r="AA103" s="1"/>
      <c r="AB103" s="1"/>
      <c r="AC103" s="1"/>
      <c r="AD103" s="1"/>
      <c r="AE103" s="1"/>
      <c r="AF103" s="1">
        <v>1</v>
      </c>
      <c r="AG103" s="1"/>
      <c r="AK103" s="10">
        <v>1.64</v>
      </c>
      <c r="AL103" s="94">
        <v>203</v>
      </c>
      <c r="AM103" s="153" t="s">
        <v>36</v>
      </c>
      <c r="AN103" s="154">
        <v>110</v>
      </c>
      <c r="AO103" s="148"/>
      <c r="AP103" s="148"/>
      <c r="AQ103" s="148"/>
      <c r="AR103" s="148"/>
      <c r="AS103" s="148">
        <v>37</v>
      </c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>
        <v>5</v>
      </c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</row>
    <row r="104" spans="1:70" s="10" customFormat="1" ht="10.5" customHeight="1">
      <c r="A104" s="93">
        <v>379</v>
      </c>
      <c r="B104" s="3" t="s">
        <v>66</v>
      </c>
      <c r="C104" s="1">
        <v>200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>
        <v>100</v>
      </c>
      <c r="S104" s="1"/>
      <c r="T104" s="1"/>
      <c r="U104" s="1"/>
      <c r="V104" s="1"/>
      <c r="W104" s="1"/>
      <c r="X104" s="1"/>
      <c r="Y104" s="1"/>
      <c r="Z104" s="1">
        <v>10</v>
      </c>
      <c r="AA104" s="1"/>
      <c r="AB104" s="1"/>
      <c r="AC104" s="1"/>
      <c r="AD104" s="1">
        <v>2.5</v>
      </c>
      <c r="AE104" s="1"/>
      <c r="AF104" s="1"/>
      <c r="AG104" s="1"/>
      <c r="AL104" s="89">
        <v>379</v>
      </c>
      <c r="AM104" s="90" t="s">
        <v>66</v>
      </c>
      <c r="AN104" s="148">
        <v>200</v>
      </c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>
        <v>100</v>
      </c>
      <c r="BD104" s="148"/>
      <c r="BE104" s="148"/>
      <c r="BF104" s="148"/>
      <c r="BG104" s="148"/>
      <c r="BH104" s="148"/>
      <c r="BI104" s="148"/>
      <c r="BJ104" s="148"/>
      <c r="BK104" s="148">
        <v>10</v>
      </c>
      <c r="BL104" s="148"/>
      <c r="BM104" s="148"/>
      <c r="BN104" s="148"/>
      <c r="BO104" s="148">
        <v>2.5</v>
      </c>
      <c r="BP104" s="148"/>
      <c r="BQ104" s="148"/>
      <c r="BR104" s="148"/>
    </row>
    <row r="105" spans="1:70" s="10" customFormat="1" ht="10.5" customHeight="1">
      <c r="A105" s="93"/>
      <c r="B105" s="3" t="s">
        <v>127</v>
      </c>
      <c r="C105" s="1">
        <v>40</v>
      </c>
      <c r="D105" s="1">
        <v>40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K105" s="10">
        <v>1.2</v>
      </c>
      <c r="AL105" s="89"/>
      <c r="AM105" s="90" t="s">
        <v>127</v>
      </c>
      <c r="AN105" s="148">
        <v>25</v>
      </c>
      <c r="AO105" s="148">
        <v>25</v>
      </c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</row>
    <row r="106" spans="1:70" s="10" customFormat="1" ht="10.5" customHeight="1">
      <c r="A106" s="93"/>
      <c r="B106" s="3" t="s">
        <v>4</v>
      </c>
      <c r="C106" s="1">
        <v>50</v>
      </c>
      <c r="D106" s="1"/>
      <c r="E106" s="1">
        <v>40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K106" s="10">
        <v>1.5</v>
      </c>
      <c r="AL106" s="89"/>
      <c r="AM106" s="90" t="s">
        <v>4</v>
      </c>
      <c r="AN106" s="148">
        <v>40</v>
      </c>
      <c r="AO106" s="148"/>
      <c r="AP106" s="148">
        <v>40</v>
      </c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</row>
    <row r="107" spans="1:97" s="10" customFormat="1" ht="10.5" customHeight="1">
      <c r="A107" s="93">
        <v>368</v>
      </c>
      <c r="B107" s="3" t="s">
        <v>133</v>
      </c>
      <c r="C107" s="1">
        <v>120</v>
      </c>
      <c r="D107" s="1"/>
      <c r="E107" s="1"/>
      <c r="F107" s="1"/>
      <c r="G107" s="1"/>
      <c r="H107" s="1"/>
      <c r="I107" s="1"/>
      <c r="J107" s="1"/>
      <c r="K107" s="1">
        <v>120</v>
      </c>
      <c r="L107" s="8"/>
      <c r="M107" s="8"/>
      <c r="N107" s="8"/>
      <c r="O107" s="8"/>
      <c r="P107" s="8"/>
      <c r="Q107" s="8"/>
      <c r="R107" s="8"/>
      <c r="S107" s="8"/>
      <c r="T107" s="8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8"/>
      <c r="AI107" s="8"/>
      <c r="AJ107" s="8"/>
      <c r="AK107" s="8"/>
      <c r="AL107" s="89">
        <v>368</v>
      </c>
      <c r="AM107" s="90" t="s">
        <v>133</v>
      </c>
      <c r="AN107" s="2">
        <v>120</v>
      </c>
      <c r="AO107" s="2"/>
      <c r="AP107" s="2"/>
      <c r="AQ107" s="2"/>
      <c r="AR107" s="2"/>
      <c r="AS107" s="2"/>
      <c r="AT107" s="2"/>
      <c r="AU107" s="2"/>
      <c r="AV107" s="2">
        <v>120</v>
      </c>
      <c r="AW107" s="20"/>
      <c r="AX107" s="20"/>
      <c r="AY107" s="20"/>
      <c r="AZ107" s="20"/>
      <c r="BA107" s="20"/>
      <c r="BB107" s="20"/>
      <c r="BC107" s="20"/>
      <c r="BD107" s="20"/>
      <c r="BE107" s="20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</row>
    <row r="108" spans="1:97" s="10" customFormat="1" ht="10.5" customHeight="1">
      <c r="A108" s="7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8"/>
      <c r="AI108" s="8"/>
      <c r="AJ108" s="8"/>
      <c r="AK108" s="8"/>
      <c r="AL108" s="69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</row>
    <row r="109" spans="1:97" s="15" customFormat="1" ht="10.5" customHeight="1">
      <c r="A109" s="180"/>
      <c r="B109" s="181" t="s">
        <v>156</v>
      </c>
      <c r="C109" s="1">
        <f aca="true" t="shared" si="22" ref="C109:AG109">SUM(C101:C107)</f>
        <v>790</v>
      </c>
      <c r="D109" s="1">
        <f t="shared" si="22"/>
        <v>40</v>
      </c>
      <c r="E109" s="1">
        <f t="shared" si="22"/>
        <v>56.748000000000005</v>
      </c>
      <c r="F109" s="1">
        <f t="shared" si="22"/>
        <v>0</v>
      </c>
      <c r="G109" s="1">
        <f t="shared" si="22"/>
        <v>0</v>
      </c>
      <c r="H109" s="1">
        <f t="shared" si="22"/>
        <v>50</v>
      </c>
      <c r="I109" s="1">
        <f t="shared" si="22"/>
        <v>0</v>
      </c>
      <c r="J109" s="1">
        <f t="shared" si="22"/>
        <v>100</v>
      </c>
      <c r="K109" s="1">
        <f t="shared" si="22"/>
        <v>120</v>
      </c>
      <c r="L109" s="1">
        <f t="shared" si="22"/>
        <v>0</v>
      </c>
      <c r="M109" s="1">
        <f t="shared" si="22"/>
        <v>0</v>
      </c>
      <c r="N109" s="1">
        <f t="shared" si="22"/>
        <v>0</v>
      </c>
      <c r="O109" s="1">
        <f t="shared" si="22"/>
        <v>0</v>
      </c>
      <c r="P109" s="1">
        <f t="shared" si="22"/>
        <v>72.97</v>
      </c>
      <c r="Q109" s="1">
        <f t="shared" si="22"/>
        <v>0</v>
      </c>
      <c r="R109" s="1">
        <f t="shared" si="22"/>
        <v>122.12</v>
      </c>
      <c r="S109" s="1">
        <f t="shared" si="22"/>
        <v>0</v>
      </c>
      <c r="T109" s="1">
        <f t="shared" si="22"/>
        <v>0</v>
      </c>
      <c r="U109" s="1">
        <f t="shared" si="22"/>
        <v>0</v>
      </c>
      <c r="V109" s="1">
        <f t="shared" si="22"/>
        <v>0</v>
      </c>
      <c r="W109" s="1">
        <f t="shared" si="22"/>
        <v>9.940000000000001</v>
      </c>
      <c r="X109" s="1">
        <f t="shared" si="22"/>
        <v>0</v>
      </c>
      <c r="Y109" s="1">
        <f t="shared" si="22"/>
        <v>0</v>
      </c>
      <c r="Z109" s="1">
        <f t="shared" si="22"/>
        <v>10</v>
      </c>
      <c r="AA109" s="1">
        <f t="shared" si="22"/>
        <v>0</v>
      </c>
      <c r="AB109" s="1">
        <f t="shared" si="22"/>
        <v>0</v>
      </c>
      <c r="AC109" s="1">
        <f t="shared" si="22"/>
        <v>0</v>
      </c>
      <c r="AD109" s="1">
        <f t="shared" si="22"/>
        <v>2.5</v>
      </c>
      <c r="AE109" s="1">
        <f t="shared" si="22"/>
        <v>0</v>
      </c>
      <c r="AF109" s="1">
        <f t="shared" si="22"/>
        <v>3</v>
      </c>
      <c r="AG109" s="1">
        <f t="shared" si="22"/>
        <v>0</v>
      </c>
      <c r="AH109" s="14"/>
      <c r="AI109" s="14"/>
      <c r="AJ109" s="14"/>
      <c r="AK109" s="14"/>
      <c r="AL109" s="72"/>
      <c r="AM109" s="12" t="s">
        <v>156</v>
      </c>
      <c r="AN109" s="13">
        <f aca="true" t="shared" si="23" ref="AN109:BR109">SUM(AN101:AN107)</f>
        <v>628</v>
      </c>
      <c r="AO109" s="13">
        <f t="shared" si="23"/>
        <v>25</v>
      </c>
      <c r="AP109" s="13">
        <f t="shared" si="23"/>
        <v>50.6</v>
      </c>
      <c r="AQ109" s="13">
        <f t="shared" si="23"/>
        <v>0</v>
      </c>
      <c r="AR109" s="13">
        <f t="shared" si="23"/>
        <v>0</v>
      </c>
      <c r="AS109" s="13">
        <f t="shared" si="23"/>
        <v>37</v>
      </c>
      <c r="AT109" s="13">
        <f t="shared" si="23"/>
        <v>0</v>
      </c>
      <c r="AU109" s="13">
        <f t="shared" si="23"/>
        <v>70</v>
      </c>
      <c r="AV109" s="13">
        <f t="shared" si="23"/>
        <v>120</v>
      </c>
      <c r="AW109" s="13">
        <f t="shared" si="23"/>
        <v>0</v>
      </c>
      <c r="AX109" s="13">
        <f t="shared" si="23"/>
        <v>0</v>
      </c>
      <c r="AY109" s="13">
        <f t="shared" si="23"/>
        <v>0</v>
      </c>
      <c r="AZ109" s="13">
        <f t="shared" si="23"/>
        <v>0</v>
      </c>
      <c r="BA109" s="13">
        <f t="shared" si="23"/>
        <v>44.4</v>
      </c>
      <c r="BB109" s="13">
        <f t="shared" si="23"/>
        <v>0</v>
      </c>
      <c r="BC109" s="13">
        <f t="shared" si="23"/>
        <v>114</v>
      </c>
      <c r="BD109" s="13">
        <f t="shared" si="23"/>
        <v>0</v>
      </c>
      <c r="BE109" s="13">
        <f t="shared" si="23"/>
        <v>0</v>
      </c>
      <c r="BF109" s="13">
        <f t="shared" si="23"/>
        <v>0</v>
      </c>
      <c r="BG109" s="13">
        <f t="shared" si="23"/>
        <v>0</v>
      </c>
      <c r="BH109" s="13">
        <f t="shared" si="23"/>
        <v>8</v>
      </c>
      <c r="BI109" s="13">
        <f t="shared" si="23"/>
        <v>0</v>
      </c>
      <c r="BJ109" s="13">
        <f t="shared" si="23"/>
        <v>0</v>
      </c>
      <c r="BK109" s="13">
        <f t="shared" si="23"/>
        <v>10</v>
      </c>
      <c r="BL109" s="13">
        <f t="shared" si="23"/>
        <v>0</v>
      </c>
      <c r="BM109" s="13">
        <f t="shared" si="23"/>
        <v>0</v>
      </c>
      <c r="BN109" s="13">
        <f t="shared" si="23"/>
        <v>0</v>
      </c>
      <c r="BO109" s="13">
        <f t="shared" si="23"/>
        <v>2.5</v>
      </c>
      <c r="BP109" s="13">
        <f t="shared" si="23"/>
        <v>0</v>
      </c>
      <c r="BQ109" s="13">
        <f t="shared" si="23"/>
        <v>0</v>
      </c>
      <c r="BR109" s="13">
        <f t="shared" si="23"/>
        <v>0</v>
      </c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</row>
    <row r="110" spans="1:70" s="14" customFormat="1" ht="29.25" customHeight="1">
      <c r="A110" s="74"/>
      <c r="B110" s="2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 s="74"/>
      <c r="AM110" s="2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97" s="114" customFormat="1" ht="38.25" customHeight="1">
      <c r="A111" s="177"/>
      <c r="B111" s="178" t="s">
        <v>146</v>
      </c>
      <c r="C111" s="179" t="s">
        <v>77</v>
      </c>
      <c r="D111" s="179" t="s">
        <v>12</v>
      </c>
      <c r="E111" s="179" t="s">
        <v>13</v>
      </c>
      <c r="F111" s="179" t="s">
        <v>15</v>
      </c>
      <c r="G111" s="179" t="s">
        <v>14</v>
      </c>
      <c r="H111" s="179" t="s">
        <v>140</v>
      </c>
      <c r="I111" s="179" t="s">
        <v>11</v>
      </c>
      <c r="J111" s="179" t="s">
        <v>64</v>
      </c>
      <c r="K111" s="179" t="s">
        <v>5</v>
      </c>
      <c r="L111" s="179" t="s">
        <v>138</v>
      </c>
      <c r="M111" s="179" t="s">
        <v>141</v>
      </c>
      <c r="N111" s="179" t="s">
        <v>7</v>
      </c>
      <c r="O111" s="179" t="s">
        <v>93</v>
      </c>
      <c r="P111" s="179" t="s">
        <v>8</v>
      </c>
      <c r="Q111" s="179" t="s">
        <v>9</v>
      </c>
      <c r="R111" s="179" t="s">
        <v>67</v>
      </c>
      <c r="S111" s="179" t="s">
        <v>142</v>
      </c>
      <c r="T111" s="179" t="s">
        <v>68</v>
      </c>
      <c r="U111" s="179" t="s">
        <v>40</v>
      </c>
      <c r="V111" s="179" t="s">
        <v>37</v>
      </c>
      <c r="W111" s="179" t="s">
        <v>20</v>
      </c>
      <c r="X111" s="179" t="s">
        <v>143</v>
      </c>
      <c r="Y111" s="179" t="s">
        <v>10</v>
      </c>
      <c r="Z111" s="179" t="s">
        <v>18</v>
      </c>
      <c r="AA111" s="179" t="s">
        <v>144</v>
      </c>
      <c r="AB111" s="179" t="s">
        <v>16</v>
      </c>
      <c r="AC111" s="179" t="s">
        <v>17</v>
      </c>
      <c r="AD111" s="179" t="s">
        <v>57</v>
      </c>
      <c r="AE111" s="179" t="s">
        <v>19</v>
      </c>
      <c r="AF111" s="179" t="s">
        <v>145</v>
      </c>
      <c r="AG111" s="178" t="s">
        <v>59</v>
      </c>
      <c r="AH111" s="113"/>
      <c r="AI111" s="113"/>
      <c r="AJ111" s="113"/>
      <c r="AK111" s="113"/>
      <c r="AL111" s="111"/>
      <c r="AM111" s="112" t="s">
        <v>146</v>
      </c>
      <c r="AN111" s="115" t="s">
        <v>77</v>
      </c>
      <c r="AO111" s="115" t="s">
        <v>12</v>
      </c>
      <c r="AP111" s="115" t="s">
        <v>13</v>
      </c>
      <c r="AQ111" s="115" t="s">
        <v>15</v>
      </c>
      <c r="AR111" s="115" t="s">
        <v>14</v>
      </c>
      <c r="AS111" s="115" t="s">
        <v>140</v>
      </c>
      <c r="AT111" s="115" t="s">
        <v>11</v>
      </c>
      <c r="AU111" s="115" t="s">
        <v>64</v>
      </c>
      <c r="AV111" s="115" t="s">
        <v>5</v>
      </c>
      <c r="AW111" s="115" t="s">
        <v>138</v>
      </c>
      <c r="AX111" s="115" t="s">
        <v>141</v>
      </c>
      <c r="AY111" s="115" t="s">
        <v>7</v>
      </c>
      <c r="AZ111" s="115" t="s">
        <v>93</v>
      </c>
      <c r="BA111" s="115" t="s">
        <v>8</v>
      </c>
      <c r="BB111" s="115" t="s">
        <v>9</v>
      </c>
      <c r="BC111" s="115" t="s">
        <v>67</v>
      </c>
      <c r="BD111" s="115" t="s">
        <v>142</v>
      </c>
      <c r="BE111" s="115" t="s">
        <v>68</v>
      </c>
      <c r="BF111" s="115" t="s">
        <v>40</v>
      </c>
      <c r="BG111" s="115" t="s">
        <v>37</v>
      </c>
      <c r="BH111" s="115" t="s">
        <v>20</v>
      </c>
      <c r="BI111" s="115" t="s">
        <v>143</v>
      </c>
      <c r="BJ111" s="115" t="s">
        <v>10</v>
      </c>
      <c r="BK111" s="115" t="s">
        <v>18</v>
      </c>
      <c r="BL111" s="115" t="s">
        <v>144</v>
      </c>
      <c r="BM111" s="115" t="s">
        <v>16</v>
      </c>
      <c r="BN111" s="115" t="s">
        <v>17</v>
      </c>
      <c r="BO111" s="115" t="s">
        <v>57</v>
      </c>
      <c r="BP111" s="115" t="s">
        <v>19</v>
      </c>
      <c r="BQ111" s="115" t="s">
        <v>145</v>
      </c>
      <c r="BR111" s="112" t="s">
        <v>59</v>
      </c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</row>
    <row r="112" spans="1:70" s="188" customFormat="1" ht="27.75" customHeight="1">
      <c r="A112" s="185"/>
      <c r="B112" s="186" t="s">
        <v>158</v>
      </c>
      <c r="C112" s="187"/>
      <c r="D112" s="187">
        <f aca="true" t="shared" si="24" ref="D112:J112">D35+D89+D109+D55+D77+D66+D14+D45+D98+D24</f>
        <v>300</v>
      </c>
      <c r="E112" s="187">
        <f t="shared" si="24"/>
        <v>499.99800000000005</v>
      </c>
      <c r="F112" s="187">
        <f t="shared" si="24"/>
        <v>50</v>
      </c>
      <c r="G112" s="187">
        <f t="shared" si="24"/>
        <v>125</v>
      </c>
      <c r="H112" s="187">
        <f t="shared" si="24"/>
        <v>50</v>
      </c>
      <c r="I112" s="187">
        <f t="shared" si="24"/>
        <v>470</v>
      </c>
      <c r="J112" s="187">
        <f t="shared" si="24"/>
        <v>800</v>
      </c>
      <c r="K112" s="187">
        <f>K107+K53+K84+K50+K41+K12</f>
        <v>462.5</v>
      </c>
      <c r="L112" s="187">
        <f aca="true" t="shared" si="25" ref="L112:AF112">L35+L109+L98+L89+L45+L66+L55+L77+L14+L24</f>
        <v>50</v>
      </c>
      <c r="M112" s="187">
        <f t="shared" si="25"/>
        <v>500</v>
      </c>
      <c r="N112" s="187">
        <f t="shared" si="25"/>
        <v>195</v>
      </c>
      <c r="O112" s="187">
        <f t="shared" si="25"/>
        <v>49</v>
      </c>
      <c r="P112" s="187">
        <f t="shared" si="25"/>
        <v>132.5</v>
      </c>
      <c r="Q112" s="187">
        <f t="shared" si="25"/>
        <v>192.5</v>
      </c>
      <c r="R112" s="187">
        <f t="shared" si="25"/>
        <v>749.9986956521739</v>
      </c>
      <c r="S112" s="187">
        <f t="shared" si="25"/>
        <v>450</v>
      </c>
      <c r="T112" s="187">
        <f t="shared" si="25"/>
        <v>150</v>
      </c>
      <c r="U112" s="187">
        <f t="shared" si="25"/>
        <v>29.5</v>
      </c>
      <c r="V112" s="187">
        <f t="shared" si="25"/>
        <v>25</v>
      </c>
      <c r="W112" s="187">
        <f t="shared" si="25"/>
        <v>87.5</v>
      </c>
      <c r="X112" s="187">
        <f t="shared" si="25"/>
        <v>45.00000000000001</v>
      </c>
      <c r="Y112" s="187">
        <f t="shared" si="25"/>
        <v>100</v>
      </c>
      <c r="Z112" s="187">
        <f t="shared" si="25"/>
        <v>112.5</v>
      </c>
      <c r="AA112" s="187">
        <f t="shared" si="25"/>
        <v>37.5</v>
      </c>
      <c r="AB112" s="187">
        <f t="shared" si="25"/>
        <v>1</v>
      </c>
      <c r="AC112" s="187">
        <f t="shared" si="25"/>
        <v>3</v>
      </c>
      <c r="AD112" s="187">
        <f t="shared" si="25"/>
        <v>5</v>
      </c>
      <c r="AE112" s="187">
        <f t="shared" si="25"/>
        <v>5</v>
      </c>
      <c r="AF112" s="187">
        <f t="shared" si="25"/>
        <v>17.5</v>
      </c>
      <c r="AG112" s="187"/>
      <c r="AL112" s="185"/>
      <c r="AM112" s="189" t="s">
        <v>153</v>
      </c>
      <c r="AN112" s="187"/>
      <c r="AO112" s="187">
        <f aca="true" t="shared" si="26" ref="AO112:AU112">AO35+AO89+AO109+AO55+AO77+AO66+AO14+AO45+AO98+AO24</f>
        <v>200</v>
      </c>
      <c r="AP112" s="187">
        <f t="shared" si="26"/>
        <v>375.6</v>
      </c>
      <c r="AQ112" s="187">
        <f t="shared" si="26"/>
        <v>37.5</v>
      </c>
      <c r="AR112" s="187">
        <f t="shared" si="26"/>
        <v>113.51999999999998</v>
      </c>
      <c r="AS112" s="187">
        <f t="shared" si="26"/>
        <v>37</v>
      </c>
      <c r="AT112" s="187">
        <f t="shared" si="26"/>
        <v>448.25</v>
      </c>
      <c r="AU112" s="187">
        <f t="shared" si="26"/>
        <v>689</v>
      </c>
      <c r="AV112" s="187">
        <f>AV107+AV53+AV84+AV50+AV41+AV12</f>
        <v>447</v>
      </c>
      <c r="AW112" s="187">
        <f aca="true" t="shared" si="27" ref="AW112:BR112">AW35+AW109+AW98+AW89+AW45+AW66+AW55+AW77+AW14+AW24</f>
        <v>36</v>
      </c>
      <c r="AX112" s="187">
        <f t="shared" si="27"/>
        <v>500</v>
      </c>
      <c r="AY112" s="187">
        <f t="shared" si="27"/>
        <v>173</v>
      </c>
      <c r="AZ112" s="187">
        <f t="shared" si="27"/>
        <v>37.5</v>
      </c>
      <c r="BA112" s="187">
        <f t="shared" si="27"/>
        <v>85.4</v>
      </c>
      <c r="BB112" s="187">
        <f t="shared" si="27"/>
        <v>138.5</v>
      </c>
      <c r="BC112" s="187">
        <f t="shared" si="27"/>
        <v>783.1086956521739</v>
      </c>
      <c r="BD112" s="187">
        <f t="shared" si="27"/>
        <v>380</v>
      </c>
      <c r="BE112" s="187">
        <f t="shared" si="27"/>
        <v>125</v>
      </c>
      <c r="BF112" s="187">
        <f t="shared" si="27"/>
        <v>24</v>
      </c>
      <c r="BG112" s="187">
        <f t="shared" si="27"/>
        <v>25</v>
      </c>
      <c r="BH112" s="187">
        <f t="shared" si="27"/>
        <v>75.45</v>
      </c>
      <c r="BI112" s="187">
        <f t="shared" si="27"/>
        <v>36.6</v>
      </c>
      <c r="BJ112" s="187">
        <f t="shared" si="27"/>
        <v>99.4</v>
      </c>
      <c r="BK112" s="187">
        <f t="shared" si="27"/>
        <v>98.15</v>
      </c>
      <c r="BL112" s="187">
        <f t="shared" si="27"/>
        <v>25</v>
      </c>
      <c r="BM112" s="187">
        <f t="shared" si="27"/>
        <v>1</v>
      </c>
      <c r="BN112" s="187">
        <f t="shared" si="27"/>
        <v>3</v>
      </c>
      <c r="BO112" s="187">
        <f t="shared" si="27"/>
        <v>5</v>
      </c>
      <c r="BP112" s="187">
        <f t="shared" si="27"/>
        <v>1</v>
      </c>
      <c r="BQ112" s="187">
        <f t="shared" si="27"/>
        <v>0</v>
      </c>
      <c r="BR112" s="187">
        <f t="shared" si="27"/>
        <v>0.3</v>
      </c>
    </row>
    <row r="113" spans="1:70" s="188" customFormat="1" ht="17.25" customHeight="1">
      <c r="A113" s="190"/>
      <c r="B113" s="191" t="s">
        <v>154</v>
      </c>
      <c r="C113" s="187"/>
      <c r="D113" s="187">
        <f>H125</f>
        <v>300</v>
      </c>
      <c r="E113" s="187">
        <f>H126</f>
        <v>500</v>
      </c>
      <c r="F113" s="187">
        <f>H127</f>
        <v>50</v>
      </c>
      <c r="G113" s="187">
        <f>H128</f>
        <v>125</v>
      </c>
      <c r="H113" s="187">
        <f>H129</f>
        <v>50</v>
      </c>
      <c r="I113" s="187">
        <f>H130</f>
        <v>470</v>
      </c>
      <c r="J113" s="187">
        <f>H131</f>
        <v>800</v>
      </c>
      <c r="K113" s="187">
        <f>H132</f>
        <v>462.5</v>
      </c>
      <c r="L113" s="187">
        <f>H133</f>
        <v>50</v>
      </c>
      <c r="M113" s="187">
        <f>H134</f>
        <v>500</v>
      </c>
      <c r="N113" s="187">
        <f>H135</f>
        <v>195</v>
      </c>
      <c r="O113" s="187">
        <f>H136</f>
        <v>49</v>
      </c>
      <c r="P113" s="187">
        <f>H137</f>
        <v>132.5</v>
      </c>
      <c r="Q113" s="187">
        <f>H138</f>
        <v>192.5</v>
      </c>
      <c r="R113" s="187">
        <f>H139</f>
        <v>750</v>
      </c>
      <c r="S113" s="187">
        <f>H140</f>
        <v>450</v>
      </c>
      <c r="T113" s="187">
        <f>H141</f>
        <v>150</v>
      </c>
      <c r="U113" s="187">
        <f>H142</f>
        <v>29.5</v>
      </c>
      <c r="V113" s="187">
        <f>H143</f>
        <v>25</v>
      </c>
      <c r="W113" s="187">
        <f>H144</f>
        <v>87.5</v>
      </c>
      <c r="X113" s="187">
        <f>H145</f>
        <v>45</v>
      </c>
      <c r="Y113" s="187">
        <f>H146</f>
        <v>100</v>
      </c>
      <c r="Z113" s="187">
        <f>H147</f>
        <v>112.5</v>
      </c>
      <c r="AA113" s="187">
        <f>H148</f>
        <v>37.5</v>
      </c>
      <c r="AB113" s="187">
        <f>H149</f>
        <v>1</v>
      </c>
      <c r="AC113" s="187">
        <f>H150</f>
        <v>3</v>
      </c>
      <c r="AD113" s="187">
        <f>H151</f>
        <v>5</v>
      </c>
      <c r="AE113" s="187">
        <f>H152</f>
        <v>5</v>
      </c>
      <c r="AF113" s="187">
        <f>H153</f>
        <v>17.5</v>
      </c>
      <c r="AG113" s="187"/>
      <c r="AL113" s="190"/>
      <c r="AM113" s="191" t="s">
        <v>154</v>
      </c>
      <c r="AN113" s="187"/>
      <c r="AO113" s="187">
        <f>AS125</f>
        <v>200</v>
      </c>
      <c r="AP113" s="187">
        <f>AS126</f>
        <v>375</v>
      </c>
      <c r="AQ113" s="187">
        <f>AS127</f>
        <v>37.5</v>
      </c>
      <c r="AR113" s="187">
        <f>AS128</f>
        <v>112.5</v>
      </c>
      <c r="AS113" s="187">
        <f>AS129</f>
        <v>37.5</v>
      </c>
      <c r="AT113" s="187">
        <f>AS130</f>
        <v>470</v>
      </c>
      <c r="AU113" s="187">
        <f>AS131</f>
        <v>700</v>
      </c>
      <c r="AV113" s="187">
        <f>AS132</f>
        <v>462.5</v>
      </c>
      <c r="AW113" s="187">
        <f>AS133</f>
        <v>37.5</v>
      </c>
      <c r="AX113" s="187">
        <f>AS134</f>
        <v>500</v>
      </c>
      <c r="AY113" s="187">
        <f>AS135</f>
        <v>175</v>
      </c>
      <c r="AZ113" s="187">
        <f>AS136</f>
        <v>37.5</v>
      </c>
      <c r="BA113" s="187">
        <f>AS137</f>
        <v>87.5</v>
      </c>
      <c r="BB113" s="187">
        <f>AS138</f>
        <v>145</v>
      </c>
      <c r="BC113" s="187">
        <f>AS139</f>
        <v>750</v>
      </c>
      <c r="BD113" s="187">
        <f>AS140</f>
        <v>375</v>
      </c>
      <c r="BE113" s="187">
        <f>AS141</f>
        <v>125</v>
      </c>
      <c r="BF113" s="187">
        <f>AS142</f>
        <v>24.5</v>
      </c>
      <c r="BG113" s="187">
        <f>AS143</f>
        <v>25</v>
      </c>
      <c r="BH113" s="187">
        <f>AS144</f>
        <v>75</v>
      </c>
      <c r="BI113" s="187">
        <f>AS145</f>
        <v>37.5</v>
      </c>
      <c r="BJ113" s="187">
        <f>AS146</f>
        <v>100</v>
      </c>
      <c r="BK113" s="187">
        <f>AS147</f>
        <v>100</v>
      </c>
      <c r="BL113" s="187">
        <f>AS148</f>
        <v>25</v>
      </c>
      <c r="BM113" s="187">
        <f>AS149</f>
        <v>1</v>
      </c>
      <c r="BN113" s="187">
        <f>AS150</f>
        <v>3</v>
      </c>
      <c r="BO113" s="187">
        <f>AS151</f>
        <v>5</v>
      </c>
      <c r="BP113" s="187">
        <f>AS152</f>
        <v>2.5</v>
      </c>
      <c r="BQ113" s="187">
        <f>AS153</f>
        <v>7.5</v>
      </c>
      <c r="BR113" s="187">
        <f>AS154</f>
        <v>0</v>
      </c>
    </row>
    <row r="114" spans="1:97" s="24" customFormat="1" ht="17.25" customHeight="1">
      <c r="A114" s="74"/>
      <c r="B114" s="18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4"/>
      <c r="AI114" s="14"/>
      <c r="AJ114" s="14"/>
      <c r="AK114" s="14"/>
      <c r="AL114" s="76"/>
      <c r="AM114" s="28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</row>
    <row r="115" spans="1:70" s="195" customFormat="1" ht="33" customHeight="1">
      <c r="A115" s="192"/>
      <c r="B115" s="193" t="s">
        <v>159</v>
      </c>
      <c r="C115" s="194"/>
      <c r="D115" s="194">
        <f>D112/10</f>
        <v>30</v>
      </c>
      <c r="E115" s="194">
        <f aca="true" t="shared" si="28" ref="E115:AF115">E112/10</f>
        <v>49.99980000000001</v>
      </c>
      <c r="F115" s="194">
        <f t="shared" si="28"/>
        <v>5</v>
      </c>
      <c r="G115" s="194">
        <f t="shared" si="28"/>
        <v>12.5</v>
      </c>
      <c r="H115" s="194">
        <f t="shared" si="28"/>
        <v>5</v>
      </c>
      <c r="I115" s="194">
        <f t="shared" si="28"/>
        <v>47</v>
      </c>
      <c r="J115" s="194">
        <f t="shared" si="28"/>
        <v>80</v>
      </c>
      <c r="K115" s="194">
        <f t="shared" si="28"/>
        <v>46.25</v>
      </c>
      <c r="L115" s="194">
        <f t="shared" si="28"/>
        <v>5</v>
      </c>
      <c r="M115" s="194">
        <f t="shared" si="28"/>
        <v>50</v>
      </c>
      <c r="N115" s="194">
        <f t="shared" si="28"/>
        <v>19.5</v>
      </c>
      <c r="O115" s="194">
        <f t="shared" si="28"/>
        <v>4.9</v>
      </c>
      <c r="P115" s="194">
        <f t="shared" si="28"/>
        <v>13.25</v>
      </c>
      <c r="Q115" s="194">
        <f t="shared" si="28"/>
        <v>19.25</v>
      </c>
      <c r="R115" s="194">
        <f t="shared" si="28"/>
        <v>74.99986956521738</v>
      </c>
      <c r="S115" s="194">
        <f t="shared" si="28"/>
        <v>45</v>
      </c>
      <c r="T115" s="194">
        <f t="shared" si="28"/>
        <v>15</v>
      </c>
      <c r="U115" s="194">
        <f t="shared" si="28"/>
        <v>2.95</v>
      </c>
      <c r="V115" s="194">
        <f t="shared" si="28"/>
        <v>2.5</v>
      </c>
      <c r="W115" s="194">
        <f t="shared" si="28"/>
        <v>8.75</v>
      </c>
      <c r="X115" s="194">
        <f t="shared" si="28"/>
        <v>4.500000000000001</v>
      </c>
      <c r="Y115" s="194">
        <f t="shared" si="28"/>
        <v>10</v>
      </c>
      <c r="Z115" s="194">
        <f t="shared" si="28"/>
        <v>11.25</v>
      </c>
      <c r="AA115" s="194">
        <f t="shared" si="28"/>
        <v>3.75</v>
      </c>
      <c r="AB115" s="194">
        <f t="shared" si="28"/>
        <v>0.1</v>
      </c>
      <c r="AC115" s="194">
        <f t="shared" si="28"/>
        <v>0.3</v>
      </c>
      <c r="AD115" s="194">
        <f t="shared" si="28"/>
        <v>0.5</v>
      </c>
      <c r="AE115" s="194">
        <f t="shared" si="28"/>
        <v>0.5</v>
      </c>
      <c r="AF115" s="194">
        <f t="shared" si="28"/>
        <v>1.75</v>
      </c>
      <c r="AG115" s="194"/>
      <c r="AL115" s="192"/>
      <c r="AM115" s="196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</row>
    <row r="116" spans="1:70" s="195" customFormat="1" ht="17.25" customHeight="1">
      <c r="A116" s="192"/>
      <c r="B116" s="197" t="s">
        <v>160</v>
      </c>
      <c r="C116" s="194"/>
      <c r="D116" s="194">
        <f>E125</f>
        <v>30</v>
      </c>
      <c r="E116" s="194">
        <f>E126</f>
        <v>50</v>
      </c>
      <c r="F116" s="194">
        <f>F113/10</f>
        <v>5</v>
      </c>
      <c r="G116" s="194">
        <f aca="true" t="shared" si="29" ref="G116:AF116">G113/10</f>
        <v>12.5</v>
      </c>
      <c r="H116" s="194">
        <f t="shared" si="29"/>
        <v>5</v>
      </c>
      <c r="I116" s="194">
        <f t="shared" si="29"/>
        <v>47</v>
      </c>
      <c r="J116" s="194">
        <f t="shared" si="29"/>
        <v>80</v>
      </c>
      <c r="K116" s="194">
        <f t="shared" si="29"/>
        <v>46.25</v>
      </c>
      <c r="L116" s="194">
        <f t="shared" si="29"/>
        <v>5</v>
      </c>
      <c r="M116" s="194">
        <f t="shared" si="29"/>
        <v>50</v>
      </c>
      <c r="N116" s="194">
        <f t="shared" si="29"/>
        <v>19.5</v>
      </c>
      <c r="O116" s="194">
        <f t="shared" si="29"/>
        <v>4.9</v>
      </c>
      <c r="P116" s="194">
        <f t="shared" si="29"/>
        <v>13.25</v>
      </c>
      <c r="Q116" s="194">
        <f t="shared" si="29"/>
        <v>19.25</v>
      </c>
      <c r="R116" s="194">
        <f t="shared" si="29"/>
        <v>75</v>
      </c>
      <c r="S116" s="194">
        <f t="shared" si="29"/>
        <v>45</v>
      </c>
      <c r="T116" s="194">
        <f t="shared" si="29"/>
        <v>15</v>
      </c>
      <c r="U116" s="194">
        <f t="shared" si="29"/>
        <v>2.95</v>
      </c>
      <c r="V116" s="194">
        <f t="shared" si="29"/>
        <v>2.5</v>
      </c>
      <c r="W116" s="194">
        <f t="shared" si="29"/>
        <v>8.75</v>
      </c>
      <c r="X116" s="194">
        <f t="shared" si="29"/>
        <v>4.5</v>
      </c>
      <c r="Y116" s="194">
        <f t="shared" si="29"/>
        <v>10</v>
      </c>
      <c r="Z116" s="194">
        <f t="shared" si="29"/>
        <v>11.25</v>
      </c>
      <c r="AA116" s="194">
        <f t="shared" si="29"/>
        <v>3.75</v>
      </c>
      <c r="AB116" s="194">
        <f t="shared" si="29"/>
        <v>0.1</v>
      </c>
      <c r="AC116" s="194">
        <f t="shared" si="29"/>
        <v>0.3</v>
      </c>
      <c r="AD116" s="194">
        <f t="shared" si="29"/>
        <v>0.5</v>
      </c>
      <c r="AE116" s="194">
        <f t="shared" si="29"/>
        <v>0.5</v>
      </c>
      <c r="AF116" s="194">
        <f t="shared" si="29"/>
        <v>1.75</v>
      </c>
      <c r="AG116" s="194"/>
      <c r="AL116" s="192"/>
      <c r="AM116" s="196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</row>
    <row r="117" spans="1:39" ht="16.5" customHeight="1">
      <c r="A117" s="226"/>
      <c r="B117" s="227"/>
      <c r="AL117" s="226"/>
      <c r="AM117" s="227"/>
    </row>
    <row r="118" spans="1:97" s="30" customFormat="1" ht="18" customHeight="1">
      <c r="A118" s="180"/>
      <c r="B118" s="107" t="s">
        <v>155</v>
      </c>
      <c r="C118" s="107"/>
      <c r="D118" s="107">
        <f aca="true" t="shared" si="30" ref="D118:AF118">-(100-(D112*100/D113))</f>
        <v>0</v>
      </c>
      <c r="E118" s="107">
        <f>-(100-(E112*100/E113))</f>
        <v>-0.00039999999999906777</v>
      </c>
      <c r="F118" s="107">
        <f>-(100-(F112*100/F113))</f>
        <v>0</v>
      </c>
      <c r="G118" s="107">
        <f t="shared" si="30"/>
        <v>0</v>
      </c>
      <c r="H118" s="107">
        <f t="shared" si="30"/>
        <v>0</v>
      </c>
      <c r="I118" s="107">
        <f t="shared" si="30"/>
        <v>0</v>
      </c>
      <c r="J118" s="107">
        <f t="shared" si="30"/>
        <v>0</v>
      </c>
      <c r="K118" s="107">
        <f t="shared" si="30"/>
        <v>0</v>
      </c>
      <c r="L118" s="107">
        <f t="shared" si="30"/>
        <v>0</v>
      </c>
      <c r="M118" s="107">
        <f t="shared" si="30"/>
        <v>0</v>
      </c>
      <c r="N118" s="107">
        <f t="shared" si="30"/>
        <v>0</v>
      </c>
      <c r="O118" s="107">
        <f t="shared" si="30"/>
        <v>0</v>
      </c>
      <c r="P118" s="107">
        <f t="shared" si="30"/>
        <v>0</v>
      </c>
      <c r="Q118" s="107">
        <f t="shared" si="30"/>
        <v>0</v>
      </c>
      <c r="R118" s="107">
        <f t="shared" si="30"/>
        <v>-0.00017391304348279846</v>
      </c>
      <c r="S118" s="107">
        <f t="shared" si="30"/>
        <v>0</v>
      </c>
      <c r="T118" s="107">
        <f t="shared" si="30"/>
        <v>0</v>
      </c>
      <c r="U118" s="107">
        <f t="shared" si="30"/>
        <v>0</v>
      </c>
      <c r="V118" s="107">
        <f t="shared" si="30"/>
        <v>0</v>
      </c>
      <c r="W118" s="107">
        <f t="shared" si="30"/>
        <v>0</v>
      </c>
      <c r="X118" s="107">
        <f t="shared" si="30"/>
        <v>1.4210854715202004E-14</v>
      </c>
      <c r="Y118" s="107">
        <f t="shared" si="30"/>
        <v>0</v>
      </c>
      <c r="Z118" s="107">
        <f t="shared" si="30"/>
        <v>0</v>
      </c>
      <c r="AA118" s="107">
        <f t="shared" si="30"/>
        <v>0</v>
      </c>
      <c r="AB118" s="107">
        <f t="shared" si="30"/>
        <v>0</v>
      </c>
      <c r="AC118" s="107">
        <f t="shared" si="30"/>
        <v>0</v>
      </c>
      <c r="AD118" s="107">
        <f t="shared" si="30"/>
        <v>0</v>
      </c>
      <c r="AE118" s="107">
        <f t="shared" si="30"/>
        <v>0</v>
      </c>
      <c r="AF118" s="107">
        <f t="shared" si="30"/>
        <v>0</v>
      </c>
      <c r="AG118" s="107"/>
      <c r="AH118" s="14"/>
      <c r="AI118" s="14"/>
      <c r="AJ118" s="14"/>
      <c r="AK118" s="14"/>
      <c r="AL118" s="77"/>
      <c r="AM118" s="29" t="s">
        <v>155</v>
      </c>
      <c r="AN118" s="29"/>
      <c r="AO118" s="29">
        <f aca="true" t="shared" si="31" ref="AO118:BR118">-(100-(AO112*100/AO113))</f>
        <v>0</v>
      </c>
      <c r="AP118" s="29">
        <f t="shared" si="31"/>
        <v>0.1599999999999966</v>
      </c>
      <c r="AQ118" s="29">
        <f t="shared" si="31"/>
        <v>0</v>
      </c>
      <c r="AR118" s="29">
        <f t="shared" si="31"/>
        <v>0.9066666666666521</v>
      </c>
      <c r="AS118" s="29">
        <f t="shared" si="31"/>
        <v>-1.3333333333333286</v>
      </c>
      <c r="AT118" s="29">
        <f t="shared" si="31"/>
        <v>-4.627659574468083</v>
      </c>
      <c r="AU118" s="29">
        <f t="shared" si="31"/>
        <v>-1.5714285714285694</v>
      </c>
      <c r="AV118" s="29">
        <f t="shared" si="31"/>
        <v>-3.3513513513513544</v>
      </c>
      <c r="AW118" s="29">
        <f t="shared" si="31"/>
        <v>-4</v>
      </c>
      <c r="AX118" s="29">
        <f t="shared" si="31"/>
        <v>0</v>
      </c>
      <c r="AY118" s="29">
        <f t="shared" si="31"/>
        <v>-1.1428571428571388</v>
      </c>
      <c r="AZ118" s="29">
        <f t="shared" si="31"/>
        <v>0</v>
      </c>
      <c r="BA118" s="29">
        <f t="shared" si="31"/>
        <v>-2.4000000000000057</v>
      </c>
      <c r="BB118" s="29">
        <f t="shared" si="31"/>
        <v>-4.482758620689651</v>
      </c>
      <c r="BC118" s="29">
        <f t="shared" si="31"/>
        <v>4.414492753623193</v>
      </c>
      <c r="BD118" s="29">
        <f t="shared" si="31"/>
        <v>1.3333333333333286</v>
      </c>
      <c r="BE118" s="29">
        <f t="shared" si="31"/>
        <v>0</v>
      </c>
      <c r="BF118" s="29">
        <f t="shared" si="31"/>
        <v>-2.040816326530617</v>
      </c>
      <c r="BG118" s="29">
        <f t="shared" si="31"/>
        <v>0</v>
      </c>
      <c r="BH118" s="29">
        <f t="shared" si="31"/>
        <v>0.5999999999999943</v>
      </c>
      <c r="BI118" s="29">
        <f t="shared" si="31"/>
        <v>-2.4000000000000057</v>
      </c>
      <c r="BJ118" s="29">
        <f t="shared" si="31"/>
        <v>-0.5999999999999943</v>
      </c>
      <c r="BK118" s="29">
        <f t="shared" si="31"/>
        <v>-1.8499999999999943</v>
      </c>
      <c r="BL118" s="29">
        <f t="shared" si="31"/>
        <v>0</v>
      </c>
      <c r="BM118" s="29">
        <f t="shared" si="31"/>
        <v>0</v>
      </c>
      <c r="BN118" s="29">
        <f t="shared" si="31"/>
        <v>0</v>
      </c>
      <c r="BO118" s="29">
        <f t="shared" si="31"/>
        <v>0</v>
      </c>
      <c r="BP118" s="29">
        <f t="shared" si="31"/>
        <v>-60</v>
      </c>
      <c r="BQ118" s="29">
        <f t="shared" si="31"/>
        <v>-100</v>
      </c>
      <c r="BR118" s="29" t="e">
        <f t="shared" si="31"/>
        <v>#DIV/0!</v>
      </c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</row>
    <row r="119" spans="1:38" ht="10.5" customHeight="1">
      <c r="A119" s="71"/>
      <c r="AL119" s="71"/>
    </row>
    <row r="120" spans="1:38" ht="10.5" customHeight="1">
      <c r="A120" s="71"/>
      <c r="AL120" s="71"/>
    </row>
    <row r="121" spans="1:38" ht="10.5" customHeight="1">
      <c r="A121" s="71"/>
      <c r="AL121" s="71"/>
    </row>
    <row r="122" spans="1:47" ht="10.5" customHeight="1">
      <c r="A122" s="75"/>
      <c r="B122" s="232" t="s">
        <v>23</v>
      </c>
      <c r="J122" s="32"/>
      <c r="AL122" s="75"/>
      <c r="AM122" s="228" t="s">
        <v>23</v>
      </c>
      <c r="AN122" s="31"/>
      <c r="AO122" s="31"/>
      <c r="AP122" s="31"/>
      <c r="AQ122" s="31"/>
      <c r="AR122" s="31"/>
      <c r="AS122" s="31"/>
      <c r="AT122" s="31"/>
      <c r="AU122" s="32"/>
    </row>
    <row r="123" spans="1:47" ht="39" customHeight="1">
      <c r="A123" s="75"/>
      <c r="B123" s="232"/>
      <c r="C123" s="3" t="s">
        <v>52</v>
      </c>
      <c r="F123" s="1" t="s">
        <v>63</v>
      </c>
      <c r="I123" s="1" t="s">
        <v>74</v>
      </c>
      <c r="J123" s="32"/>
      <c r="AL123" s="75"/>
      <c r="AM123" s="228"/>
      <c r="AN123" s="31" t="s">
        <v>52</v>
      </c>
      <c r="AO123" s="31"/>
      <c r="AP123" s="31"/>
      <c r="AQ123" s="31" t="s">
        <v>63</v>
      </c>
      <c r="AR123" s="31"/>
      <c r="AS123" s="31"/>
      <c r="AT123" s="31" t="s">
        <v>74</v>
      </c>
      <c r="AU123" s="32"/>
    </row>
    <row r="124" spans="1:47" ht="29.25" customHeight="1">
      <c r="A124" s="75"/>
      <c r="B124" s="232"/>
      <c r="C124" s="3" t="s">
        <v>157</v>
      </c>
      <c r="E124" s="1" t="s">
        <v>61</v>
      </c>
      <c r="F124" s="1" t="s">
        <v>60</v>
      </c>
      <c r="H124" s="1" t="s">
        <v>61</v>
      </c>
      <c r="I124" s="1" t="s">
        <v>60</v>
      </c>
      <c r="J124" s="32"/>
      <c r="AL124" s="75"/>
      <c r="AM124" s="228"/>
      <c r="AN124" s="31" t="s">
        <v>51</v>
      </c>
      <c r="AO124" s="31"/>
      <c r="AP124" s="140" t="s">
        <v>61</v>
      </c>
      <c r="AQ124" s="31" t="s">
        <v>60</v>
      </c>
      <c r="AR124" s="31"/>
      <c r="AS124" s="31" t="s">
        <v>61</v>
      </c>
      <c r="AT124" s="31" t="s">
        <v>60</v>
      </c>
      <c r="AU124" s="32"/>
    </row>
    <row r="125" spans="1:47" ht="10.5" customHeight="1">
      <c r="A125" s="75"/>
      <c r="B125" s="183" t="s">
        <v>50</v>
      </c>
      <c r="C125" s="1">
        <v>120</v>
      </c>
      <c r="E125" s="1">
        <f aca="true" t="shared" si="32" ref="E125:E153">C125*25/100</f>
        <v>30</v>
      </c>
      <c r="F125" s="1">
        <f aca="true" t="shared" si="33" ref="F125:F153">C125*0.35</f>
        <v>42</v>
      </c>
      <c r="H125" s="1">
        <f>E125*10</f>
        <v>300</v>
      </c>
      <c r="I125" s="1">
        <f>F125*10</f>
        <v>420</v>
      </c>
      <c r="J125" s="32"/>
      <c r="AL125" s="75"/>
      <c r="AM125" s="33" t="s">
        <v>50</v>
      </c>
      <c r="AN125" s="31">
        <v>80</v>
      </c>
      <c r="AO125" s="31"/>
      <c r="AP125" s="140">
        <f aca="true" t="shared" si="34" ref="AP125:AP153">AN125*25/100</f>
        <v>20</v>
      </c>
      <c r="AQ125" s="31">
        <f aca="true" t="shared" si="35" ref="AQ125:AQ153">AN125*0.35</f>
        <v>28</v>
      </c>
      <c r="AR125" s="31"/>
      <c r="AS125" s="31">
        <f>AP125*10</f>
        <v>200</v>
      </c>
      <c r="AT125" s="31">
        <f>AQ125*10</f>
        <v>280</v>
      </c>
      <c r="AU125" s="32"/>
    </row>
    <row r="126" spans="1:47" ht="10.5" customHeight="1">
      <c r="A126" s="75"/>
      <c r="B126" s="183" t="s">
        <v>24</v>
      </c>
      <c r="C126" s="1">
        <v>200</v>
      </c>
      <c r="E126" s="1">
        <f t="shared" si="32"/>
        <v>50</v>
      </c>
      <c r="F126" s="1">
        <f t="shared" si="33"/>
        <v>70</v>
      </c>
      <c r="H126" s="1">
        <f aca="true" t="shared" si="36" ref="H126:I153">E126*10</f>
        <v>500</v>
      </c>
      <c r="I126" s="1">
        <f t="shared" si="36"/>
        <v>700</v>
      </c>
      <c r="J126" s="32"/>
      <c r="AL126" s="75"/>
      <c r="AM126" s="33" t="s">
        <v>24</v>
      </c>
      <c r="AN126" s="31">
        <v>150</v>
      </c>
      <c r="AO126" s="31"/>
      <c r="AP126" s="140">
        <f t="shared" si="34"/>
        <v>37.5</v>
      </c>
      <c r="AQ126" s="31">
        <f t="shared" si="35"/>
        <v>52.5</v>
      </c>
      <c r="AR126" s="31"/>
      <c r="AS126" s="31">
        <f aca="true" t="shared" si="37" ref="AS126:AS153">AP126*10</f>
        <v>375</v>
      </c>
      <c r="AT126" s="31">
        <f aca="true" t="shared" si="38" ref="AT126:AT153">AQ126*10</f>
        <v>525</v>
      </c>
      <c r="AU126" s="32"/>
    </row>
    <row r="127" spans="1:47" ht="10.5" customHeight="1">
      <c r="A127" s="75"/>
      <c r="B127" s="183" t="s">
        <v>25</v>
      </c>
      <c r="C127" s="1">
        <v>20</v>
      </c>
      <c r="E127" s="1">
        <f t="shared" si="32"/>
        <v>5</v>
      </c>
      <c r="F127" s="1">
        <f t="shared" si="33"/>
        <v>7</v>
      </c>
      <c r="H127" s="1">
        <f t="shared" si="36"/>
        <v>50</v>
      </c>
      <c r="I127" s="1">
        <f t="shared" si="36"/>
        <v>70</v>
      </c>
      <c r="J127" s="32"/>
      <c r="AL127" s="75"/>
      <c r="AM127" s="33" t="s">
        <v>25</v>
      </c>
      <c r="AN127" s="31">
        <v>15</v>
      </c>
      <c r="AO127" s="31"/>
      <c r="AP127" s="140">
        <f t="shared" si="34"/>
        <v>3.75</v>
      </c>
      <c r="AQ127" s="31">
        <f t="shared" si="35"/>
        <v>5.25</v>
      </c>
      <c r="AR127" s="31"/>
      <c r="AS127" s="31">
        <f t="shared" si="37"/>
        <v>37.5</v>
      </c>
      <c r="AT127" s="31">
        <f t="shared" si="38"/>
        <v>52.5</v>
      </c>
      <c r="AU127" s="32"/>
    </row>
    <row r="128" spans="1:47" ht="10.5" customHeight="1">
      <c r="A128" s="75"/>
      <c r="B128" s="183" t="s">
        <v>26</v>
      </c>
      <c r="C128" s="1">
        <v>50</v>
      </c>
      <c r="E128" s="1">
        <f t="shared" si="32"/>
        <v>12.5</v>
      </c>
      <c r="F128" s="1">
        <f t="shared" si="33"/>
        <v>17.5</v>
      </c>
      <c r="H128" s="1">
        <f t="shared" si="36"/>
        <v>125</v>
      </c>
      <c r="I128" s="1">
        <f t="shared" si="36"/>
        <v>175</v>
      </c>
      <c r="J128" s="32"/>
      <c r="AL128" s="75"/>
      <c r="AM128" s="33" t="s">
        <v>26</v>
      </c>
      <c r="AN128" s="31">
        <v>45</v>
      </c>
      <c r="AO128" s="31"/>
      <c r="AP128" s="140">
        <f t="shared" si="34"/>
        <v>11.25</v>
      </c>
      <c r="AQ128" s="31">
        <f t="shared" si="35"/>
        <v>15.749999999999998</v>
      </c>
      <c r="AR128" s="31"/>
      <c r="AS128" s="31">
        <f t="shared" si="37"/>
        <v>112.5</v>
      </c>
      <c r="AT128" s="31">
        <f t="shared" si="38"/>
        <v>157.49999999999997</v>
      </c>
      <c r="AU128" s="32"/>
    </row>
    <row r="129" spans="1:47" ht="10.5" customHeight="1">
      <c r="A129" s="75"/>
      <c r="B129" s="183" t="s">
        <v>27</v>
      </c>
      <c r="C129" s="1">
        <v>20</v>
      </c>
      <c r="E129" s="1">
        <f t="shared" si="32"/>
        <v>5</v>
      </c>
      <c r="F129" s="1">
        <f t="shared" si="33"/>
        <v>7</v>
      </c>
      <c r="H129" s="1">
        <f t="shared" si="36"/>
        <v>50</v>
      </c>
      <c r="I129" s="1">
        <f t="shared" si="36"/>
        <v>70</v>
      </c>
      <c r="J129" s="32"/>
      <c r="AL129" s="75"/>
      <c r="AM129" s="33" t="s">
        <v>27</v>
      </c>
      <c r="AN129" s="31">
        <v>15</v>
      </c>
      <c r="AO129" s="31"/>
      <c r="AP129" s="140">
        <f t="shared" si="34"/>
        <v>3.75</v>
      </c>
      <c r="AQ129" s="31">
        <f t="shared" si="35"/>
        <v>5.25</v>
      </c>
      <c r="AR129" s="31"/>
      <c r="AS129" s="31">
        <f t="shared" si="37"/>
        <v>37.5</v>
      </c>
      <c r="AT129" s="31">
        <f t="shared" si="38"/>
        <v>52.5</v>
      </c>
      <c r="AU129" s="32"/>
    </row>
    <row r="130" spans="1:47" ht="10.5" customHeight="1">
      <c r="A130" s="75"/>
      <c r="B130" s="183" t="s">
        <v>28</v>
      </c>
      <c r="C130" s="1">
        <v>188</v>
      </c>
      <c r="E130" s="1">
        <f t="shared" si="32"/>
        <v>47</v>
      </c>
      <c r="F130" s="1">
        <f t="shared" si="33"/>
        <v>65.8</v>
      </c>
      <c r="H130" s="1">
        <f t="shared" si="36"/>
        <v>470</v>
      </c>
      <c r="I130" s="1">
        <f t="shared" si="36"/>
        <v>658</v>
      </c>
      <c r="J130" s="32"/>
      <c r="AL130" s="75"/>
      <c r="AM130" s="33" t="s">
        <v>28</v>
      </c>
      <c r="AN130" s="31">
        <v>188</v>
      </c>
      <c r="AO130" s="31"/>
      <c r="AP130" s="140">
        <f t="shared" si="34"/>
        <v>47</v>
      </c>
      <c r="AQ130" s="31">
        <f t="shared" si="35"/>
        <v>65.8</v>
      </c>
      <c r="AR130" s="31"/>
      <c r="AS130" s="31">
        <f t="shared" si="37"/>
        <v>470</v>
      </c>
      <c r="AT130" s="31">
        <f t="shared" si="38"/>
        <v>658</v>
      </c>
      <c r="AU130" s="32"/>
    </row>
    <row r="131" spans="1:47" ht="10.5" customHeight="1">
      <c r="A131" s="75"/>
      <c r="B131" s="183" t="s">
        <v>78</v>
      </c>
      <c r="C131" s="1">
        <v>320</v>
      </c>
      <c r="E131" s="1">
        <f t="shared" si="32"/>
        <v>80</v>
      </c>
      <c r="F131" s="1">
        <f t="shared" si="33"/>
        <v>112</v>
      </c>
      <c r="H131" s="1">
        <f t="shared" si="36"/>
        <v>800</v>
      </c>
      <c r="I131" s="1">
        <f t="shared" si="36"/>
        <v>1120</v>
      </c>
      <c r="J131" s="32"/>
      <c r="AL131" s="75"/>
      <c r="AM131" s="33" t="s">
        <v>78</v>
      </c>
      <c r="AN131" s="31">
        <v>280</v>
      </c>
      <c r="AO131" s="31"/>
      <c r="AP131" s="140">
        <f t="shared" si="34"/>
        <v>70</v>
      </c>
      <c r="AQ131" s="31">
        <f t="shared" si="35"/>
        <v>98</v>
      </c>
      <c r="AR131" s="31"/>
      <c r="AS131" s="31">
        <f t="shared" si="37"/>
        <v>700</v>
      </c>
      <c r="AT131" s="31">
        <f t="shared" si="38"/>
        <v>980</v>
      </c>
      <c r="AU131" s="32"/>
    </row>
    <row r="132" spans="1:47" ht="10.5" customHeight="1">
      <c r="A132" s="75"/>
      <c r="B132" s="183" t="s">
        <v>79</v>
      </c>
      <c r="C132" s="1">
        <v>185</v>
      </c>
      <c r="E132" s="1">
        <f t="shared" si="32"/>
        <v>46.25</v>
      </c>
      <c r="F132" s="1">
        <f t="shared" si="33"/>
        <v>64.75</v>
      </c>
      <c r="H132" s="1">
        <f t="shared" si="36"/>
        <v>462.5</v>
      </c>
      <c r="I132" s="1">
        <f t="shared" si="36"/>
        <v>647.5</v>
      </c>
      <c r="J132" s="32"/>
      <c r="AL132" s="75"/>
      <c r="AM132" s="33" t="s">
        <v>79</v>
      </c>
      <c r="AN132" s="31">
        <v>185</v>
      </c>
      <c r="AO132" s="31"/>
      <c r="AP132" s="140">
        <f t="shared" si="34"/>
        <v>46.25</v>
      </c>
      <c r="AQ132" s="31">
        <f t="shared" si="35"/>
        <v>64.75</v>
      </c>
      <c r="AR132" s="31"/>
      <c r="AS132" s="31">
        <f t="shared" si="37"/>
        <v>462.5</v>
      </c>
      <c r="AT132" s="31">
        <f t="shared" si="38"/>
        <v>647.5</v>
      </c>
      <c r="AU132" s="32"/>
    </row>
    <row r="133" spans="1:47" ht="10.5" customHeight="1">
      <c r="A133" s="75"/>
      <c r="B133" s="183" t="s">
        <v>80</v>
      </c>
      <c r="C133" s="1">
        <v>20</v>
      </c>
      <c r="E133" s="1">
        <f t="shared" si="32"/>
        <v>5</v>
      </c>
      <c r="F133" s="1">
        <f t="shared" si="33"/>
        <v>7</v>
      </c>
      <c r="H133" s="1">
        <f t="shared" si="36"/>
        <v>50</v>
      </c>
      <c r="I133" s="1">
        <f t="shared" si="36"/>
        <v>70</v>
      </c>
      <c r="J133" s="32"/>
      <c r="AL133" s="75"/>
      <c r="AM133" s="33" t="s">
        <v>80</v>
      </c>
      <c r="AN133" s="31">
        <v>15</v>
      </c>
      <c r="AO133" s="31"/>
      <c r="AP133" s="140">
        <f t="shared" si="34"/>
        <v>3.75</v>
      </c>
      <c r="AQ133" s="31">
        <f t="shared" si="35"/>
        <v>5.25</v>
      </c>
      <c r="AR133" s="31"/>
      <c r="AS133" s="31">
        <f t="shared" si="37"/>
        <v>37.5</v>
      </c>
      <c r="AT133" s="31">
        <f t="shared" si="38"/>
        <v>52.5</v>
      </c>
      <c r="AU133" s="32"/>
    </row>
    <row r="134" spans="1:47" ht="10.5" customHeight="1">
      <c r="A134" s="75"/>
      <c r="B134" s="183" t="s">
        <v>53</v>
      </c>
      <c r="C134" s="1">
        <v>200</v>
      </c>
      <c r="E134" s="1">
        <f t="shared" si="32"/>
        <v>50</v>
      </c>
      <c r="F134" s="1">
        <f t="shared" si="33"/>
        <v>70</v>
      </c>
      <c r="H134" s="1">
        <f t="shared" si="36"/>
        <v>500</v>
      </c>
      <c r="I134" s="1">
        <f t="shared" si="36"/>
        <v>700</v>
      </c>
      <c r="J134" s="32"/>
      <c r="AL134" s="75"/>
      <c r="AM134" s="33" t="s">
        <v>53</v>
      </c>
      <c r="AN134" s="31">
        <v>200</v>
      </c>
      <c r="AO134" s="31"/>
      <c r="AP134" s="140">
        <f t="shared" si="34"/>
        <v>50</v>
      </c>
      <c r="AQ134" s="31">
        <f t="shared" si="35"/>
        <v>70</v>
      </c>
      <c r="AR134" s="31"/>
      <c r="AS134" s="31">
        <f t="shared" si="37"/>
        <v>500</v>
      </c>
      <c r="AT134" s="31">
        <f t="shared" si="38"/>
        <v>700</v>
      </c>
      <c r="AU134" s="32"/>
    </row>
    <row r="135" spans="1:47" ht="10.5" customHeight="1">
      <c r="A135" s="75"/>
      <c r="B135" s="183" t="s">
        <v>81</v>
      </c>
      <c r="C135" s="1">
        <v>78</v>
      </c>
      <c r="E135" s="1">
        <f t="shared" si="32"/>
        <v>19.5</v>
      </c>
      <c r="F135" s="1">
        <f t="shared" si="33"/>
        <v>27.299999999999997</v>
      </c>
      <c r="H135" s="1">
        <f t="shared" si="36"/>
        <v>195</v>
      </c>
      <c r="I135" s="1">
        <f t="shared" si="36"/>
        <v>273</v>
      </c>
      <c r="J135" s="32"/>
      <c r="AL135" s="75"/>
      <c r="AM135" s="33" t="s">
        <v>81</v>
      </c>
      <c r="AN135" s="31">
        <v>70</v>
      </c>
      <c r="AO135" s="31"/>
      <c r="AP135" s="140">
        <f t="shared" si="34"/>
        <v>17.5</v>
      </c>
      <c r="AQ135" s="31">
        <f t="shared" si="35"/>
        <v>24.5</v>
      </c>
      <c r="AR135" s="31"/>
      <c r="AS135" s="31">
        <f t="shared" si="37"/>
        <v>175</v>
      </c>
      <c r="AT135" s="31">
        <f t="shared" si="38"/>
        <v>245</v>
      </c>
      <c r="AU135" s="32"/>
    </row>
    <row r="136" spans="1:47" ht="10.5" customHeight="1">
      <c r="A136" s="75"/>
      <c r="B136" s="183" t="s">
        <v>147</v>
      </c>
      <c r="C136" s="1">
        <v>19.6</v>
      </c>
      <c r="E136" s="1">
        <f t="shared" si="32"/>
        <v>4.9</v>
      </c>
      <c r="F136" s="1">
        <f t="shared" si="33"/>
        <v>6.86</v>
      </c>
      <c r="H136" s="1">
        <f t="shared" si="36"/>
        <v>49</v>
      </c>
      <c r="I136" s="1">
        <f t="shared" si="36"/>
        <v>68.60000000000001</v>
      </c>
      <c r="J136" s="32"/>
      <c r="AL136" s="75"/>
      <c r="AM136" s="33" t="s">
        <v>147</v>
      </c>
      <c r="AN136" s="31">
        <v>15</v>
      </c>
      <c r="AO136" s="31"/>
      <c r="AP136" s="140">
        <f t="shared" si="34"/>
        <v>3.75</v>
      </c>
      <c r="AQ136" s="31">
        <f t="shared" si="35"/>
        <v>5.25</v>
      </c>
      <c r="AR136" s="31"/>
      <c r="AS136" s="31">
        <f t="shared" si="37"/>
        <v>37.5</v>
      </c>
      <c r="AT136" s="31">
        <f t="shared" si="38"/>
        <v>52.5</v>
      </c>
      <c r="AU136" s="32"/>
    </row>
    <row r="137" spans="1:47" ht="10.5" customHeight="1">
      <c r="A137" s="75"/>
      <c r="B137" s="183" t="s">
        <v>82</v>
      </c>
      <c r="C137" s="1">
        <v>53</v>
      </c>
      <c r="E137" s="1">
        <f t="shared" si="32"/>
        <v>13.25</v>
      </c>
      <c r="F137" s="1">
        <f t="shared" si="33"/>
        <v>18.549999999999997</v>
      </c>
      <c r="H137" s="1">
        <f t="shared" si="36"/>
        <v>132.5</v>
      </c>
      <c r="I137" s="1">
        <f t="shared" si="36"/>
        <v>185.49999999999997</v>
      </c>
      <c r="J137" s="32"/>
      <c r="AL137" s="75"/>
      <c r="AM137" s="33" t="s">
        <v>82</v>
      </c>
      <c r="AN137" s="31">
        <v>35</v>
      </c>
      <c r="AO137" s="31"/>
      <c r="AP137" s="140">
        <f t="shared" si="34"/>
        <v>8.75</v>
      </c>
      <c r="AQ137" s="31">
        <f t="shared" si="35"/>
        <v>12.25</v>
      </c>
      <c r="AR137" s="31"/>
      <c r="AS137" s="31">
        <f t="shared" si="37"/>
        <v>87.5</v>
      </c>
      <c r="AT137" s="31">
        <f t="shared" si="38"/>
        <v>122.5</v>
      </c>
      <c r="AU137" s="32"/>
    </row>
    <row r="138" spans="1:47" ht="10.5" customHeight="1">
      <c r="A138" s="75"/>
      <c r="B138" s="183" t="s">
        <v>83</v>
      </c>
      <c r="C138" s="1">
        <v>77</v>
      </c>
      <c r="E138" s="1">
        <f t="shared" si="32"/>
        <v>19.25</v>
      </c>
      <c r="F138" s="1">
        <f t="shared" si="33"/>
        <v>26.95</v>
      </c>
      <c r="H138" s="1">
        <f t="shared" si="36"/>
        <v>192.5</v>
      </c>
      <c r="I138" s="1">
        <f t="shared" si="36"/>
        <v>269.5</v>
      </c>
      <c r="J138" s="32"/>
      <c r="AL138" s="75"/>
      <c r="AM138" s="33" t="s">
        <v>83</v>
      </c>
      <c r="AN138" s="31">
        <v>58</v>
      </c>
      <c r="AO138" s="31"/>
      <c r="AP138" s="140">
        <f t="shared" si="34"/>
        <v>14.5</v>
      </c>
      <c r="AQ138" s="31">
        <f t="shared" si="35"/>
        <v>20.299999999999997</v>
      </c>
      <c r="AR138" s="31"/>
      <c r="AS138" s="31">
        <f t="shared" si="37"/>
        <v>145</v>
      </c>
      <c r="AT138" s="31">
        <f t="shared" si="38"/>
        <v>202.99999999999997</v>
      </c>
      <c r="AU138" s="32"/>
    </row>
    <row r="139" spans="1:47" ht="10.5" customHeight="1">
      <c r="A139" s="75"/>
      <c r="B139" s="183" t="s">
        <v>54</v>
      </c>
      <c r="C139" s="1">
        <v>300</v>
      </c>
      <c r="E139" s="1">
        <f t="shared" si="32"/>
        <v>75</v>
      </c>
      <c r="F139" s="1">
        <f t="shared" si="33"/>
        <v>105</v>
      </c>
      <c r="H139" s="1">
        <f t="shared" si="36"/>
        <v>750</v>
      </c>
      <c r="I139" s="1">
        <f t="shared" si="36"/>
        <v>1050</v>
      </c>
      <c r="J139" s="32"/>
      <c r="AL139" s="75"/>
      <c r="AM139" s="33" t="s">
        <v>54</v>
      </c>
      <c r="AN139" s="31">
        <v>300</v>
      </c>
      <c r="AO139" s="31"/>
      <c r="AP139" s="140">
        <f t="shared" si="34"/>
        <v>75</v>
      </c>
      <c r="AQ139" s="31">
        <f t="shared" si="35"/>
        <v>105</v>
      </c>
      <c r="AR139" s="31"/>
      <c r="AS139" s="31">
        <f t="shared" si="37"/>
        <v>750</v>
      </c>
      <c r="AT139" s="31">
        <f t="shared" si="38"/>
        <v>1050</v>
      </c>
      <c r="AU139" s="32"/>
    </row>
    <row r="140" spans="1:47" ht="10.5" customHeight="1">
      <c r="A140" s="75"/>
      <c r="B140" s="183" t="s">
        <v>55</v>
      </c>
      <c r="C140" s="1">
        <v>180</v>
      </c>
      <c r="E140" s="1">
        <f t="shared" si="32"/>
        <v>45</v>
      </c>
      <c r="F140" s="1">
        <f t="shared" si="33"/>
        <v>62.99999999999999</v>
      </c>
      <c r="H140" s="1">
        <f t="shared" si="36"/>
        <v>450</v>
      </c>
      <c r="I140" s="1">
        <f t="shared" si="36"/>
        <v>629.9999999999999</v>
      </c>
      <c r="J140" s="32"/>
      <c r="AL140" s="75"/>
      <c r="AM140" s="33" t="s">
        <v>55</v>
      </c>
      <c r="AN140" s="31">
        <v>150</v>
      </c>
      <c r="AO140" s="31"/>
      <c r="AP140" s="140">
        <f t="shared" si="34"/>
        <v>37.5</v>
      </c>
      <c r="AQ140" s="31">
        <f t="shared" si="35"/>
        <v>52.5</v>
      </c>
      <c r="AR140" s="31"/>
      <c r="AS140" s="31">
        <f t="shared" si="37"/>
        <v>375</v>
      </c>
      <c r="AT140" s="31">
        <f t="shared" si="38"/>
        <v>525</v>
      </c>
      <c r="AU140" s="32"/>
    </row>
    <row r="141" spans="1:47" ht="10.5" customHeight="1">
      <c r="A141" s="75"/>
      <c r="B141" s="183" t="s">
        <v>62</v>
      </c>
      <c r="C141" s="1">
        <v>60</v>
      </c>
      <c r="E141" s="1">
        <f t="shared" si="32"/>
        <v>15</v>
      </c>
      <c r="F141" s="1">
        <f t="shared" si="33"/>
        <v>21</v>
      </c>
      <c r="H141" s="1">
        <f t="shared" si="36"/>
        <v>150</v>
      </c>
      <c r="I141" s="1">
        <f t="shared" si="36"/>
        <v>210</v>
      </c>
      <c r="J141" s="32"/>
      <c r="AL141" s="75"/>
      <c r="AM141" s="33" t="s">
        <v>62</v>
      </c>
      <c r="AN141" s="31">
        <v>50</v>
      </c>
      <c r="AO141" s="31"/>
      <c r="AP141" s="140">
        <f t="shared" si="34"/>
        <v>12.5</v>
      </c>
      <c r="AQ141" s="31">
        <f t="shared" si="35"/>
        <v>17.5</v>
      </c>
      <c r="AR141" s="31"/>
      <c r="AS141" s="31">
        <f t="shared" si="37"/>
        <v>125</v>
      </c>
      <c r="AT141" s="31">
        <f t="shared" si="38"/>
        <v>175</v>
      </c>
      <c r="AU141" s="32"/>
    </row>
    <row r="142" spans="1:47" ht="10.5" customHeight="1">
      <c r="A142" s="75"/>
      <c r="B142" s="183" t="s">
        <v>29</v>
      </c>
      <c r="C142" s="1">
        <v>11.8</v>
      </c>
      <c r="E142" s="1">
        <f t="shared" si="32"/>
        <v>2.95</v>
      </c>
      <c r="F142" s="1">
        <f t="shared" si="33"/>
        <v>4.13</v>
      </c>
      <c r="H142" s="1">
        <f t="shared" si="36"/>
        <v>29.5</v>
      </c>
      <c r="I142" s="1">
        <f t="shared" si="36"/>
        <v>41.3</v>
      </c>
      <c r="J142" s="32"/>
      <c r="AL142" s="75"/>
      <c r="AM142" s="33" t="s">
        <v>29</v>
      </c>
      <c r="AN142" s="31">
        <v>9.8</v>
      </c>
      <c r="AO142" s="31"/>
      <c r="AP142" s="140">
        <f t="shared" si="34"/>
        <v>2.45</v>
      </c>
      <c r="AQ142" s="31">
        <f t="shared" si="35"/>
        <v>3.43</v>
      </c>
      <c r="AR142" s="31"/>
      <c r="AS142" s="31">
        <f t="shared" si="37"/>
        <v>24.5</v>
      </c>
      <c r="AT142" s="31">
        <f t="shared" si="38"/>
        <v>34.300000000000004</v>
      </c>
      <c r="AU142" s="32"/>
    </row>
    <row r="143" spans="1:47" ht="10.5" customHeight="1">
      <c r="A143" s="75"/>
      <c r="B143" s="183" t="s">
        <v>35</v>
      </c>
      <c r="C143" s="1">
        <v>10</v>
      </c>
      <c r="E143" s="1">
        <f t="shared" si="32"/>
        <v>2.5</v>
      </c>
      <c r="F143" s="1">
        <f t="shared" si="33"/>
        <v>3.5</v>
      </c>
      <c r="H143" s="1">
        <f t="shared" si="36"/>
        <v>25</v>
      </c>
      <c r="I143" s="1">
        <f t="shared" si="36"/>
        <v>35</v>
      </c>
      <c r="J143" s="32"/>
      <c r="AL143" s="75"/>
      <c r="AM143" s="33" t="s">
        <v>35</v>
      </c>
      <c r="AN143" s="31">
        <v>10</v>
      </c>
      <c r="AO143" s="31"/>
      <c r="AP143" s="140">
        <f t="shared" si="34"/>
        <v>2.5</v>
      </c>
      <c r="AQ143" s="31">
        <f t="shared" si="35"/>
        <v>3.5</v>
      </c>
      <c r="AR143" s="31"/>
      <c r="AS143" s="31">
        <f t="shared" si="37"/>
        <v>25</v>
      </c>
      <c r="AT143" s="31">
        <f t="shared" si="38"/>
        <v>35</v>
      </c>
      <c r="AU143" s="32"/>
    </row>
    <row r="144" spans="1:47" ht="10.5" customHeight="1">
      <c r="A144" s="75"/>
      <c r="B144" s="183" t="s">
        <v>30</v>
      </c>
      <c r="C144" s="1">
        <v>35</v>
      </c>
      <c r="E144" s="1">
        <f t="shared" si="32"/>
        <v>8.75</v>
      </c>
      <c r="F144" s="1">
        <f t="shared" si="33"/>
        <v>12.25</v>
      </c>
      <c r="H144" s="1">
        <f t="shared" si="36"/>
        <v>87.5</v>
      </c>
      <c r="I144" s="1">
        <f t="shared" si="36"/>
        <v>122.5</v>
      </c>
      <c r="J144" s="32"/>
      <c r="AL144" s="75"/>
      <c r="AM144" s="33" t="s">
        <v>30</v>
      </c>
      <c r="AN144" s="31">
        <v>30</v>
      </c>
      <c r="AO144" s="31"/>
      <c r="AP144" s="140">
        <f t="shared" si="34"/>
        <v>7.5</v>
      </c>
      <c r="AQ144" s="31">
        <f t="shared" si="35"/>
        <v>10.5</v>
      </c>
      <c r="AR144" s="31"/>
      <c r="AS144" s="31">
        <f t="shared" si="37"/>
        <v>75</v>
      </c>
      <c r="AT144" s="31">
        <f t="shared" si="38"/>
        <v>105</v>
      </c>
      <c r="AU144" s="32"/>
    </row>
    <row r="145" spans="1:47" ht="10.5" customHeight="1">
      <c r="A145" s="75"/>
      <c r="B145" s="183" t="s">
        <v>31</v>
      </c>
      <c r="C145" s="1">
        <v>18</v>
      </c>
      <c r="E145" s="1">
        <f t="shared" si="32"/>
        <v>4.5</v>
      </c>
      <c r="F145" s="1">
        <f t="shared" si="33"/>
        <v>6.3</v>
      </c>
      <c r="H145" s="1">
        <f t="shared" si="36"/>
        <v>45</v>
      </c>
      <c r="I145" s="1">
        <f t="shared" si="36"/>
        <v>63</v>
      </c>
      <c r="J145" s="32"/>
      <c r="AL145" s="75"/>
      <c r="AM145" s="33" t="s">
        <v>31</v>
      </c>
      <c r="AN145" s="31">
        <v>15</v>
      </c>
      <c r="AO145" s="31"/>
      <c r="AP145" s="140">
        <f t="shared" si="34"/>
        <v>3.75</v>
      </c>
      <c r="AQ145" s="31">
        <f t="shared" si="35"/>
        <v>5.25</v>
      </c>
      <c r="AR145" s="31"/>
      <c r="AS145" s="31">
        <f t="shared" si="37"/>
        <v>37.5</v>
      </c>
      <c r="AT145" s="31">
        <f t="shared" si="38"/>
        <v>52.5</v>
      </c>
      <c r="AU145" s="32"/>
    </row>
    <row r="146" spans="1:47" ht="10.5" customHeight="1">
      <c r="A146" s="75"/>
      <c r="B146" s="183" t="s">
        <v>65</v>
      </c>
      <c r="C146" s="1">
        <v>40</v>
      </c>
      <c r="E146" s="1">
        <f t="shared" si="32"/>
        <v>10</v>
      </c>
      <c r="F146" s="1">
        <f t="shared" si="33"/>
        <v>14</v>
      </c>
      <c r="H146" s="1">
        <f t="shared" si="36"/>
        <v>100</v>
      </c>
      <c r="I146" s="1">
        <f t="shared" si="36"/>
        <v>140</v>
      </c>
      <c r="J146" s="32"/>
      <c r="AL146" s="75"/>
      <c r="AM146" s="33" t="s">
        <v>65</v>
      </c>
      <c r="AN146" s="31">
        <v>40</v>
      </c>
      <c r="AO146" s="31"/>
      <c r="AP146" s="140">
        <f t="shared" si="34"/>
        <v>10</v>
      </c>
      <c r="AQ146" s="31">
        <f t="shared" si="35"/>
        <v>14</v>
      </c>
      <c r="AR146" s="31"/>
      <c r="AS146" s="31">
        <f t="shared" si="37"/>
        <v>100</v>
      </c>
      <c r="AT146" s="31">
        <f t="shared" si="38"/>
        <v>140</v>
      </c>
      <c r="AU146" s="32"/>
    </row>
    <row r="147" spans="1:47" ht="10.5" customHeight="1">
      <c r="A147" s="75"/>
      <c r="B147" s="183" t="s">
        <v>32</v>
      </c>
      <c r="C147" s="1">
        <v>45</v>
      </c>
      <c r="E147" s="1">
        <f t="shared" si="32"/>
        <v>11.25</v>
      </c>
      <c r="F147" s="1">
        <f t="shared" si="33"/>
        <v>15.749999999999998</v>
      </c>
      <c r="H147" s="1">
        <f t="shared" si="36"/>
        <v>112.5</v>
      </c>
      <c r="I147" s="1">
        <f t="shared" si="36"/>
        <v>157.49999999999997</v>
      </c>
      <c r="J147" s="32"/>
      <c r="AL147" s="75"/>
      <c r="AM147" s="33" t="s">
        <v>32</v>
      </c>
      <c r="AN147" s="31">
        <v>40</v>
      </c>
      <c r="AO147" s="31"/>
      <c r="AP147" s="140">
        <f t="shared" si="34"/>
        <v>10</v>
      </c>
      <c r="AQ147" s="31">
        <f t="shared" si="35"/>
        <v>14</v>
      </c>
      <c r="AR147" s="31"/>
      <c r="AS147" s="31">
        <f t="shared" si="37"/>
        <v>100</v>
      </c>
      <c r="AT147" s="31">
        <f t="shared" si="38"/>
        <v>140</v>
      </c>
      <c r="AU147" s="32"/>
    </row>
    <row r="148" spans="1:47" ht="10.5" customHeight="1">
      <c r="A148" s="75"/>
      <c r="B148" s="183" t="s">
        <v>33</v>
      </c>
      <c r="C148" s="1">
        <v>15</v>
      </c>
      <c r="E148" s="1">
        <f t="shared" si="32"/>
        <v>3.75</v>
      </c>
      <c r="F148" s="1">
        <f t="shared" si="33"/>
        <v>5.25</v>
      </c>
      <c r="H148" s="1">
        <f t="shared" si="36"/>
        <v>37.5</v>
      </c>
      <c r="I148" s="1">
        <f t="shared" si="36"/>
        <v>52.5</v>
      </c>
      <c r="J148" s="32"/>
      <c r="AL148" s="75"/>
      <c r="AM148" s="33" t="s">
        <v>33</v>
      </c>
      <c r="AN148" s="31">
        <v>10</v>
      </c>
      <c r="AO148" s="31"/>
      <c r="AP148" s="140">
        <f t="shared" si="34"/>
        <v>2.5</v>
      </c>
      <c r="AQ148" s="31">
        <f t="shared" si="35"/>
        <v>3.5</v>
      </c>
      <c r="AR148" s="31"/>
      <c r="AS148" s="31">
        <f t="shared" si="37"/>
        <v>25</v>
      </c>
      <c r="AT148" s="31">
        <f t="shared" si="38"/>
        <v>35</v>
      </c>
      <c r="AU148" s="32"/>
    </row>
    <row r="149" spans="1:47" ht="10.5" customHeight="1">
      <c r="A149" s="75"/>
      <c r="B149" s="183" t="s">
        <v>16</v>
      </c>
      <c r="C149" s="1">
        <v>0.4</v>
      </c>
      <c r="E149" s="1">
        <f t="shared" si="32"/>
        <v>0.1</v>
      </c>
      <c r="F149" s="1">
        <f t="shared" si="33"/>
        <v>0.13999999999999999</v>
      </c>
      <c r="H149" s="1">
        <f t="shared" si="36"/>
        <v>1</v>
      </c>
      <c r="I149" s="1">
        <f t="shared" si="36"/>
        <v>1.4</v>
      </c>
      <c r="J149" s="32"/>
      <c r="AL149" s="75"/>
      <c r="AM149" s="33" t="s">
        <v>16</v>
      </c>
      <c r="AN149" s="31">
        <v>0.4</v>
      </c>
      <c r="AO149" s="31"/>
      <c r="AP149" s="140">
        <f t="shared" si="34"/>
        <v>0.1</v>
      </c>
      <c r="AQ149" s="31">
        <f t="shared" si="35"/>
        <v>0.13999999999999999</v>
      </c>
      <c r="AR149" s="31"/>
      <c r="AS149" s="31">
        <f t="shared" si="37"/>
        <v>1</v>
      </c>
      <c r="AT149" s="31">
        <f t="shared" si="38"/>
        <v>1.4</v>
      </c>
      <c r="AU149" s="32"/>
    </row>
    <row r="150" spans="1:47" ht="10.5" customHeight="1">
      <c r="A150" s="75"/>
      <c r="B150" s="183" t="s">
        <v>56</v>
      </c>
      <c r="C150" s="1">
        <v>1.2</v>
      </c>
      <c r="E150" s="1">
        <f t="shared" si="32"/>
        <v>0.3</v>
      </c>
      <c r="F150" s="1">
        <f t="shared" si="33"/>
        <v>0.42</v>
      </c>
      <c r="H150" s="1">
        <f t="shared" si="36"/>
        <v>3</v>
      </c>
      <c r="I150" s="1">
        <f t="shared" si="36"/>
        <v>4.2</v>
      </c>
      <c r="J150" s="32"/>
      <c r="AL150" s="75"/>
      <c r="AM150" s="33" t="s">
        <v>56</v>
      </c>
      <c r="AN150" s="31">
        <v>1.2</v>
      </c>
      <c r="AO150" s="31"/>
      <c r="AP150" s="140">
        <f t="shared" si="34"/>
        <v>0.3</v>
      </c>
      <c r="AQ150" s="31">
        <f t="shared" si="35"/>
        <v>0.42</v>
      </c>
      <c r="AR150" s="31"/>
      <c r="AS150" s="31">
        <f t="shared" si="37"/>
        <v>3</v>
      </c>
      <c r="AT150" s="31">
        <f t="shared" si="38"/>
        <v>4.2</v>
      </c>
      <c r="AU150" s="32"/>
    </row>
    <row r="151" spans="1:47" ht="10.5" customHeight="1">
      <c r="A151" s="75"/>
      <c r="B151" s="184" t="s">
        <v>102</v>
      </c>
      <c r="C151" s="157">
        <v>2</v>
      </c>
      <c r="D151" s="157"/>
      <c r="E151" s="157">
        <f t="shared" si="32"/>
        <v>0.5</v>
      </c>
      <c r="F151" s="157">
        <f t="shared" si="33"/>
        <v>0.7</v>
      </c>
      <c r="G151" s="157"/>
      <c r="H151" s="157">
        <f t="shared" si="36"/>
        <v>5</v>
      </c>
      <c r="I151" s="157">
        <f t="shared" si="36"/>
        <v>7</v>
      </c>
      <c r="J151" s="32"/>
      <c r="AL151" s="75"/>
      <c r="AM151" s="38" t="s">
        <v>102</v>
      </c>
      <c r="AN151" s="37">
        <v>2</v>
      </c>
      <c r="AO151" s="37"/>
      <c r="AP151" s="141">
        <f t="shared" si="34"/>
        <v>0.5</v>
      </c>
      <c r="AQ151" s="37">
        <f t="shared" si="35"/>
        <v>0.7</v>
      </c>
      <c r="AR151" s="37"/>
      <c r="AS151" s="37">
        <f t="shared" si="37"/>
        <v>5</v>
      </c>
      <c r="AT151" s="37">
        <f t="shared" si="38"/>
        <v>7</v>
      </c>
      <c r="AU151" s="32"/>
    </row>
    <row r="152" spans="1:47" ht="10.5" customHeight="1">
      <c r="A152" s="75"/>
      <c r="B152" s="183" t="s">
        <v>34</v>
      </c>
      <c r="C152" s="1">
        <v>2</v>
      </c>
      <c r="E152" s="1">
        <f t="shared" si="32"/>
        <v>0.5</v>
      </c>
      <c r="F152" s="1">
        <f t="shared" si="33"/>
        <v>0.7</v>
      </c>
      <c r="H152" s="1">
        <f t="shared" si="36"/>
        <v>5</v>
      </c>
      <c r="I152" s="1">
        <f t="shared" si="36"/>
        <v>7</v>
      </c>
      <c r="J152" s="32"/>
      <c r="AL152" s="75"/>
      <c r="AM152" s="33" t="s">
        <v>34</v>
      </c>
      <c r="AN152" s="31">
        <v>1</v>
      </c>
      <c r="AO152" s="31"/>
      <c r="AP152" s="140">
        <f t="shared" si="34"/>
        <v>0.25</v>
      </c>
      <c r="AQ152" s="31">
        <f t="shared" si="35"/>
        <v>0.35</v>
      </c>
      <c r="AR152" s="31"/>
      <c r="AS152" s="31">
        <f t="shared" si="37"/>
        <v>2.5</v>
      </c>
      <c r="AT152" s="31">
        <f t="shared" si="38"/>
        <v>3.5</v>
      </c>
      <c r="AU152" s="32"/>
    </row>
    <row r="153" spans="1:70" ht="10.5" customHeight="1">
      <c r="A153" s="78"/>
      <c r="B153" s="183" t="s">
        <v>58</v>
      </c>
      <c r="C153" s="1">
        <v>7</v>
      </c>
      <c r="E153" s="1">
        <f t="shared" si="32"/>
        <v>1.75</v>
      </c>
      <c r="F153" s="1">
        <f t="shared" si="33"/>
        <v>2.4499999999999997</v>
      </c>
      <c r="H153" s="1">
        <f t="shared" si="36"/>
        <v>17.5</v>
      </c>
      <c r="I153" s="1">
        <f t="shared" si="36"/>
        <v>24.499999999999996</v>
      </c>
      <c r="J153" s="34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L153" s="78"/>
      <c r="AM153" s="33" t="s">
        <v>58</v>
      </c>
      <c r="AN153" s="31">
        <v>3</v>
      </c>
      <c r="AO153" s="31"/>
      <c r="AP153" s="140">
        <f t="shared" si="34"/>
        <v>0.75</v>
      </c>
      <c r="AQ153" s="31">
        <f t="shared" si="35"/>
        <v>1.0499999999999998</v>
      </c>
      <c r="AR153" s="31"/>
      <c r="AS153" s="31">
        <f t="shared" si="37"/>
        <v>7.5</v>
      </c>
      <c r="AT153" s="31">
        <f t="shared" si="38"/>
        <v>10.499999999999998</v>
      </c>
      <c r="AU153" s="34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</row>
    <row r="154" spans="1:47" ht="10.5" customHeight="1">
      <c r="A154" s="75"/>
      <c r="B154" s="157"/>
      <c r="C154" s="157"/>
      <c r="D154" s="157"/>
      <c r="E154" s="157"/>
      <c r="F154" s="157"/>
      <c r="G154" s="157"/>
      <c r="H154" s="157"/>
      <c r="I154" s="157"/>
      <c r="J154" s="32"/>
      <c r="AL154" s="75"/>
      <c r="AM154" s="37"/>
      <c r="AN154" s="37"/>
      <c r="AO154" s="37"/>
      <c r="AP154" s="141"/>
      <c r="AQ154" s="37"/>
      <c r="AR154" s="37"/>
      <c r="AS154" s="37"/>
      <c r="AT154" s="37"/>
      <c r="AU154" s="32"/>
    </row>
    <row r="155" spans="1:46" s="35" customFormat="1" ht="10.5" customHeight="1">
      <c r="A155" s="79"/>
      <c r="B155" s="31"/>
      <c r="C155" s="31"/>
      <c r="D155" s="31"/>
      <c r="E155" s="31"/>
      <c r="F155" s="31"/>
      <c r="G155" s="31"/>
      <c r="H155" s="31"/>
      <c r="I155" s="31"/>
      <c r="AL155" s="79"/>
      <c r="AM155" s="31"/>
      <c r="AN155" s="31"/>
      <c r="AO155" s="31"/>
      <c r="AP155" s="31"/>
      <c r="AQ155" s="31"/>
      <c r="AR155" s="31"/>
      <c r="AS155" s="31"/>
      <c r="AT155" s="31"/>
    </row>
    <row r="156" spans="1:38" s="35" customFormat="1" ht="10.5" customHeight="1">
      <c r="A156" s="79"/>
      <c r="AL156" s="79"/>
    </row>
    <row r="157" spans="1:38" s="35" customFormat="1" ht="10.5" customHeight="1">
      <c r="A157" s="79"/>
      <c r="AL157" s="79"/>
    </row>
    <row r="158" spans="1:97" s="36" customFormat="1" ht="10.5" customHeight="1">
      <c r="A158" s="80"/>
      <c r="AH158" s="35"/>
      <c r="AI158" s="35"/>
      <c r="AJ158" s="35"/>
      <c r="AK158" s="35"/>
      <c r="AL158" s="80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</row>
    <row r="159" spans="1:97" s="36" customFormat="1" ht="10.5" customHeight="1">
      <c r="A159" s="80"/>
      <c r="AH159" s="35"/>
      <c r="AI159" s="35"/>
      <c r="AJ159" s="35"/>
      <c r="AK159" s="35"/>
      <c r="AL159" s="80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</row>
    <row r="160" spans="1:38" s="35" customFormat="1" ht="10.5" customHeight="1">
      <c r="A160" s="79"/>
      <c r="AL160" s="79"/>
    </row>
    <row r="161" spans="1:38" s="35" customFormat="1" ht="10.5" customHeight="1">
      <c r="A161" s="79"/>
      <c r="AL161" s="79"/>
    </row>
    <row r="162" spans="1:38" s="35" customFormat="1" ht="10.5" customHeight="1">
      <c r="A162" s="79"/>
      <c r="AL162" s="79"/>
    </row>
    <row r="163" spans="1:38" s="35" customFormat="1" ht="10.5" customHeight="1">
      <c r="A163" s="79"/>
      <c r="AL163" s="79"/>
    </row>
    <row r="164" spans="1:38" s="35" customFormat="1" ht="10.5" customHeight="1">
      <c r="A164" s="79"/>
      <c r="AL164" s="79"/>
    </row>
    <row r="165" spans="1:38" s="35" customFormat="1" ht="10.5" customHeight="1">
      <c r="A165" s="79"/>
      <c r="AL165" s="79"/>
    </row>
    <row r="166" spans="1:38" s="35" customFormat="1" ht="10.5" customHeight="1">
      <c r="A166" s="79"/>
      <c r="AL166" s="79"/>
    </row>
    <row r="167" spans="1:38" s="35" customFormat="1" ht="10.5" customHeight="1">
      <c r="A167" s="79"/>
      <c r="AL167" s="79"/>
    </row>
    <row r="168" spans="1:38" s="35" customFormat="1" ht="10.5" customHeight="1">
      <c r="A168" s="79"/>
      <c r="AL168" s="79"/>
    </row>
    <row r="169" spans="1:38" s="35" customFormat="1" ht="10.5" customHeight="1">
      <c r="A169" s="79"/>
      <c r="AL169" s="79"/>
    </row>
    <row r="170" spans="1:38" s="35" customFormat="1" ht="10.5" customHeight="1">
      <c r="A170" s="79"/>
      <c r="AL170" s="79"/>
    </row>
    <row r="171" spans="1:38" s="35" customFormat="1" ht="10.5" customHeight="1">
      <c r="A171" s="79"/>
      <c r="AL171" s="79"/>
    </row>
    <row r="172" spans="1:38" s="35" customFormat="1" ht="10.5" customHeight="1">
      <c r="A172" s="79"/>
      <c r="AL172" s="79"/>
    </row>
    <row r="173" spans="1:38" s="35" customFormat="1" ht="10.5" customHeight="1">
      <c r="A173" s="79"/>
      <c r="AL173" s="79"/>
    </row>
    <row r="174" spans="1:38" s="35" customFormat="1" ht="10.5" customHeight="1">
      <c r="A174" s="79"/>
      <c r="AL174" s="79"/>
    </row>
    <row r="175" spans="1:38" s="35" customFormat="1" ht="10.5" customHeight="1">
      <c r="A175" s="79"/>
      <c r="AL175" s="79"/>
    </row>
    <row r="176" spans="1:38" s="35" customFormat="1" ht="10.5" customHeight="1">
      <c r="A176" s="79"/>
      <c r="AL176" s="79"/>
    </row>
    <row r="177" spans="1:38" s="35" customFormat="1" ht="10.5" customHeight="1">
      <c r="A177" s="79"/>
      <c r="AL177" s="79"/>
    </row>
    <row r="178" spans="1:38" s="35" customFormat="1" ht="10.5" customHeight="1">
      <c r="A178" s="79"/>
      <c r="AL178" s="79"/>
    </row>
    <row r="179" spans="1:38" s="35" customFormat="1" ht="10.5" customHeight="1">
      <c r="A179" s="79"/>
      <c r="AL179" s="79"/>
    </row>
    <row r="180" spans="1:38" s="35" customFormat="1" ht="10.5" customHeight="1">
      <c r="A180" s="79"/>
      <c r="AL180" s="79"/>
    </row>
    <row r="181" spans="1:38" s="35" customFormat="1" ht="10.5" customHeight="1">
      <c r="A181" s="79"/>
      <c r="AL181" s="79"/>
    </row>
    <row r="182" spans="1:38" s="35" customFormat="1" ht="10.5" customHeight="1">
      <c r="A182" s="79"/>
      <c r="AL182" s="79"/>
    </row>
    <row r="183" spans="1:38" s="35" customFormat="1" ht="10.5" customHeight="1">
      <c r="A183" s="79"/>
      <c r="AL183" s="79"/>
    </row>
    <row r="184" spans="1:38" s="35" customFormat="1" ht="10.5" customHeight="1">
      <c r="A184" s="79"/>
      <c r="AL184" s="79"/>
    </row>
    <row r="185" spans="1:38" s="35" customFormat="1" ht="10.5" customHeight="1">
      <c r="A185" s="79"/>
      <c r="AL185" s="79"/>
    </row>
    <row r="186" spans="1:38" s="35" customFormat="1" ht="10.5" customHeight="1">
      <c r="A186" s="79"/>
      <c r="AL186" s="79"/>
    </row>
    <row r="187" spans="1:38" s="35" customFormat="1" ht="10.5" customHeight="1">
      <c r="A187" s="79"/>
      <c r="AL187" s="79"/>
    </row>
    <row r="188" spans="1:38" s="35" customFormat="1" ht="10.5" customHeight="1">
      <c r="A188" s="79"/>
      <c r="AL188" s="79"/>
    </row>
    <row r="189" spans="1:38" s="35" customFormat="1" ht="10.5" customHeight="1">
      <c r="A189" s="79"/>
      <c r="AL189" s="79"/>
    </row>
    <row r="190" spans="1:38" s="35" customFormat="1" ht="10.5" customHeight="1">
      <c r="A190" s="79"/>
      <c r="AL190" s="79"/>
    </row>
    <row r="191" spans="1:38" s="35" customFormat="1" ht="10.5" customHeight="1">
      <c r="A191" s="79"/>
      <c r="AL191" s="79"/>
    </row>
    <row r="192" spans="1:38" s="35" customFormat="1" ht="10.5" customHeight="1">
      <c r="A192" s="79"/>
      <c r="AL192" s="79"/>
    </row>
    <row r="193" spans="1:38" s="35" customFormat="1" ht="10.5" customHeight="1">
      <c r="A193" s="79"/>
      <c r="AL193" s="79"/>
    </row>
    <row r="194" spans="1:38" s="35" customFormat="1" ht="10.5" customHeight="1">
      <c r="A194" s="79"/>
      <c r="AL194" s="79"/>
    </row>
    <row r="195" spans="1:38" s="35" customFormat="1" ht="10.5" customHeight="1">
      <c r="A195" s="79"/>
      <c r="AL195" s="79"/>
    </row>
    <row r="196" spans="1:38" s="35" customFormat="1" ht="10.5" customHeight="1">
      <c r="A196" s="79"/>
      <c r="AL196" s="79"/>
    </row>
    <row r="197" spans="1:38" s="35" customFormat="1" ht="10.5" customHeight="1">
      <c r="A197" s="79"/>
      <c r="AL197" s="79"/>
    </row>
    <row r="198" spans="1:38" s="35" customFormat="1" ht="10.5" customHeight="1">
      <c r="A198" s="79"/>
      <c r="AL198" s="79"/>
    </row>
    <row r="199" spans="1:38" s="35" customFormat="1" ht="10.5" customHeight="1">
      <c r="A199" s="79"/>
      <c r="AL199" s="79"/>
    </row>
    <row r="200" spans="1:38" s="35" customFormat="1" ht="10.5" customHeight="1">
      <c r="A200" s="79"/>
      <c r="AL200" s="79"/>
    </row>
    <row r="201" spans="1:38" s="35" customFormat="1" ht="10.5" customHeight="1">
      <c r="A201" s="79"/>
      <c r="AL201" s="79"/>
    </row>
    <row r="202" spans="1:38" s="35" customFormat="1" ht="10.5" customHeight="1">
      <c r="A202" s="79"/>
      <c r="AL202" s="79"/>
    </row>
    <row r="203" spans="1:38" s="35" customFormat="1" ht="10.5" customHeight="1">
      <c r="A203" s="79"/>
      <c r="AL203" s="79"/>
    </row>
    <row r="204" spans="1:38" s="35" customFormat="1" ht="10.5" customHeight="1">
      <c r="A204" s="79"/>
      <c r="AL204" s="79"/>
    </row>
    <row r="205" spans="1:38" s="35" customFormat="1" ht="10.5" customHeight="1">
      <c r="A205" s="79"/>
      <c r="AL205" s="79"/>
    </row>
    <row r="206" spans="1:38" s="35" customFormat="1" ht="10.5" customHeight="1">
      <c r="A206" s="79"/>
      <c r="AL206" s="79"/>
    </row>
    <row r="207" spans="1:38" s="35" customFormat="1" ht="10.5" customHeight="1">
      <c r="A207" s="79"/>
      <c r="AL207" s="79"/>
    </row>
    <row r="208" spans="1:38" s="35" customFormat="1" ht="10.5" customHeight="1">
      <c r="A208" s="79"/>
      <c r="AL208" s="79"/>
    </row>
    <row r="209" spans="1:38" s="35" customFormat="1" ht="10.5" customHeight="1">
      <c r="A209" s="79"/>
      <c r="AL209" s="79"/>
    </row>
    <row r="210" spans="1:38" s="35" customFormat="1" ht="10.5" customHeight="1">
      <c r="A210" s="79"/>
      <c r="AL210" s="79"/>
    </row>
    <row r="211" spans="1:38" s="35" customFormat="1" ht="10.5" customHeight="1">
      <c r="A211" s="79"/>
      <c r="AL211" s="79"/>
    </row>
    <row r="212" spans="1:38" s="35" customFormat="1" ht="10.5" customHeight="1">
      <c r="A212" s="79"/>
      <c r="AL212" s="79"/>
    </row>
    <row r="213" spans="1:38" s="35" customFormat="1" ht="10.5" customHeight="1">
      <c r="A213" s="79"/>
      <c r="AL213" s="79"/>
    </row>
    <row r="214" spans="1:38" s="35" customFormat="1" ht="10.5" customHeight="1">
      <c r="A214" s="79"/>
      <c r="AL214" s="79"/>
    </row>
    <row r="215" spans="1:38" s="35" customFormat="1" ht="10.5" customHeight="1">
      <c r="A215" s="79"/>
      <c r="AL215" s="79"/>
    </row>
    <row r="216" spans="1:38" s="35" customFormat="1" ht="10.5" customHeight="1">
      <c r="A216" s="79"/>
      <c r="AL216" s="79"/>
    </row>
    <row r="217" spans="1:38" s="35" customFormat="1" ht="10.5" customHeight="1">
      <c r="A217" s="79"/>
      <c r="AL217" s="79"/>
    </row>
    <row r="218" spans="1:38" s="35" customFormat="1" ht="10.5" customHeight="1">
      <c r="A218" s="79"/>
      <c r="AL218" s="79"/>
    </row>
    <row r="219" spans="1:38" s="35" customFormat="1" ht="10.5" customHeight="1">
      <c r="A219" s="79"/>
      <c r="AL219" s="79"/>
    </row>
    <row r="220" spans="1:38" s="35" customFormat="1" ht="10.5" customHeight="1">
      <c r="A220" s="79"/>
      <c r="AL220" s="79"/>
    </row>
    <row r="221" spans="1:38" s="35" customFormat="1" ht="10.5" customHeight="1">
      <c r="A221" s="79"/>
      <c r="AL221" s="79"/>
    </row>
    <row r="222" spans="1:38" s="35" customFormat="1" ht="10.5" customHeight="1">
      <c r="A222" s="79"/>
      <c r="AL222" s="79"/>
    </row>
    <row r="223" spans="1:38" s="35" customFormat="1" ht="10.5" customHeight="1">
      <c r="A223" s="79"/>
      <c r="AL223" s="79"/>
    </row>
    <row r="224" spans="1:38" s="35" customFormat="1" ht="10.5" customHeight="1">
      <c r="A224" s="79"/>
      <c r="AL224" s="79"/>
    </row>
    <row r="225" spans="1:38" s="35" customFormat="1" ht="10.5" customHeight="1">
      <c r="A225" s="79"/>
      <c r="AL225" s="79"/>
    </row>
    <row r="226" spans="1:38" s="35" customFormat="1" ht="10.5" customHeight="1">
      <c r="A226" s="79"/>
      <c r="AL226" s="79"/>
    </row>
    <row r="227" spans="1:38" s="35" customFormat="1" ht="10.5" customHeight="1">
      <c r="A227" s="79"/>
      <c r="AL227" s="79"/>
    </row>
    <row r="228" spans="1:38" s="35" customFormat="1" ht="10.5" customHeight="1">
      <c r="A228" s="79"/>
      <c r="AL228" s="79"/>
    </row>
    <row r="229" spans="1:38" s="35" customFormat="1" ht="10.5" customHeight="1">
      <c r="A229" s="79"/>
      <c r="AL229" s="79"/>
    </row>
    <row r="230" spans="1:38" s="35" customFormat="1" ht="10.5" customHeight="1">
      <c r="A230" s="79"/>
      <c r="AL230" s="79"/>
    </row>
    <row r="231" spans="1:38" s="35" customFormat="1" ht="10.5" customHeight="1">
      <c r="A231" s="79"/>
      <c r="AL231" s="79"/>
    </row>
    <row r="232" spans="1:38" s="35" customFormat="1" ht="10.5" customHeight="1">
      <c r="A232" s="79"/>
      <c r="AL232" s="79"/>
    </row>
    <row r="233" spans="1:38" s="35" customFormat="1" ht="10.5" customHeight="1">
      <c r="A233" s="79"/>
      <c r="AL233" s="79"/>
    </row>
    <row r="234" spans="1:38" s="35" customFormat="1" ht="10.5" customHeight="1">
      <c r="A234" s="79"/>
      <c r="AL234" s="79"/>
    </row>
    <row r="235" spans="1:38" s="35" customFormat="1" ht="10.5" customHeight="1">
      <c r="A235" s="79"/>
      <c r="AL235" s="79"/>
    </row>
    <row r="236" spans="1:38" s="35" customFormat="1" ht="10.5" customHeight="1">
      <c r="A236" s="79"/>
      <c r="AL236" s="79"/>
    </row>
    <row r="237" spans="1:38" s="35" customFormat="1" ht="10.5" customHeight="1">
      <c r="A237" s="79"/>
      <c r="AL237" s="79"/>
    </row>
    <row r="238" spans="1:38" s="35" customFormat="1" ht="10.5" customHeight="1">
      <c r="A238" s="79"/>
      <c r="AL238" s="79"/>
    </row>
    <row r="239" spans="1:38" s="35" customFormat="1" ht="10.5" customHeight="1">
      <c r="A239" s="79"/>
      <c r="AL239" s="79"/>
    </row>
    <row r="240" spans="1:38" s="35" customFormat="1" ht="10.5" customHeight="1">
      <c r="A240" s="79"/>
      <c r="AL240" s="79"/>
    </row>
    <row r="241" spans="1:38" s="35" customFormat="1" ht="10.5" customHeight="1">
      <c r="A241" s="79"/>
      <c r="AL241" s="79"/>
    </row>
    <row r="242" spans="1:38" s="35" customFormat="1" ht="10.5" customHeight="1">
      <c r="A242" s="79"/>
      <c r="AL242" s="79"/>
    </row>
    <row r="243" spans="1:38" s="35" customFormat="1" ht="10.5" customHeight="1">
      <c r="A243" s="79"/>
      <c r="AL243" s="79"/>
    </row>
    <row r="244" spans="1:38" s="35" customFormat="1" ht="10.5" customHeight="1">
      <c r="A244" s="79"/>
      <c r="AL244" s="79"/>
    </row>
    <row r="245" spans="1:38" s="35" customFormat="1" ht="10.5" customHeight="1">
      <c r="A245" s="79"/>
      <c r="AL245" s="79"/>
    </row>
    <row r="246" spans="1:38" s="35" customFormat="1" ht="10.5" customHeight="1">
      <c r="A246" s="79"/>
      <c r="AL246" s="79"/>
    </row>
    <row r="247" spans="1:38" s="35" customFormat="1" ht="10.5" customHeight="1">
      <c r="A247" s="79"/>
      <c r="AL247" s="79"/>
    </row>
    <row r="248" spans="1:38" s="35" customFormat="1" ht="10.5" customHeight="1">
      <c r="A248" s="79"/>
      <c r="AL248" s="79"/>
    </row>
    <row r="249" spans="1:38" s="35" customFormat="1" ht="10.5" customHeight="1">
      <c r="A249" s="79"/>
      <c r="AL249" s="79"/>
    </row>
    <row r="250" spans="1:38" s="35" customFormat="1" ht="10.5" customHeight="1">
      <c r="A250" s="79"/>
      <c r="AL250" s="79"/>
    </row>
    <row r="251" spans="1:38" s="35" customFormat="1" ht="10.5" customHeight="1">
      <c r="A251" s="79"/>
      <c r="AL251" s="79"/>
    </row>
    <row r="252" spans="1:38" s="35" customFormat="1" ht="10.5" customHeight="1">
      <c r="A252" s="79"/>
      <c r="AL252" s="79"/>
    </row>
    <row r="253" spans="1:38" s="35" customFormat="1" ht="10.5" customHeight="1">
      <c r="A253" s="79"/>
      <c r="AL253" s="79"/>
    </row>
    <row r="254" spans="1:38" s="35" customFormat="1" ht="10.5" customHeight="1">
      <c r="A254" s="79"/>
      <c r="AL254" s="79"/>
    </row>
    <row r="255" spans="1:38" s="35" customFormat="1" ht="10.5" customHeight="1">
      <c r="A255" s="79"/>
      <c r="AL255" s="79"/>
    </row>
    <row r="256" spans="1:38" s="35" customFormat="1" ht="10.5" customHeight="1">
      <c r="A256" s="79"/>
      <c r="AL256" s="79"/>
    </row>
    <row r="257" spans="1:38" s="35" customFormat="1" ht="10.5" customHeight="1">
      <c r="A257" s="79"/>
      <c r="AL257" s="79"/>
    </row>
    <row r="258" spans="1:38" s="35" customFormat="1" ht="10.5" customHeight="1">
      <c r="A258" s="79"/>
      <c r="AL258" s="79"/>
    </row>
    <row r="259" spans="1:38" s="35" customFormat="1" ht="10.5" customHeight="1">
      <c r="A259" s="79"/>
      <c r="AL259" s="79"/>
    </row>
    <row r="260" spans="1:38" s="35" customFormat="1" ht="10.5" customHeight="1">
      <c r="A260" s="79"/>
      <c r="AL260" s="79"/>
    </row>
    <row r="261" spans="1:38" s="35" customFormat="1" ht="10.5" customHeight="1">
      <c r="A261" s="79"/>
      <c r="AL261" s="79"/>
    </row>
    <row r="262" spans="1:38" s="35" customFormat="1" ht="10.5" customHeight="1">
      <c r="A262" s="79"/>
      <c r="AL262" s="79"/>
    </row>
    <row r="263" spans="1:38" s="35" customFormat="1" ht="10.5" customHeight="1">
      <c r="A263" s="79"/>
      <c r="AL263" s="79"/>
    </row>
    <row r="264" spans="1:38" s="35" customFormat="1" ht="10.5" customHeight="1">
      <c r="A264" s="79"/>
      <c r="AL264" s="79"/>
    </row>
    <row r="265" spans="1:38" s="35" customFormat="1" ht="10.5" customHeight="1">
      <c r="A265" s="79"/>
      <c r="AL265" s="79"/>
    </row>
    <row r="266" spans="1:38" s="35" customFormat="1" ht="10.5" customHeight="1">
      <c r="A266" s="79"/>
      <c r="AL266" s="79"/>
    </row>
    <row r="267" spans="1:38" s="35" customFormat="1" ht="10.5" customHeight="1">
      <c r="A267" s="79"/>
      <c r="AL267" s="79"/>
    </row>
    <row r="268" spans="1:38" s="35" customFormat="1" ht="10.5" customHeight="1">
      <c r="A268" s="79"/>
      <c r="AL268" s="79"/>
    </row>
    <row r="269" spans="1:38" s="35" customFormat="1" ht="10.5" customHeight="1">
      <c r="A269" s="79"/>
      <c r="AL269" s="79"/>
    </row>
    <row r="270" spans="1:38" s="35" customFormat="1" ht="10.5" customHeight="1">
      <c r="A270" s="79"/>
      <c r="AL270" s="79"/>
    </row>
    <row r="271" spans="1:38" s="35" customFormat="1" ht="10.5" customHeight="1">
      <c r="A271" s="79"/>
      <c r="AL271" s="79"/>
    </row>
    <row r="272" spans="1:38" s="35" customFormat="1" ht="10.5" customHeight="1">
      <c r="A272" s="79"/>
      <c r="AL272" s="79"/>
    </row>
    <row r="273" spans="1:38" s="35" customFormat="1" ht="10.5" customHeight="1">
      <c r="A273" s="79"/>
      <c r="AL273" s="79"/>
    </row>
    <row r="274" spans="1:38" s="35" customFormat="1" ht="10.5" customHeight="1">
      <c r="A274" s="79"/>
      <c r="AL274" s="79"/>
    </row>
    <row r="275" spans="1:38" s="35" customFormat="1" ht="10.5" customHeight="1">
      <c r="A275" s="79"/>
      <c r="AL275" s="79"/>
    </row>
    <row r="276" spans="1:38" s="35" customFormat="1" ht="10.5" customHeight="1">
      <c r="A276" s="79"/>
      <c r="AL276" s="79"/>
    </row>
    <row r="277" spans="1:38" s="35" customFormat="1" ht="10.5" customHeight="1">
      <c r="A277" s="79"/>
      <c r="AL277" s="79"/>
    </row>
    <row r="278" spans="1:38" s="35" customFormat="1" ht="10.5" customHeight="1">
      <c r="A278" s="79"/>
      <c r="AL278" s="79"/>
    </row>
    <row r="279" spans="1:38" s="35" customFormat="1" ht="10.5" customHeight="1">
      <c r="A279" s="79"/>
      <c r="AL279" s="79"/>
    </row>
    <row r="280" spans="1:38" s="35" customFormat="1" ht="10.5" customHeight="1">
      <c r="A280" s="79"/>
      <c r="AL280" s="79"/>
    </row>
    <row r="281" spans="1:38" s="35" customFormat="1" ht="10.5" customHeight="1">
      <c r="A281" s="79"/>
      <c r="AL281" s="79"/>
    </row>
    <row r="282" spans="1:38" s="35" customFormat="1" ht="10.5" customHeight="1">
      <c r="A282" s="79"/>
      <c r="AL282" s="79"/>
    </row>
    <row r="283" spans="1:38" s="35" customFormat="1" ht="10.5" customHeight="1">
      <c r="A283" s="79"/>
      <c r="AL283" s="79"/>
    </row>
    <row r="284" spans="1:38" s="35" customFormat="1" ht="10.5" customHeight="1">
      <c r="A284" s="79"/>
      <c r="AL284" s="79"/>
    </row>
    <row r="285" spans="1:38" s="35" customFormat="1" ht="10.5" customHeight="1">
      <c r="A285" s="79"/>
      <c r="AL285" s="79"/>
    </row>
    <row r="286" spans="1:38" s="35" customFormat="1" ht="10.5" customHeight="1">
      <c r="A286" s="79"/>
      <c r="AL286" s="79"/>
    </row>
    <row r="287" spans="1:38" s="35" customFormat="1" ht="10.5" customHeight="1">
      <c r="A287" s="79"/>
      <c r="AL287" s="79"/>
    </row>
    <row r="288" spans="1:38" s="35" customFormat="1" ht="10.5" customHeight="1">
      <c r="A288" s="79"/>
      <c r="AL288" s="79"/>
    </row>
    <row r="289" spans="1:38" s="35" customFormat="1" ht="10.5" customHeight="1">
      <c r="A289" s="79"/>
      <c r="AL289" s="79"/>
    </row>
    <row r="290" spans="1:38" s="35" customFormat="1" ht="10.5" customHeight="1">
      <c r="A290" s="79"/>
      <c r="AL290" s="79"/>
    </row>
    <row r="291" spans="1:38" s="35" customFormat="1" ht="10.5" customHeight="1">
      <c r="A291" s="79"/>
      <c r="AL291" s="79"/>
    </row>
    <row r="292" spans="1:38" s="35" customFormat="1" ht="10.5" customHeight="1">
      <c r="A292" s="79"/>
      <c r="AL292" s="79"/>
    </row>
    <row r="293" spans="1:38" s="35" customFormat="1" ht="10.5" customHeight="1">
      <c r="A293" s="79"/>
      <c r="AL293" s="79"/>
    </row>
    <row r="294" spans="1:38" s="35" customFormat="1" ht="10.5" customHeight="1">
      <c r="A294" s="79"/>
      <c r="AL294" s="79"/>
    </row>
    <row r="295" spans="1:38" s="35" customFormat="1" ht="10.5" customHeight="1">
      <c r="A295" s="79"/>
      <c r="AL295" s="79"/>
    </row>
    <row r="296" spans="1:38" s="35" customFormat="1" ht="10.5" customHeight="1">
      <c r="A296" s="79"/>
      <c r="AL296" s="79"/>
    </row>
    <row r="297" spans="1:38" s="35" customFormat="1" ht="10.5" customHeight="1">
      <c r="A297" s="79"/>
      <c r="AL297" s="79"/>
    </row>
    <row r="298" spans="1:38" s="35" customFormat="1" ht="10.5" customHeight="1">
      <c r="A298" s="79"/>
      <c r="AL298" s="79"/>
    </row>
    <row r="299" spans="1:38" s="35" customFormat="1" ht="10.5" customHeight="1">
      <c r="A299" s="79"/>
      <c r="AL299" s="79"/>
    </row>
    <row r="300" spans="1:38" s="35" customFormat="1" ht="10.5" customHeight="1">
      <c r="A300" s="79"/>
      <c r="AL300" s="79"/>
    </row>
    <row r="301" spans="1:38" s="35" customFormat="1" ht="10.5" customHeight="1">
      <c r="A301" s="79"/>
      <c r="AL301" s="79"/>
    </row>
    <row r="302" spans="1:38" s="35" customFormat="1" ht="10.5" customHeight="1">
      <c r="A302" s="79"/>
      <c r="AL302" s="79"/>
    </row>
    <row r="303" spans="1:38" s="35" customFormat="1" ht="10.5" customHeight="1">
      <c r="A303" s="79"/>
      <c r="AL303" s="79"/>
    </row>
    <row r="304" spans="1:38" s="35" customFormat="1" ht="10.5" customHeight="1">
      <c r="A304" s="79"/>
      <c r="AL304" s="79"/>
    </row>
    <row r="305" spans="1:38" s="35" customFormat="1" ht="10.5" customHeight="1">
      <c r="A305" s="79"/>
      <c r="AL305" s="79"/>
    </row>
    <row r="306" spans="1:38" s="35" customFormat="1" ht="10.5" customHeight="1">
      <c r="A306" s="79"/>
      <c r="AL306" s="79"/>
    </row>
    <row r="307" spans="1:38" s="35" customFormat="1" ht="10.5" customHeight="1">
      <c r="A307" s="79"/>
      <c r="AL307" s="79"/>
    </row>
    <row r="308" spans="1:38" s="35" customFormat="1" ht="10.5" customHeight="1">
      <c r="A308" s="79"/>
      <c r="AL308" s="79"/>
    </row>
    <row r="309" spans="1:38" s="35" customFormat="1" ht="10.5" customHeight="1">
      <c r="A309" s="79"/>
      <c r="AL309" s="79"/>
    </row>
    <row r="310" spans="1:38" s="35" customFormat="1" ht="10.5" customHeight="1">
      <c r="A310" s="79"/>
      <c r="AL310" s="79"/>
    </row>
    <row r="311" spans="1:38" s="35" customFormat="1" ht="10.5" customHeight="1">
      <c r="A311" s="79"/>
      <c r="AL311" s="79"/>
    </row>
    <row r="312" spans="1:38" s="35" customFormat="1" ht="10.5" customHeight="1">
      <c r="A312" s="79"/>
      <c r="AL312" s="79"/>
    </row>
    <row r="313" spans="1:38" s="35" customFormat="1" ht="10.5" customHeight="1">
      <c r="A313" s="79"/>
      <c r="AL313" s="79"/>
    </row>
    <row r="314" spans="1:38" s="35" customFormat="1" ht="10.5" customHeight="1">
      <c r="A314" s="79"/>
      <c r="AL314" s="79"/>
    </row>
    <row r="315" spans="1:38" s="35" customFormat="1" ht="10.5" customHeight="1">
      <c r="A315" s="79"/>
      <c r="AL315" s="79"/>
    </row>
    <row r="316" spans="1:38" s="35" customFormat="1" ht="10.5" customHeight="1">
      <c r="A316" s="79"/>
      <c r="AL316" s="79"/>
    </row>
    <row r="317" spans="1:38" s="35" customFormat="1" ht="10.5" customHeight="1">
      <c r="A317" s="79"/>
      <c r="AL317" s="79"/>
    </row>
    <row r="318" spans="1:38" s="35" customFormat="1" ht="10.5" customHeight="1">
      <c r="A318" s="79"/>
      <c r="AL318" s="79"/>
    </row>
    <row r="319" spans="1:38" s="35" customFormat="1" ht="10.5" customHeight="1">
      <c r="A319" s="79"/>
      <c r="AL319" s="79"/>
    </row>
    <row r="320" spans="1:38" s="35" customFormat="1" ht="10.5" customHeight="1">
      <c r="A320" s="79"/>
      <c r="AL320" s="79"/>
    </row>
    <row r="321" spans="1:38" s="35" customFormat="1" ht="10.5" customHeight="1">
      <c r="A321" s="79"/>
      <c r="AL321" s="79"/>
    </row>
    <row r="322" spans="1:38" s="35" customFormat="1" ht="10.5" customHeight="1">
      <c r="A322" s="79"/>
      <c r="AL322" s="79"/>
    </row>
    <row r="323" spans="1:38" s="35" customFormat="1" ht="10.5" customHeight="1">
      <c r="A323" s="79"/>
      <c r="AL323" s="79"/>
    </row>
    <row r="324" spans="1:38" s="35" customFormat="1" ht="10.5" customHeight="1">
      <c r="A324" s="79"/>
      <c r="AL324" s="79"/>
    </row>
    <row r="325" spans="1:38" s="35" customFormat="1" ht="10.5" customHeight="1">
      <c r="A325" s="79"/>
      <c r="AL325" s="79"/>
    </row>
    <row r="326" spans="1:38" s="35" customFormat="1" ht="10.5" customHeight="1">
      <c r="A326" s="79"/>
      <c r="AL326" s="79"/>
    </row>
    <row r="327" spans="1:38" s="35" customFormat="1" ht="10.5" customHeight="1">
      <c r="A327" s="79"/>
      <c r="AL327" s="79"/>
    </row>
    <row r="328" spans="1:38" s="35" customFormat="1" ht="10.5" customHeight="1">
      <c r="A328" s="79"/>
      <c r="AL328" s="79"/>
    </row>
    <row r="329" spans="1:38" s="35" customFormat="1" ht="10.5" customHeight="1">
      <c r="A329" s="79"/>
      <c r="AL329" s="79"/>
    </row>
    <row r="330" spans="1:38" s="35" customFormat="1" ht="10.5" customHeight="1">
      <c r="A330" s="79"/>
      <c r="AL330" s="79"/>
    </row>
    <row r="331" spans="1:38" s="35" customFormat="1" ht="10.5" customHeight="1">
      <c r="A331" s="79"/>
      <c r="AL331" s="79"/>
    </row>
    <row r="332" spans="1:38" s="35" customFormat="1" ht="10.5" customHeight="1">
      <c r="A332" s="79"/>
      <c r="AL332" s="79"/>
    </row>
    <row r="333" spans="1:38" s="35" customFormat="1" ht="10.5" customHeight="1">
      <c r="A333" s="79"/>
      <c r="AL333" s="79"/>
    </row>
    <row r="334" spans="1:38" s="35" customFormat="1" ht="10.5" customHeight="1">
      <c r="A334" s="79"/>
      <c r="AL334" s="79"/>
    </row>
    <row r="335" spans="1:38" s="35" customFormat="1" ht="10.5" customHeight="1">
      <c r="A335" s="79"/>
      <c r="AL335" s="79"/>
    </row>
    <row r="336" spans="1:38" s="35" customFormat="1" ht="10.5" customHeight="1">
      <c r="A336" s="79"/>
      <c r="AL336" s="79"/>
    </row>
    <row r="337" spans="1:38" s="35" customFormat="1" ht="10.5" customHeight="1">
      <c r="A337" s="79"/>
      <c r="AL337" s="79"/>
    </row>
    <row r="338" spans="1:38" s="35" customFormat="1" ht="10.5" customHeight="1">
      <c r="A338" s="79"/>
      <c r="AL338" s="79"/>
    </row>
    <row r="339" spans="1:38" s="35" customFormat="1" ht="10.5" customHeight="1">
      <c r="A339" s="79"/>
      <c r="AL339" s="79"/>
    </row>
    <row r="340" spans="1:38" s="35" customFormat="1" ht="10.5" customHeight="1">
      <c r="A340" s="79"/>
      <c r="AL340" s="79"/>
    </row>
    <row r="341" spans="1:38" s="35" customFormat="1" ht="10.5" customHeight="1">
      <c r="A341" s="79"/>
      <c r="AL341" s="79"/>
    </row>
    <row r="342" spans="1:38" s="35" customFormat="1" ht="10.5" customHeight="1">
      <c r="A342" s="79"/>
      <c r="AL342" s="79"/>
    </row>
    <row r="343" spans="1:38" s="35" customFormat="1" ht="10.5" customHeight="1">
      <c r="A343" s="79"/>
      <c r="AL343" s="79"/>
    </row>
    <row r="344" spans="1:38" s="35" customFormat="1" ht="10.5" customHeight="1">
      <c r="A344" s="79"/>
      <c r="AL344" s="79"/>
    </row>
    <row r="345" spans="1:38" s="35" customFormat="1" ht="10.5" customHeight="1">
      <c r="A345" s="79"/>
      <c r="AL345" s="79"/>
    </row>
    <row r="346" spans="1:38" s="35" customFormat="1" ht="10.5" customHeight="1">
      <c r="A346" s="79"/>
      <c r="AL346" s="79"/>
    </row>
    <row r="347" spans="1:38" s="35" customFormat="1" ht="10.5" customHeight="1">
      <c r="A347" s="79"/>
      <c r="AL347" s="79"/>
    </row>
    <row r="348" spans="1:38" s="35" customFormat="1" ht="10.5" customHeight="1">
      <c r="A348" s="79"/>
      <c r="AL348" s="79"/>
    </row>
    <row r="349" spans="1:38" s="35" customFormat="1" ht="10.5" customHeight="1">
      <c r="A349" s="79"/>
      <c r="AL349" s="79"/>
    </row>
    <row r="350" spans="1:38" s="35" customFormat="1" ht="10.5" customHeight="1">
      <c r="A350" s="79"/>
      <c r="AL350" s="79"/>
    </row>
    <row r="351" spans="1:38" s="35" customFormat="1" ht="10.5" customHeight="1">
      <c r="A351" s="79"/>
      <c r="AL351" s="79"/>
    </row>
    <row r="352" spans="1:38" s="35" customFormat="1" ht="10.5" customHeight="1">
      <c r="A352" s="79"/>
      <c r="AL352" s="79"/>
    </row>
    <row r="353" spans="1:38" s="35" customFormat="1" ht="10.5" customHeight="1">
      <c r="A353" s="79"/>
      <c r="AL353" s="79"/>
    </row>
    <row r="354" spans="1:38" s="35" customFormat="1" ht="10.5" customHeight="1">
      <c r="A354" s="79"/>
      <c r="AL354" s="79"/>
    </row>
    <row r="355" spans="1:38" s="35" customFormat="1" ht="10.5" customHeight="1">
      <c r="A355" s="79"/>
      <c r="AL355" s="79"/>
    </row>
    <row r="356" spans="1:38" s="35" customFormat="1" ht="10.5" customHeight="1">
      <c r="A356" s="79"/>
      <c r="AL356" s="79"/>
    </row>
    <row r="357" spans="1:38" s="35" customFormat="1" ht="10.5" customHeight="1">
      <c r="A357" s="79"/>
      <c r="AL357" s="79"/>
    </row>
    <row r="358" spans="1:38" s="35" customFormat="1" ht="10.5" customHeight="1">
      <c r="A358" s="79"/>
      <c r="AL358" s="79"/>
    </row>
    <row r="359" spans="1:38" s="35" customFormat="1" ht="10.5" customHeight="1">
      <c r="A359" s="79"/>
      <c r="AL359" s="79"/>
    </row>
    <row r="360" spans="1:38" s="35" customFormat="1" ht="10.5" customHeight="1">
      <c r="A360" s="79"/>
      <c r="AL360" s="79"/>
    </row>
    <row r="361" spans="1:38" s="35" customFormat="1" ht="10.5" customHeight="1">
      <c r="A361" s="79"/>
      <c r="AL361" s="79"/>
    </row>
    <row r="362" spans="1:38" s="35" customFormat="1" ht="10.5" customHeight="1">
      <c r="A362" s="79"/>
      <c r="AL362" s="79"/>
    </row>
    <row r="363" spans="1:38" s="35" customFormat="1" ht="10.5" customHeight="1">
      <c r="A363" s="79"/>
      <c r="AL363" s="79"/>
    </row>
    <row r="364" spans="1:38" s="35" customFormat="1" ht="10.5" customHeight="1">
      <c r="A364" s="79"/>
      <c r="AL364" s="79"/>
    </row>
    <row r="365" spans="1:38" s="35" customFormat="1" ht="10.5" customHeight="1">
      <c r="A365" s="79"/>
      <c r="AL365" s="79"/>
    </row>
    <row r="366" spans="1:38" s="35" customFormat="1" ht="10.5" customHeight="1">
      <c r="A366" s="79"/>
      <c r="AL366" s="79"/>
    </row>
    <row r="367" spans="1:38" s="35" customFormat="1" ht="10.5" customHeight="1">
      <c r="A367" s="79"/>
      <c r="AL367" s="79"/>
    </row>
    <row r="368" spans="1:38" s="35" customFormat="1" ht="10.5" customHeight="1">
      <c r="A368" s="79"/>
      <c r="AL368" s="79"/>
    </row>
    <row r="369" spans="1:38" s="35" customFormat="1" ht="10.5" customHeight="1">
      <c r="A369" s="79"/>
      <c r="AL369" s="79"/>
    </row>
    <row r="370" spans="1:38" s="35" customFormat="1" ht="10.5" customHeight="1">
      <c r="A370" s="79"/>
      <c r="AL370" s="79"/>
    </row>
    <row r="371" spans="1:38" s="35" customFormat="1" ht="10.5" customHeight="1">
      <c r="A371" s="79"/>
      <c r="AL371" s="79"/>
    </row>
    <row r="372" spans="1:38" s="35" customFormat="1" ht="10.5" customHeight="1">
      <c r="A372" s="79"/>
      <c r="AL372" s="79"/>
    </row>
    <row r="373" spans="1:38" s="35" customFormat="1" ht="10.5" customHeight="1">
      <c r="A373" s="79"/>
      <c r="AL373" s="79"/>
    </row>
    <row r="374" spans="1:38" s="35" customFormat="1" ht="10.5" customHeight="1">
      <c r="A374" s="79"/>
      <c r="AL374" s="79"/>
    </row>
    <row r="375" spans="1:38" s="35" customFormat="1" ht="10.5" customHeight="1">
      <c r="A375" s="79"/>
      <c r="AL375" s="79"/>
    </row>
    <row r="376" spans="1:38" s="35" customFormat="1" ht="10.5" customHeight="1">
      <c r="A376" s="79"/>
      <c r="AL376" s="79"/>
    </row>
    <row r="377" spans="1:38" s="35" customFormat="1" ht="10.5" customHeight="1">
      <c r="A377" s="79"/>
      <c r="AL377" s="79"/>
    </row>
    <row r="378" spans="1:38" s="35" customFormat="1" ht="10.5" customHeight="1">
      <c r="A378" s="79"/>
      <c r="AL378" s="79"/>
    </row>
    <row r="379" spans="1:38" s="35" customFormat="1" ht="10.5" customHeight="1">
      <c r="A379" s="79"/>
      <c r="AL379" s="79"/>
    </row>
    <row r="380" spans="1:38" s="35" customFormat="1" ht="10.5" customHeight="1">
      <c r="A380" s="79"/>
      <c r="AL380" s="79"/>
    </row>
    <row r="381" spans="1:38" s="35" customFormat="1" ht="10.5" customHeight="1">
      <c r="A381" s="79"/>
      <c r="AL381" s="79"/>
    </row>
    <row r="382" spans="1:38" s="35" customFormat="1" ht="10.5" customHeight="1">
      <c r="A382" s="79"/>
      <c r="AL382" s="79"/>
    </row>
    <row r="383" spans="1:38" s="35" customFormat="1" ht="10.5" customHeight="1">
      <c r="A383" s="79"/>
      <c r="AL383" s="79"/>
    </row>
    <row r="384" spans="1:38" s="35" customFormat="1" ht="10.5" customHeight="1">
      <c r="A384" s="79"/>
      <c r="AL384" s="79"/>
    </row>
    <row r="385" spans="1:38" s="35" customFormat="1" ht="10.5" customHeight="1">
      <c r="A385" s="79"/>
      <c r="AL385" s="79"/>
    </row>
    <row r="386" spans="1:38" s="35" customFormat="1" ht="10.5" customHeight="1">
      <c r="A386" s="79"/>
      <c r="AL386" s="79"/>
    </row>
    <row r="387" spans="1:38" s="35" customFormat="1" ht="10.5" customHeight="1">
      <c r="A387" s="79"/>
      <c r="AL387" s="79"/>
    </row>
    <row r="388" spans="1:38" s="35" customFormat="1" ht="10.5" customHeight="1">
      <c r="A388" s="79"/>
      <c r="AL388" s="79"/>
    </row>
    <row r="389" spans="1:38" s="35" customFormat="1" ht="10.5" customHeight="1">
      <c r="A389" s="79"/>
      <c r="AL389" s="79"/>
    </row>
    <row r="390" spans="1:38" s="35" customFormat="1" ht="10.5" customHeight="1">
      <c r="A390" s="79"/>
      <c r="AL390" s="79"/>
    </row>
    <row r="391" spans="1:38" s="35" customFormat="1" ht="10.5" customHeight="1">
      <c r="A391" s="79"/>
      <c r="AL391" s="79"/>
    </row>
    <row r="392" spans="1:38" s="35" customFormat="1" ht="10.5" customHeight="1">
      <c r="A392" s="79"/>
      <c r="AL392" s="79"/>
    </row>
    <row r="393" spans="1:38" s="35" customFormat="1" ht="10.5" customHeight="1">
      <c r="A393" s="79"/>
      <c r="AL393" s="79"/>
    </row>
    <row r="394" spans="1:38" s="35" customFormat="1" ht="10.5" customHeight="1">
      <c r="A394" s="79"/>
      <c r="AL394" s="79"/>
    </row>
    <row r="395" spans="1:38" s="35" customFormat="1" ht="10.5" customHeight="1">
      <c r="A395" s="79"/>
      <c r="AL395" s="79"/>
    </row>
    <row r="396" spans="1:38" s="35" customFormat="1" ht="10.5" customHeight="1">
      <c r="A396" s="79"/>
      <c r="AL396" s="79"/>
    </row>
    <row r="397" spans="1:38" s="35" customFormat="1" ht="10.5" customHeight="1">
      <c r="A397" s="79"/>
      <c r="AL397" s="79"/>
    </row>
    <row r="398" spans="1:38" s="35" customFormat="1" ht="10.5" customHeight="1">
      <c r="A398" s="79"/>
      <c r="AL398" s="79"/>
    </row>
    <row r="399" spans="1:38" s="35" customFormat="1" ht="10.5" customHeight="1">
      <c r="A399" s="79"/>
      <c r="AL399" s="79"/>
    </row>
    <row r="400" spans="1:38" s="35" customFormat="1" ht="10.5" customHeight="1">
      <c r="A400" s="79"/>
      <c r="AL400" s="79"/>
    </row>
    <row r="401" spans="1:38" s="35" customFormat="1" ht="10.5" customHeight="1">
      <c r="A401" s="79"/>
      <c r="AL401" s="79"/>
    </row>
    <row r="402" spans="1:38" s="35" customFormat="1" ht="10.5" customHeight="1">
      <c r="A402" s="79"/>
      <c r="AL402" s="79"/>
    </row>
    <row r="403" spans="1:38" s="35" customFormat="1" ht="10.5" customHeight="1">
      <c r="A403" s="79"/>
      <c r="AL403" s="79"/>
    </row>
    <row r="404" spans="1:38" s="35" customFormat="1" ht="10.5" customHeight="1">
      <c r="A404" s="79"/>
      <c r="AL404" s="79"/>
    </row>
    <row r="405" spans="1:38" s="35" customFormat="1" ht="10.5" customHeight="1">
      <c r="A405" s="79"/>
      <c r="AL405" s="79"/>
    </row>
    <row r="406" spans="1:38" s="35" customFormat="1" ht="10.5" customHeight="1">
      <c r="A406" s="79"/>
      <c r="AL406" s="79"/>
    </row>
    <row r="407" spans="1:38" s="35" customFormat="1" ht="10.5" customHeight="1">
      <c r="A407" s="79"/>
      <c r="AL407" s="79"/>
    </row>
    <row r="408" spans="1:38" s="35" customFormat="1" ht="10.5" customHeight="1">
      <c r="A408" s="79"/>
      <c r="AL408" s="79"/>
    </row>
    <row r="409" spans="1:38" s="35" customFormat="1" ht="10.5" customHeight="1">
      <c r="A409" s="79"/>
      <c r="AL409" s="79"/>
    </row>
    <row r="410" spans="1:38" s="35" customFormat="1" ht="10.5" customHeight="1">
      <c r="A410" s="79"/>
      <c r="AL410" s="79"/>
    </row>
    <row r="411" spans="1:38" s="35" customFormat="1" ht="10.5" customHeight="1">
      <c r="A411" s="79"/>
      <c r="AL411" s="79"/>
    </row>
    <row r="412" spans="1:38" s="35" customFormat="1" ht="10.5" customHeight="1">
      <c r="A412" s="79"/>
      <c r="AL412" s="79"/>
    </row>
    <row r="413" spans="1:38" s="35" customFormat="1" ht="10.5" customHeight="1">
      <c r="A413" s="79"/>
      <c r="AL413" s="79"/>
    </row>
    <row r="414" spans="1:38" s="35" customFormat="1" ht="10.5" customHeight="1">
      <c r="A414" s="79"/>
      <c r="AL414" s="79"/>
    </row>
    <row r="415" spans="1:38" s="35" customFormat="1" ht="10.5" customHeight="1">
      <c r="A415" s="79"/>
      <c r="AL415" s="79"/>
    </row>
    <row r="416" spans="1:38" s="35" customFormat="1" ht="10.5" customHeight="1">
      <c r="A416" s="79"/>
      <c r="AL416" s="79"/>
    </row>
    <row r="417" spans="1:38" s="35" customFormat="1" ht="10.5" customHeight="1">
      <c r="A417" s="79"/>
      <c r="AL417" s="79"/>
    </row>
    <row r="418" spans="1:38" s="35" customFormat="1" ht="10.5" customHeight="1">
      <c r="A418" s="79"/>
      <c r="AL418" s="79"/>
    </row>
    <row r="419" spans="1:38" s="35" customFormat="1" ht="10.5" customHeight="1">
      <c r="A419" s="79"/>
      <c r="AL419" s="79"/>
    </row>
    <row r="420" spans="1:38" s="35" customFormat="1" ht="10.5" customHeight="1">
      <c r="A420" s="79"/>
      <c r="AL420" s="79"/>
    </row>
    <row r="421" spans="1:38" s="35" customFormat="1" ht="10.5" customHeight="1">
      <c r="A421" s="79"/>
      <c r="AL421" s="79"/>
    </row>
    <row r="422" spans="1:38" s="35" customFormat="1" ht="10.5" customHeight="1">
      <c r="A422" s="79"/>
      <c r="AL422" s="79"/>
    </row>
    <row r="423" spans="1:38" s="35" customFormat="1" ht="10.5" customHeight="1">
      <c r="A423" s="79"/>
      <c r="AL423" s="79"/>
    </row>
    <row r="424" spans="1:38" s="35" customFormat="1" ht="10.5" customHeight="1">
      <c r="A424" s="79"/>
      <c r="AL424" s="79"/>
    </row>
    <row r="425" spans="1:38" s="35" customFormat="1" ht="10.5" customHeight="1">
      <c r="A425" s="79"/>
      <c r="AL425" s="79"/>
    </row>
    <row r="426" spans="1:38" s="35" customFormat="1" ht="10.5" customHeight="1">
      <c r="A426" s="79"/>
      <c r="AL426" s="79"/>
    </row>
    <row r="427" spans="1:38" s="35" customFormat="1" ht="10.5" customHeight="1">
      <c r="A427" s="79"/>
      <c r="AL427" s="79"/>
    </row>
    <row r="428" spans="1:38" s="35" customFormat="1" ht="10.5" customHeight="1">
      <c r="A428" s="79"/>
      <c r="AL428" s="79"/>
    </row>
    <row r="429" spans="1:38" s="35" customFormat="1" ht="10.5" customHeight="1">
      <c r="A429" s="79"/>
      <c r="AL429" s="79"/>
    </row>
    <row r="430" spans="1:38" s="35" customFormat="1" ht="10.5" customHeight="1">
      <c r="A430" s="79"/>
      <c r="AL430" s="79"/>
    </row>
    <row r="431" spans="1:38" s="35" customFormat="1" ht="10.5" customHeight="1">
      <c r="A431" s="79"/>
      <c r="AL431" s="79"/>
    </row>
    <row r="432" spans="1:38" s="35" customFormat="1" ht="10.5" customHeight="1">
      <c r="A432" s="79"/>
      <c r="AL432" s="79"/>
    </row>
    <row r="433" spans="1:38" s="35" customFormat="1" ht="10.5" customHeight="1">
      <c r="A433" s="79"/>
      <c r="AL433" s="79"/>
    </row>
    <row r="434" spans="1:38" s="35" customFormat="1" ht="10.5" customHeight="1">
      <c r="A434" s="79"/>
      <c r="AL434" s="79"/>
    </row>
    <row r="435" spans="1:38" s="35" customFormat="1" ht="10.5" customHeight="1">
      <c r="A435" s="79"/>
      <c r="AL435" s="79"/>
    </row>
    <row r="436" spans="1:38" s="35" customFormat="1" ht="10.5" customHeight="1">
      <c r="A436" s="79"/>
      <c r="AL436" s="79"/>
    </row>
    <row r="437" spans="1:38" s="35" customFormat="1" ht="10.5" customHeight="1">
      <c r="A437" s="79"/>
      <c r="AL437" s="79"/>
    </row>
    <row r="438" spans="1:38" s="35" customFormat="1" ht="10.5" customHeight="1">
      <c r="A438" s="79"/>
      <c r="AL438" s="79"/>
    </row>
    <row r="439" spans="1:38" s="35" customFormat="1" ht="10.5" customHeight="1">
      <c r="A439" s="79"/>
      <c r="AL439" s="79"/>
    </row>
    <row r="440" spans="1:38" s="35" customFormat="1" ht="10.5" customHeight="1">
      <c r="A440" s="79"/>
      <c r="AL440" s="79"/>
    </row>
    <row r="441" spans="1:38" s="35" customFormat="1" ht="10.5" customHeight="1">
      <c r="A441" s="79"/>
      <c r="AL441" s="79"/>
    </row>
    <row r="442" spans="1:38" s="35" customFormat="1" ht="10.5" customHeight="1">
      <c r="A442" s="79"/>
      <c r="AL442" s="79"/>
    </row>
    <row r="443" spans="1:38" s="35" customFormat="1" ht="10.5" customHeight="1">
      <c r="A443" s="79"/>
      <c r="AL443" s="79"/>
    </row>
    <row r="444" spans="1:38" s="35" customFormat="1" ht="10.5" customHeight="1">
      <c r="A444" s="79"/>
      <c r="AL444" s="79"/>
    </row>
    <row r="445" spans="1:38" s="35" customFormat="1" ht="10.5" customHeight="1">
      <c r="A445" s="79"/>
      <c r="AL445" s="79"/>
    </row>
    <row r="446" spans="1:38" s="35" customFormat="1" ht="10.5" customHeight="1">
      <c r="A446" s="79"/>
      <c r="AL446" s="79"/>
    </row>
    <row r="447" spans="1:38" s="35" customFormat="1" ht="10.5" customHeight="1">
      <c r="A447" s="79"/>
      <c r="AL447" s="79"/>
    </row>
    <row r="448" spans="1:38" s="35" customFormat="1" ht="10.5" customHeight="1">
      <c r="A448" s="79"/>
      <c r="AL448" s="79"/>
    </row>
    <row r="449" spans="1:38" s="35" customFormat="1" ht="10.5" customHeight="1">
      <c r="A449" s="79"/>
      <c r="AL449" s="79"/>
    </row>
    <row r="450" spans="1:38" s="35" customFormat="1" ht="10.5" customHeight="1">
      <c r="A450" s="79"/>
      <c r="AL450" s="79"/>
    </row>
    <row r="451" spans="1:38" s="35" customFormat="1" ht="10.5" customHeight="1">
      <c r="A451" s="79"/>
      <c r="AL451" s="79"/>
    </row>
    <row r="452" spans="1:38" s="35" customFormat="1" ht="10.5" customHeight="1">
      <c r="A452" s="79"/>
      <c r="AL452" s="79"/>
    </row>
    <row r="453" spans="1:38" s="35" customFormat="1" ht="10.5" customHeight="1">
      <c r="A453" s="79"/>
      <c r="AL453" s="79"/>
    </row>
    <row r="454" spans="1:38" s="35" customFormat="1" ht="10.5" customHeight="1">
      <c r="A454" s="79"/>
      <c r="AL454" s="79"/>
    </row>
    <row r="455" spans="1:38" s="35" customFormat="1" ht="10.5" customHeight="1">
      <c r="A455" s="79"/>
      <c r="AL455" s="79"/>
    </row>
    <row r="456" spans="1:38" s="35" customFormat="1" ht="10.5" customHeight="1">
      <c r="A456" s="79"/>
      <c r="AL456" s="79"/>
    </row>
    <row r="457" spans="1:38" s="35" customFormat="1" ht="10.5" customHeight="1">
      <c r="A457" s="79"/>
      <c r="AL457" s="79"/>
    </row>
    <row r="458" spans="1:38" s="35" customFormat="1" ht="10.5" customHeight="1">
      <c r="A458" s="79"/>
      <c r="AL458" s="79"/>
    </row>
    <row r="459" spans="1:38" s="35" customFormat="1" ht="10.5" customHeight="1">
      <c r="A459" s="79"/>
      <c r="AL459" s="79"/>
    </row>
    <row r="460" spans="1:38" s="35" customFormat="1" ht="10.5" customHeight="1">
      <c r="A460" s="79"/>
      <c r="AL460" s="79"/>
    </row>
    <row r="461" spans="1:38" s="35" customFormat="1" ht="10.5" customHeight="1">
      <c r="A461" s="79"/>
      <c r="AL461" s="79"/>
    </row>
    <row r="462" spans="1:38" s="35" customFormat="1" ht="10.5" customHeight="1">
      <c r="A462" s="79"/>
      <c r="AL462" s="79"/>
    </row>
    <row r="463" spans="1:38" s="35" customFormat="1" ht="10.5" customHeight="1">
      <c r="A463" s="79"/>
      <c r="AL463" s="79"/>
    </row>
    <row r="464" spans="1:38" s="35" customFormat="1" ht="10.5" customHeight="1">
      <c r="A464" s="79"/>
      <c r="AL464" s="79"/>
    </row>
    <row r="465" spans="1:38" s="35" customFormat="1" ht="10.5" customHeight="1">
      <c r="A465" s="79"/>
      <c r="AL465" s="79"/>
    </row>
    <row r="466" spans="1:38" s="35" customFormat="1" ht="10.5" customHeight="1">
      <c r="A466" s="79"/>
      <c r="AL466" s="79"/>
    </row>
    <row r="467" spans="1:38" s="35" customFormat="1" ht="10.5" customHeight="1">
      <c r="A467" s="79"/>
      <c r="AL467" s="79"/>
    </row>
    <row r="468" spans="1:38" s="35" customFormat="1" ht="10.5" customHeight="1">
      <c r="A468" s="79"/>
      <c r="AL468" s="79"/>
    </row>
    <row r="469" spans="1:38" s="35" customFormat="1" ht="10.5" customHeight="1">
      <c r="A469" s="79"/>
      <c r="AL469" s="79"/>
    </row>
    <row r="470" spans="1:38" s="35" customFormat="1" ht="10.5" customHeight="1">
      <c r="A470" s="79"/>
      <c r="AL470" s="79"/>
    </row>
    <row r="471" spans="1:38" s="35" customFormat="1" ht="10.5" customHeight="1">
      <c r="A471" s="79"/>
      <c r="AL471" s="79"/>
    </row>
    <row r="472" spans="1:38" s="35" customFormat="1" ht="10.5" customHeight="1">
      <c r="A472" s="79"/>
      <c r="AL472" s="79"/>
    </row>
    <row r="473" spans="1:38" s="35" customFormat="1" ht="10.5" customHeight="1">
      <c r="A473" s="79"/>
      <c r="AL473" s="79"/>
    </row>
    <row r="474" spans="1:38" s="35" customFormat="1" ht="10.5" customHeight="1">
      <c r="A474" s="79"/>
      <c r="AL474" s="79"/>
    </row>
    <row r="475" spans="1:38" s="35" customFormat="1" ht="10.5" customHeight="1">
      <c r="A475" s="79"/>
      <c r="AL475" s="79"/>
    </row>
    <row r="476" spans="1:38" s="35" customFormat="1" ht="10.5" customHeight="1">
      <c r="A476" s="79"/>
      <c r="AL476" s="79"/>
    </row>
    <row r="477" spans="1:38" s="35" customFormat="1" ht="10.5" customHeight="1">
      <c r="A477" s="79"/>
      <c r="AL477" s="79"/>
    </row>
    <row r="478" spans="1:38" s="35" customFormat="1" ht="10.5" customHeight="1">
      <c r="A478" s="79"/>
      <c r="AL478" s="79"/>
    </row>
    <row r="479" spans="1:38" s="35" customFormat="1" ht="10.5" customHeight="1">
      <c r="A479" s="79"/>
      <c r="AL479" s="79"/>
    </row>
    <row r="480" spans="1:38" s="35" customFormat="1" ht="10.5" customHeight="1">
      <c r="A480" s="79"/>
      <c r="AL480" s="79"/>
    </row>
    <row r="481" spans="1:38" s="35" customFormat="1" ht="10.5" customHeight="1">
      <c r="A481" s="79"/>
      <c r="AL481" s="79"/>
    </row>
    <row r="482" spans="1:38" s="35" customFormat="1" ht="10.5" customHeight="1">
      <c r="A482" s="79"/>
      <c r="AL482" s="79"/>
    </row>
    <row r="483" spans="1:38" s="35" customFormat="1" ht="10.5" customHeight="1">
      <c r="A483" s="79"/>
      <c r="AL483" s="79"/>
    </row>
    <row r="484" spans="1:38" s="35" customFormat="1" ht="10.5" customHeight="1">
      <c r="A484" s="79"/>
      <c r="AL484" s="79"/>
    </row>
    <row r="485" spans="1:38" s="35" customFormat="1" ht="10.5" customHeight="1">
      <c r="A485" s="79"/>
      <c r="AL485" s="79"/>
    </row>
    <row r="486" spans="1:38" s="35" customFormat="1" ht="10.5" customHeight="1">
      <c r="A486" s="79"/>
      <c r="AL486" s="79"/>
    </row>
    <row r="487" spans="1:38" s="35" customFormat="1" ht="10.5" customHeight="1">
      <c r="A487" s="79"/>
      <c r="AL487" s="79"/>
    </row>
    <row r="488" spans="1:38" s="35" customFormat="1" ht="10.5" customHeight="1">
      <c r="A488" s="79"/>
      <c r="AL488" s="79"/>
    </row>
    <row r="489" spans="1:38" s="35" customFormat="1" ht="10.5" customHeight="1">
      <c r="A489" s="79"/>
      <c r="AL489" s="79"/>
    </row>
    <row r="490" spans="1:38" s="35" customFormat="1" ht="10.5" customHeight="1">
      <c r="A490" s="79"/>
      <c r="AL490" s="79"/>
    </row>
    <row r="491" spans="1:38" s="35" customFormat="1" ht="10.5" customHeight="1">
      <c r="A491" s="79"/>
      <c r="AL491" s="79"/>
    </row>
    <row r="492" spans="1:38" s="35" customFormat="1" ht="10.5" customHeight="1">
      <c r="A492" s="79"/>
      <c r="AL492" s="79"/>
    </row>
    <row r="493" spans="1:38" s="35" customFormat="1" ht="10.5" customHeight="1">
      <c r="A493" s="79"/>
      <c r="AL493" s="79"/>
    </row>
    <row r="494" spans="1:38" s="35" customFormat="1" ht="10.5" customHeight="1">
      <c r="A494" s="79"/>
      <c r="AL494" s="79"/>
    </row>
    <row r="495" spans="1:38" s="35" customFormat="1" ht="10.5" customHeight="1">
      <c r="A495" s="79"/>
      <c r="AL495" s="79"/>
    </row>
    <row r="496" spans="1:38" s="35" customFormat="1" ht="10.5" customHeight="1">
      <c r="A496" s="79"/>
      <c r="AL496" s="79"/>
    </row>
    <row r="497" spans="1:38" s="35" customFormat="1" ht="10.5" customHeight="1">
      <c r="A497" s="79"/>
      <c r="AL497" s="79"/>
    </row>
    <row r="498" spans="1:38" s="35" customFormat="1" ht="10.5" customHeight="1">
      <c r="A498" s="79"/>
      <c r="AL498" s="79"/>
    </row>
    <row r="499" spans="1:38" s="35" customFormat="1" ht="10.5" customHeight="1">
      <c r="A499" s="79"/>
      <c r="AL499" s="79"/>
    </row>
    <row r="500" spans="1:38" s="35" customFormat="1" ht="10.5" customHeight="1">
      <c r="A500" s="79"/>
      <c r="AL500" s="79"/>
    </row>
    <row r="501" spans="1:38" s="35" customFormat="1" ht="10.5" customHeight="1">
      <c r="A501" s="79"/>
      <c r="AL501" s="79"/>
    </row>
    <row r="502" spans="1:38" s="35" customFormat="1" ht="10.5" customHeight="1">
      <c r="A502" s="79"/>
      <c r="AL502" s="79"/>
    </row>
    <row r="503" spans="1:38" s="35" customFormat="1" ht="10.5" customHeight="1">
      <c r="A503" s="79"/>
      <c r="AL503" s="79"/>
    </row>
    <row r="504" spans="1:38" s="35" customFormat="1" ht="10.5" customHeight="1">
      <c r="A504" s="79"/>
      <c r="AL504" s="79"/>
    </row>
    <row r="505" spans="1:38" s="35" customFormat="1" ht="10.5" customHeight="1">
      <c r="A505" s="79"/>
      <c r="AL505" s="79"/>
    </row>
    <row r="506" spans="1:38" s="35" customFormat="1" ht="10.5" customHeight="1">
      <c r="A506" s="79"/>
      <c r="AL506" s="79"/>
    </row>
    <row r="507" spans="1:38" s="35" customFormat="1" ht="10.5" customHeight="1">
      <c r="A507" s="79"/>
      <c r="AL507" s="79"/>
    </row>
    <row r="508" spans="1:38" s="35" customFormat="1" ht="10.5" customHeight="1">
      <c r="A508" s="79"/>
      <c r="AL508" s="79"/>
    </row>
    <row r="509" spans="1:38" s="35" customFormat="1" ht="10.5" customHeight="1">
      <c r="A509" s="79"/>
      <c r="AL509" s="79"/>
    </row>
    <row r="510" spans="1:38" s="35" customFormat="1" ht="10.5" customHeight="1">
      <c r="A510" s="79"/>
      <c r="AL510" s="79"/>
    </row>
    <row r="511" spans="1:38" s="35" customFormat="1" ht="10.5" customHeight="1">
      <c r="A511" s="79"/>
      <c r="AL511" s="79"/>
    </row>
    <row r="512" spans="1:38" s="35" customFormat="1" ht="10.5" customHeight="1">
      <c r="A512" s="79"/>
      <c r="AL512" s="79"/>
    </row>
    <row r="513" spans="1:38" s="35" customFormat="1" ht="10.5" customHeight="1">
      <c r="A513" s="79"/>
      <c r="AL513" s="79"/>
    </row>
    <row r="514" spans="1:38" s="35" customFormat="1" ht="10.5" customHeight="1">
      <c r="A514" s="79"/>
      <c r="AL514" s="79"/>
    </row>
    <row r="515" spans="1:38" s="35" customFormat="1" ht="10.5" customHeight="1">
      <c r="A515" s="79"/>
      <c r="AL515" s="79"/>
    </row>
    <row r="516" spans="1:38" s="35" customFormat="1" ht="10.5" customHeight="1">
      <c r="A516" s="79"/>
      <c r="AL516" s="79"/>
    </row>
    <row r="517" spans="1:38" s="35" customFormat="1" ht="10.5" customHeight="1">
      <c r="A517" s="79"/>
      <c r="AL517" s="79"/>
    </row>
    <row r="518" spans="1:38" s="35" customFormat="1" ht="10.5" customHeight="1">
      <c r="A518" s="79"/>
      <c r="AL518" s="79"/>
    </row>
    <row r="519" spans="1:38" s="35" customFormat="1" ht="10.5" customHeight="1">
      <c r="A519" s="79"/>
      <c r="AL519" s="79"/>
    </row>
    <row r="520" spans="1:38" s="35" customFormat="1" ht="10.5" customHeight="1">
      <c r="A520" s="79"/>
      <c r="AL520" s="79"/>
    </row>
    <row r="521" spans="1:38" s="35" customFormat="1" ht="10.5" customHeight="1">
      <c r="A521" s="79"/>
      <c r="AL521" s="79"/>
    </row>
    <row r="522" spans="1:38" s="35" customFormat="1" ht="10.5" customHeight="1">
      <c r="A522" s="79"/>
      <c r="AL522" s="79"/>
    </row>
    <row r="523" spans="1:38" s="35" customFormat="1" ht="10.5" customHeight="1">
      <c r="A523" s="79"/>
      <c r="AL523" s="79"/>
    </row>
    <row r="524" spans="1:38" s="35" customFormat="1" ht="10.5" customHeight="1">
      <c r="A524" s="79"/>
      <c r="AL524" s="79"/>
    </row>
    <row r="525" spans="1:38" s="35" customFormat="1" ht="10.5" customHeight="1">
      <c r="A525" s="79"/>
      <c r="AL525" s="79"/>
    </row>
    <row r="526" spans="1:38" s="35" customFormat="1" ht="10.5" customHeight="1">
      <c r="A526" s="79"/>
      <c r="AL526" s="79"/>
    </row>
    <row r="527" spans="1:38" s="35" customFormat="1" ht="10.5" customHeight="1">
      <c r="A527" s="79"/>
      <c r="AL527" s="79"/>
    </row>
    <row r="528" spans="1:38" s="35" customFormat="1" ht="10.5" customHeight="1">
      <c r="A528" s="79"/>
      <c r="AL528" s="79"/>
    </row>
    <row r="529" spans="1:38" s="35" customFormat="1" ht="10.5" customHeight="1">
      <c r="A529" s="79"/>
      <c r="AL529" s="79"/>
    </row>
    <row r="530" spans="1:38" s="35" customFormat="1" ht="10.5" customHeight="1">
      <c r="A530" s="79"/>
      <c r="AL530" s="79"/>
    </row>
    <row r="531" spans="1:38" s="35" customFormat="1" ht="10.5" customHeight="1">
      <c r="A531" s="79"/>
      <c r="AL531" s="79"/>
    </row>
    <row r="532" spans="1:38" s="35" customFormat="1" ht="10.5" customHeight="1">
      <c r="A532" s="79"/>
      <c r="AL532" s="79"/>
    </row>
    <row r="533" spans="1:38" s="35" customFormat="1" ht="10.5" customHeight="1">
      <c r="A533" s="79"/>
      <c r="AL533" s="79"/>
    </row>
    <row r="534" spans="1:38" s="35" customFormat="1" ht="10.5" customHeight="1">
      <c r="A534" s="79"/>
      <c r="AL534" s="79"/>
    </row>
    <row r="535" spans="1:38" s="35" customFormat="1" ht="10.5" customHeight="1">
      <c r="A535" s="79"/>
      <c r="AL535" s="79"/>
    </row>
    <row r="536" spans="1:70" ht="10.5" customHeight="1">
      <c r="A536" s="8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L536" s="8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</row>
  </sheetData>
  <sheetProtection/>
  <mergeCells count="24">
    <mergeCell ref="A26:B26"/>
    <mergeCell ref="A57:B57"/>
    <mergeCell ref="A117:B117"/>
    <mergeCell ref="A68:B68"/>
    <mergeCell ref="A79:B79"/>
    <mergeCell ref="A91:B91"/>
    <mergeCell ref="A100:B100"/>
    <mergeCell ref="AL7:AM7"/>
    <mergeCell ref="AL16:AM16"/>
    <mergeCell ref="AL26:AM26"/>
    <mergeCell ref="AL37:AM37"/>
    <mergeCell ref="AL47:AM47"/>
    <mergeCell ref="B122:B124"/>
    <mergeCell ref="A16:B16"/>
    <mergeCell ref="A7:B7"/>
    <mergeCell ref="A37:B37"/>
    <mergeCell ref="A47:B47"/>
    <mergeCell ref="AL117:AM117"/>
    <mergeCell ref="AM122:AM124"/>
    <mergeCell ref="AL57:AM57"/>
    <mergeCell ref="AL68:AM68"/>
    <mergeCell ref="AL79:AM79"/>
    <mergeCell ref="AL91:AM91"/>
    <mergeCell ref="AL100:AM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2020-10-09T07:44:40Z</dcterms:modified>
  <cp:category/>
  <cp:version/>
  <cp:contentType/>
  <cp:contentStatus/>
</cp:coreProperties>
</file>