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Сырьё лето" sheetId="1" r:id="rId1"/>
    <sheet name="Меню лето" sheetId="2" r:id="rId2"/>
  </sheets>
  <definedNames/>
  <calcPr fullCalcOnLoad="1"/>
</workbook>
</file>

<file path=xl/sharedStrings.xml><?xml version="1.0" encoding="utf-8"?>
<sst xmlns="http://schemas.openxmlformats.org/spreadsheetml/2006/main" count="720" uniqueCount="181">
  <si>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</si>
  <si>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</si>
  <si>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</si>
  <si>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</si>
  <si>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</si>
  <si>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</si>
  <si>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</si>
  <si>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</si>
  <si>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</si>
  <si>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</si>
  <si>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</si>
  <si>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</si>
  <si>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</si>
  <si>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</si>
  <si>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</si>
  <si>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</si>
  <si>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</si>
  <si>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</si>
  <si>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</si>
  <si>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</si>
  <si>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</si>
  <si>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</si>
  <si>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</si>
  <si>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</si>
  <si>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</si>
  <si>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</si>
  <si>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</si>
  <si>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</si>
  <si>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</si>
  <si>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</si>
  <si>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</si>
  <si>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</si>
  <si>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</si>
  <si>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</si>
  <si>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</si>
  <si>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</si>
  <si>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</si>
  <si>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</si>
  <si>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</si>
  <si>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</si>
  <si>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</si>
  <si>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</si>
  <si>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</si>
  <si>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</si>
  <si>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</si>
  <si>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</si>
  <si>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</si>
  <si>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</si>
  <si>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</si>
  <si>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</si>
  <si>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</si>
  <si>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</si>
  <si>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</si>
  <si>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</si>
  <si>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</si>
  <si>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</si>
  <si>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</si>
  <si>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</si>
  <si>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</si>
  <si>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</si>
  <si>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</si>
  <si>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</si>
  <si>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</si>
  <si>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</si>
  <si>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</si>
  <si>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</si>
  <si>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</si>
  <si>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</si>
  <si>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</si>
  <si>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</si>
  <si>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</si>
  <si>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</si>
  <si>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</si>
  <si>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</si>
  <si>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</si>
  <si>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</si>
  <si>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</si>
  <si>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</si>
  <si>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</si>
  <si>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</si>
  <si>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</si>
  <si>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</si>
  <si>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</si>
  <si>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</si>
  <si>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</si>
  <si>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</si>
  <si>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</si>
  <si>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</si>
  <si>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</si>
  <si>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</si>
  <si>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</si>
  <si>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</si>
  <si>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</si>
  <si>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</si>
  <si>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</si>
  <si>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</si>
  <si>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</si>
  <si>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</si>
  <si>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</si>
  <si>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</si>
  <si>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</si>
  <si>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</si>
  <si>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</si>
  <si>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</si>
  <si>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</si>
  <si>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</si>
  <si>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</si>
  <si>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</si>
  <si>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</si>
  <si>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</si>
  <si>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</si>
  <si>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</si>
  <si>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</si>
  <si>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</si>
  <si>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</si>
  <si>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</si>
  <si>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</si>
  <si>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</si>
  <si>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</si>
  <si>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</si>
  <si>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</si>
  <si>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</si>
  <si>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</si>
  <si>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</si>
  <si>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</si>
  <si>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</si>
  <si>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</si>
  <si>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</si>
  <si>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</si>
  <si>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</si>
  <si>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</si>
  <si>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</si>
  <si>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</si>
  <si>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</si>
  <si>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</si>
  <si>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</si>
  <si>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</si>
  <si>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</si>
  <si>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</si>
  <si>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</si>
  <si>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</si>
  <si>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</si>
  <si>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</si>
  <si>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</si>
  <si>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</si>
  <si>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</si>
  <si>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</si>
  <si>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</si>
  <si>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</si>
  <si>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</si>
  <si>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</si>
  <si>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</si>
  <si>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</si>
  <si>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</si>
  <si>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</si>
  <si>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</si>
  <si>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</si>
  <si>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</si>
  <si>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</si>
  <si>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</si>
  <si>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</si>
  <si>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</si>
  <si>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</si>
  <si>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</si>
  <si>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</si>
  <si>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</si>
  <si>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</si>
  <si>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</si>
  <si>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</si>
  <si>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</si>
  <si>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</si>
  <si>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Итого сырья на одного человека</t>
  </si>
  <si>
    <t>Меню обедов для обучающихся 5-11 классов (сезон лето-осень)</t>
  </si>
  <si>
    <t>обед 35 %  (норм)</t>
  </si>
  <si>
    <t>11 лет и старше</t>
  </si>
  <si>
    <t>ИТОГО (фактически выдано среднее за 1 день в качестве обедов продуктов в нетто на одного человека, г)</t>
  </si>
  <si>
    <t>ИТОГО (норма средняя за 1 день на одного человека по СанПин)</t>
  </si>
  <si>
    <r>
      <t xml:space="preserve"> </t>
    </r>
    <r>
      <rPr>
        <b/>
        <i/>
        <sz val="14"/>
        <rFont val="Times New Roman"/>
        <family val="1"/>
      </rPr>
      <t xml:space="preserve">Примерное цикличное меню </t>
    </r>
    <r>
      <rPr>
        <b/>
        <i/>
        <u val="single"/>
        <sz val="14"/>
        <rFont val="Times New Roman"/>
        <family val="1"/>
      </rPr>
      <t>обедов</t>
    </r>
    <r>
      <rPr>
        <b/>
        <i/>
        <sz val="14"/>
        <rFont val="Times New Roman"/>
        <family val="1"/>
      </rPr>
      <t xml:space="preserve"> для учащихся  5-11 классов (сезон лето-осень)</t>
    </r>
  </si>
  <si>
    <t>общеобразовательных организаций Мостовского района</t>
  </si>
  <si>
    <r>
      <t xml:space="preserve">Примерное цикличное меню </t>
    </r>
    <r>
      <rPr>
        <b/>
        <i/>
        <u val="single"/>
        <sz val="11"/>
        <rFont val="Times New Roman"/>
        <family val="1"/>
      </rPr>
      <t>обедов</t>
    </r>
    <r>
      <rPr>
        <b/>
        <i/>
        <sz val="11"/>
        <rFont val="Times New Roman"/>
        <family val="1"/>
      </rPr>
      <t xml:space="preserve"> для обучающихся 5-11 классов (сезон лето-осень)</t>
    </r>
  </si>
  <si>
    <t>общеобразовательных организаций   Мостовского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</si>
</sst>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9BE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8" fillId="12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12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indent="1"/>
    </xf>
    <xf numFmtId="2" fontId="8" fillId="0" borderId="10" xfId="0" applyNumberFormat="1" applyFont="1" applyBorder="1" applyAlignment="1">
      <alignment horizontal="right"/>
    </xf>
    <xf numFmtId="2" fontId="8" fillId="6" borderId="10" xfId="0" applyNumberFormat="1" applyFont="1" applyFill="1" applyBorder="1" applyAlignment="1">
      <alignment/>
    </xf>
    <xf numFmtId="2" fontId="6" fillId="7" borderId="10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right"/>
    </xf>
    <xf numFmtId="2" fontId="8" fillId="34" borderId="11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right"/>
    </xf>
    <xf numFmtId="2" fontId="56" fillId="34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/>
    </xf>
    <xf numFmtId="1" fontId="56" fillId="33" borderId="1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left" vertical="center"/>
    </xf>
    <xf numFmtId="0" fontId="4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right"/>
    </xf>
    <xf numFmtId="0" fontId="8" fillId="12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56" fillId="33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5" fillId="34" borderId="13" xfId="0" applyNumberFormat="1" applyFont="1" applyFill="1" applyBorder="1" applyAlignment="1">
      <alignment/>
    </xf>
    <xf numFmtId="0" fontId="8" fillId="6" borderId="10" xfId="0" applyNumberFormat="1" applyFont="1" applyFill="1" applyBorder="1" applyAlignment="1">
      <alignment horizontal="right"/>
    </xf>
    <xf numFmtId="2" fontId="6" fillId="7" borderId="14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" borderId="15" xfId="0" applyFont="1" applyFill="1" applyBorder="1" applyAlignment="1">
      <alignment/>
    </xf>
    <xf numFmtId="0" fontId="4" fillId="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13" borderId="0" xfId="0" applyFont="1" applyFill="1" applyAlignment="1">
      <alignment/>
    </xf>
    <xf numFmtId="0" fontId="8" fillId="35" borderId="13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left" wrapText="1"/>
    </xf>
    <xf numFmtId="2" fontId="8" fillId="12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57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1" xfId="0" applyNumberFormat="1" applyFont="1" applyFill="1" applyBorder="1" applyAlignment="1">
      <alignment horizontal="right" vertical="center"/>
    </xf>
    <xf numFmtId="2" fontId="8" fillId="34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" fontId="8" fillId="6" borderId="10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1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indent="1"/>
    </xf>
    <xf numFmtId="0" fontId="8" fillId="3" borderId="1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indent="1"/>
    </xf>
    <xf numFmtId="0" fontId="6" fillId="34" borderId="13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indent="1"/>
    </xf>
    <xf numFmtId="0" fontId="8" fillId="34" borderId="17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2" fontId="6" fillId="1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6" borderId="1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14" fillId="37" borderId="10" xfId="0" applyNumberFormat="1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right"/>
    </xf>
    <xf numFmtId="2" fontId="58" fillId="37" borderId="10" xfId="0" applyNumberFormat="1" applyFont="1" applyFill="1" applyBorder="1" applyAlignment="1">
      <alignment horizontal="left"/>
    </xf>
    <xf numFmtId="0" fontId="8" fillId="37" borderId="10" xfId="0" applyNumberFormat="1" applyFont="1" applyFill="1" applyBorder="1" applyAlignment="1">
      <alignment horizontal="right"/>
    </xf>
    <xf numFmtId="0" fontId="58" fillId="37" borderId="10" xfId="0" applyNumberFormat="1" applyFont="1" applyFill="1" applyBorder="1" applyAlignment="1">
      <alignment horizontal="right"/>
    </xf>
    <xf numFmtId="2" fontId="58" fillId="37" borderId="10" xfId="0" applyNumberFormat="1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2" fontId="16" fillId="34" borderId="17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4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6" fillId="34" borderId="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2" fontId="15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2" fontId="15" fillId="34" borderId="17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/>
    </xf>
    <xf numFmtId="2" fontId="15" fillId="34" borderId="12" xfId="0" applyNumberFormat="1" applyFont="1" applyFill="1" applyBorder="1" applyAlignment="1">
      <alignment/>
    </xf>
    <xf numFmtId="2" fontId="15" fillId="0" borderId="13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left" vertical="center"/>
    </xf>
    <xf numFmtId="2" fontId="17" fillId="0" borderId="17" xfId="0" applyNumberFormat="1" applyFont="1" applyBorder="1" applyAlignment="1">
      <alignment horizontal="left" vertical="center"/>
    </xf>
    <xf numFmtId="2" fontId="17" fillId="0" borderId="11" xfId="0" applyNumberFormat="1" applyFont="1" applyBorder="1" applyAlignment="1">
      <alignment horizontal="left" vertical="center"/>
    </xf>
    <xf numFmtId="2" fontId="17" fillId="0" borderId="12" xfId="0" applyNumberFormat="1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left" vertical="center"/>
    </xf>
    <xf numFmtId="2" fontId="17" fillId="34" borderId="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2" fontId="7" fillId="34" borderId="0" xfId="0" applyNumberFormat="1" applyFont="1" applyFill="1" applyAlignment="1">
      <alignment/>
    </xf>
    <xf numFmtId="0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8" fillId="34" borderId="10" xfId="0" applyNumberFormat="1" applyFont="1" applyFill="1" applyBorder="1" applyAlignment="1">
      <alignment horizontal="center"/>
    </xf>
    <xf numFmtId="2" fontId="8" fillId="34" borderId="0" xfId="0" applyNumberFormat="1" applyFont="1" applyFill="1" applyAlignment="1">
      <alignment/>
    </xf>
    <xf numFmtId="0" fontId="12" fillId="35" borderId="10" xfId="0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top" wrapText="1"/>
    </xf>
    <xf numFmtId="2" fontId="12" fillId="34" borderId="0" xfId="0" applyNumberFormat="1" applyFont="1" applyFill="1" applyAlignment="1">
      <alignment horizontal="center" wrapText="1"/>
    </xf>
    <xf numFmtId="2" fontId="12" fillId="35" borderId="0" xfId="0" applyNumberFormat="1" applyFont="1" applyFill="1" applyAlignment="1">
      <alignment horizontal="center" wrapText="1"/>
    </xf>
    <xf numFmtId="2" fontId="6" fillId="3" borderId="10" xfId="0" applyNumberFormat="1" applyFont="1" applyFill="1" applyBorder="1" applyAlignment="1">
      <alignment horizontal="left"/>
    </xf>
    <xf numFmtId="2" fontId="6" fillId="3" borderId="13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vertical="center" wrapText="1"/>
    </xf>
    <xf numFmtId="2" fontId="8" fillId="7" borderId="10" xfId="0" applyNumberFormat="1" applyFont="1" applyFill="1" applyBorder="1" applyAlignment="1">
      <alignment/>
    </xf>
    <xf numFmtId="2" fontId="14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8" fillId="34" borderId="16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2" fontId="57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left" indent="1"/>
    </xf>
    <xf numFmtId="0" fontId="6" fillId="34" borderId="10" xfId="0" applyNumberFormat="1" applyFont="1" applyFill="1" applyBorder="1" applyAlignment="1">
      <alignment horizontal="right"/>
    </xf>
    <xf numFmtId="1" fontId="56" fillId="34" borderId="10" xfId="0" applyNumberFormat="1" applyFont="1" applyFill="1" applyBorder="1" applyAlignment="1">
      <alignment/>
    </xf>
    <xf numFmtId="2" fontId="56" fillId="34" borderId="10" xfId="0" applyNumberFormat="1" applyFont="1" applyFill="1" applyBorder="1" applyAlignment="1">
      <alignment horizontal="right"/>
    </xf>
    <xf numFmtId="0" fontId="56" fillId="34" borderId="10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  <xf numFmtId="2" fontId="1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left"/>
    </xf>
    <xf numFmtId="164" fontId="6" fillId="34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2" fontId="6" fillId="3" borderId="10" xfId="0" applyNumberFormat="1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left" wrapText="1"/>
    </xf>
    <xf numFmtId="0" fontId="8" fillId="4" borderId="10" xfId="0" applyFont="1" applyFill="1" applyBorder="1" applyAlignment="1">
      <alignment/>
    </xf>
    <xf numFmtId="0" fontId="13" fillId="4" borderId="0" xfId="0" applyFont="1" applyFill="1" applyAlignment="1">
      <alignment/>
    </xf>
    <xf numFmtId="0" fontId="8" fillId="4" borderId="13" xfId="0" applyFont="1" applyFill="1" applyBorder="1" applyAlignment="1">
      <alignment horizontal="left"/>
    </xf>
    <xf numFmtId="165" fontId="8" fillId="3" borderId="10" xfId="0" applyNumberFormat="1" applyFont="1" applyFill="1" applyBorder="1" applyAlignment="1">
      <alignment/>
    </xf>
    <xf numFmtId="165" fontId="8" fillId="4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165" fontId="6" fillId="34" borderId="10" xfId="0" applyNumberFormat="1" applyFont="1" applyFill="1" applyBorder="1" applyAlignment="1">
      <alignment/>
    </xf>
    <xf numFmtId="165" fontId="8" fillId="34" borderId="10" xfId="0" applyNumberFormat="1" applyFont="1" applyFill="1" applyBorder="1" applyAlignment="1">
      <alignment/>
    </xf>
    <xf numFmtId="165" fontId="12" fillId="35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/>
    </xf>
    <xf numFmtId="165" fontId="8" fillId="34" borderId="16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/>
    </xf>
    <xf numFmtId="165" fontId="8" fillId="3" borderId="17" xfId="0" applyNumberFormat="1" applyFont="1" applyFill="1" applyBorder="1" applyAlignment="1">
      <alignment/>
    </xf>
    <xf numFmtId="165" fontId="8" fillId="34" borderId="17" xfId="0" applyNumberFormat="1" applyFont="1" applyFill="1" applyBorder="1" applyAlignment="1">
      <alignment/>
    </xf>
    <xf numFmtId="165" fontId="6" fillId="13" borderId="1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8" fillId="35" borderId="10" xfId="0" applyNumberFormat="1" applyFont="1" applyFill="1" applyBorder="1" applyAlignment="1">
      <alignment/>
    </xf>
    <xf numFmtId="165" fontId="8" fillId="35" borderId="0" xfId="0" applyNumberFormat="1" applyFont="1" applyFill="1" applyAlignment="1">
      <alignment/>
    </xf>
    <xf numFmtId="165" fontId="8" fillId="0" borderId="10" xfId="0" applyNumberFormat="1" applyFont="1" applyBorder="1" applyAlignment="1">
      <alignment/>
    </xf>
    <xf numFmtId="165" fontId="8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2" fontId="6" fillId="3" borderId="11" xfId="0" applyNumberFormat="1" applyFont="1" applyFill="1" applyBorder="1" applyAlignment="1">
      <alignment horizontal="center" wrapText="1"/>
    </xf>
    <xf numFmtId="2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2" fontId="6" fillId="3" borderId="11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6" borderId="10" xfId="0" applyFont="1" applyFill="1" applyBorder="1" applyAlignment="1">
      <alignment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wrapText="1"/>
    </xf>
    <xf numFmtId="2" fontId="6" fillId="34" borderId="13" xfId="0" applyNumberFormat="1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 vertical="top" wrapText="1"/>
    </xf>
    <xf numFmtId="2" fontId="6" fillId="34" borderId="16" xfId="0" applyNumberFormat="1" applyFont="1" applyFill="1" applyBorder="1" applyAlignment="1">
      <alignment horizontal="center" vertical="top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2" fontId="6" fillId="7" borderId="17" xfId="0" applyNumberFormat="1" applyFont="1" applyFill="1" applyBorder="1" applyAlignment="1">
      <alignment horizontal="center" vertical="top" wrapText="1"/>
    </xf>
    <xf numFmtId="2" fontId="6" fillId="7" borderId="16" xfId="0" applyNumberFormat="1" applyFont="1" applyFill="1" applyBorder="1" applyAlignment="1">
      <alignment horizontal="center" vertical="top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2" fontId="6" fillId="7" borderId="17" xfId="0" applyNumberFormat="1" applyFont="1" applyFill="1" applyBorder="1" applyAlignment="1">
      <alignment horizontal="center" vertical="center" wrapText="1"/>
    </xf>
    <xf numFmtId="2" fontId="6" fillId="7" borderId="16" xfId="0" applyNumberFormat="1" applyFont="1" applyFill="1" applyBorder="1" applyAlignment="1">
      <alignment horizontal="center" vertical="center" wrapText="1"/>
    </xf>
    <xf numFmtId="0" fontId="6" fillId="7" borderId="17" xfId="0" applyNumberFormat="1" applyFont="1" applyFill="1" applyBorder="1" applyAlignment="1">
      <alignment horizontal="center" vertical="center" wrapText="1"/>
    </xf>
    <xf numFmtId="0" fontId="6" fillId="7" borderId="16" xfId="0" applyNumberFormat="1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 wrapText="1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 wrapText="1"/>
    </xf>
    <xf numFmtId="2" fontId="6" fillId="35" borderId="13" xfId="0" applyNumberFormat="1" applyFont="1" applyFill="1" applyBorder="1" applyAlignment="1">
      <alignment horizontal="center" wrapText="1"/>
    </xf>
    <xf numFmtId="2" fontId="6" fillId="12" borderId="11" xfId="0" applyNumberFormat="1" applyFont="1" applyFill="1" applyBorder="1" applyAlignment="1">
      <alignment horizontal="center" wrapText="1"/>
    </xf>
    <xf numFmtId="2" fontId="6" fillId="12" borderId="13" xfId="0" applyNumberFormat="1" applyFont="1" applyFill="1" applyBorder="1" applyAlignment="1">
      <alignment horizontal="center" wrapText="1"/>
    </xf>
    <xf numFmtId="2" fontId="6" fillId="12" borderId="11" xfId="0" applyNumberFormat="1" applyFont="1" applyFill="1" applyBorder="1" applyAlignment="1">
      <alignment horizontal="center" vertical="center" wrapText="1"/>
    </xf>
    <xf numFmtId="2" fontId="6" fillId="12" borderId="13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>
      <alignment/>
    </xf>
    <xf numFmtId="2" fontId="36" fillId="34" borderId="10" xfId="0" applyNumberFormat="1" applyFont="1" applyFill="1" applyBorder="1" applyAlignment="1">
      <alignment/>
    </xf>
    <xf numFmtId="2" fontId="38" fillId="34" borderId="10" xfId="0" applyNumberFormat="1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49"/>
  <sheetViews>
    <sheetView tabSelected="1" zoomScalePageLayoutView="0" workbookViewId="0" topLeftCell="A1">
      <pane xSplit="3" ySplit="5" topLeftCell="D9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" sqref="I2"/>
    </sheetView>
  </sheetViews>
  <sheetFormatPr defaultColWidth="4.28125" defaultRowHeight="10.5" customHeight="1"/>
  <cols>
    <col min="1" max="1" width="7.8515625" style="111" customWidth="1"/>
    <col min="2" max="2" width="39.57421875" style="106" customWidth="1"/>
    <col min="3" max="3" width="7.00390625" style="106" customWidth="1"/>
    <col min="4" max="4" width="6.140625" style="248" customWidth="1"/>
    <col min="5" max="5" width="5.7109375" style="248" customWidth="1"/>
    <col min="6" max="6" width="7.8515625" style="248" customWidth="1"/>
    <col min="7" max="7" width="6.8515625" style="248" customWidth="1"/>
    <col min="8" max="8" width="8.8515625" style="248" customWidth="1"/>
    <col min="9" max="9" width="8.7109375" style="248" customWidth="1"/>
    <col min="10" max="10" width="7.00390625" style="248" customWidth="1"/>
    <col min="11" max="11" width="5.7109375" style="248" customWidth="1"/>
    <col min="12" max="12" width="5.8515625" style="248" customWidth="1"/>
    <col min="13" max="13" width="6.8515625" style="248" customWidth="1"/>
    <col min="14" max="14" width="6.28125" style="248" customWidth="1"/>
    <col min="15" max="16" width="7.00390625" style="248" customWidth="1"/>
    <col min="17" max="17" width="6.140625" style="248" customWidth="1"/>
    <col min="18" max="18" width="6.57421875" style="248" customWidth="1"/>
    <col min="19" max="19" width="7.7109375" style="248" customWidth="1"/>
    <col min="20" max="20" width="6.8515625" style="248" customWidth="1"/>
    <col min="21" max="21" width="5.8515625" style="248" customWidth="1"/>
    <col min="22" max="22" width="7.00390625" style="248" customWidth="1"/>
    <col min="23" max="23" width="8.140625" style="248" customWidth="1"/>
    <col min="24" max="24" width="6.7109375" style="248" customWidth="1"/>
    <col min="25" max="25" width="6.28125" style="248" customWidth="1"/>
    <col min="26" max="26" width="7.00390625" style="248" customWidth="1"/>
    <col min="27" max="27" width="6.57421875" style="248" customWidth="1"/>
    <col min="28" max="28" width="6.421875" style="248" customWidth="1"/>
    <col min="29" max="29" width="6.7109375" style="248" customWidth="1"/>
    <col min="30" max="30" width="7.28125" style="248" customWidth="1"/>
    <col min="31" max="31" width="8.140625" style="248" customWidth="1"/>
    <col min="32" max="33" width="4.28125" style="42" customWidth="1"/>
    <col min="34" max="35" width="0" style="42" hidden="1" customWidth="1"/>
    <col min="36" max="36" width="7.8515625" style="111" hidden="1" customWidth="1"/>
    <col min="37" max="37" width="39.57421875" style="106" hidden="1" customWidth="1"/>
    <col min="38" max="38" width="7.00390625" style="106" hidden="1" customWidth="1"/>
    <col min="39" max="39" width="6.140625" style="106" hidden="1" customWidth="1"/>
    <col min="40" max="40" width="5.7109375" style="106" hidden="1" customWidth="1"/>
    <col min="41" max="41" width="6.421875" style="106" hidden="1" customWidth="1"/>
    <col min="42" max="42" width="5.57421875" style="106" hidden="1" customWidth="1"/>
    <col min="43" max="43" width="7.7109375" style="106" hidden="1" customWidth="1"/>
    <col min="44" max="44" width="6.140625" style="106" hidden="1" customWidth="1"/>
    <col min="45" max="45" width="7.00390625" style="106" hidden="1" customWidth="1"/>
    <col min="46" max="46" width="5.7109375" style="106" hidden="1" customWidth="1"/>
    <col min="47" max="47" width="5.8515625" style="106" hidden="1" customWidth="1"/>
    <col min="48" max="48" width="6.8515625" style="106" hidden="1" customWidth="1"/>
    <col min="49" max="49" width="6.28125" style="106" hidden="1" customWidth="1"/>
    <col min="50" max="51" width="7.00390625" style="106" hidden="1" customWidth="1"/>
    <col min="52" max="52" width="6.140625" style="106" hidden="1" customWidth="1"/>
    <col min="53" max="53" width="6.57421875" style="106" hidden="1" customWidth="1"/>
    <col min="54" max="54" width="7.7109375" style="106" hidden="1" customWidth="1"/>
    <col min="55" max="55" width="6.8515625" style="106" hidden="1" customWidth="1"/>
    <col min="56" max="56" width="5.8515625" style="106" hidden="1" customWidth="1"/>
    <col min="57" max="57" width="7.00390625" style="106" hidden="1" customWidth="1"/>
    <col min="58" max="58" width="8.140625" style="106" hidden="1" customWidth="1"/>
    <col min="59" max="59" width="6.7109375" style="106" hidden="1" customWidth="1"/>
    <col min="60" max="60" width="6.28125" style="106" hidden="1" customWidth="1"/>
    <col min="61" max="61" width="7.00390625" style="106" hidden="1" customWidth="1"/>
    <col min="62" max="62" width="6.57421875" style="106" hidden="1" customWidth="1"/>
    <col min="63" max="63" width="6.421875" style="106" hidden="1" customWidth="1"/>
    <col min="64" max="64" width="6.7109375" style="106" hidden="1" customWidth="1"/>
    <col min="65" max="65" width="7.00390625" style="106" hidden="1" customWidth="1"/>
    <col min="66" max="66" width="7.28125" style="106" hidden="1" customWidth="1"/>
    <col min="67" max="67" width="6.28125" style="106" hidden="1" customWidth="1"/>
    <col min="68" max="81" width="0" style="42" hidden="1" customWidth="1"/>
    <col min="82" max="16384" width="4.28125" style="42" customWidth="1"/>
  </cols>
  <sheetData>
    <row r="1" spans="1:68" s="176" customFormat="1" ht="10.5" customHeight="1">
      <c r="A1" s="174"/>
      <c r="B1" s="310" t="s">
        <v>179</v>
      </c>
      <c r="C1" s="17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175"/>
      <c r="AJ1" s="174"/>
      <c r="AK1" s="175" t="s">
        <v>172</v>
      </c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</row>
    <row r="2" spans="1:68" s="176" customFormat="1" ht="10.5" customHeight="1">
      <c r="A2" s="174"/>
      <c r="B2" s="311" t="s">
        <v>180</v>
      </c>
      <c r="C2" s="175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175"/>
      <c r="AJ2" s="174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</row>
    <row r="3" spans="1:68" s="179" customFormat="1" ht="10.5" customHeight="1">
      <c r="A3" s="177"/>
      <c r="B3" s="178" t="s">
        <v>131</v>
      </c>
      <c r="C3" s="178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178"/>
      <c r="AJ3" s="177"/>
      <c r="AK3" s="178" t="s">
        <v>131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</row>
    <row r="4" spans="1:68" s="181" customFormat="1" ht="10.5" customHeight="1">
      <c r="A4" s="180"/>
      <c r="B4" s="73"/>
      <c r="C4" s="73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73"/>
      <c r="AJ4" s="180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</row>
    <row r="5" spans="1:96" s="186" customFormat="1" ht="38.25" customHeight="1">
      <c r="A5" s="182" t="s">
        <v>132</v>
      </c>
      <c r="B5" s="183" t="s">
        <v>133</v>
      </c>
      <c r="C5" s="184" t="s">
        <v>134</v>
      </c>
      <c r="D5" s="249" t="s">
        <v>6</v>
      </c>
      <c r="E5" s="249" t="s">
        <v>7</v>
      </c>
      <c r="F5" s="249" t="s">
        <v>9</v>
      </c>
      <c r="G5" s="249" t="s">
        <v>8</v>
      </c>
      <c r="H5" s="249" t="s">
        <v>135</v>
      </c>
      <c r="I5" s="249" t="s">
        <v>5</v>
      </c>
      <c r="J5" s="249" t="s">
        <v>49</v>
      </c>
      <c r="K5" s="249" t="s">
        <v>0</v>
      </c>
      <c r="L5" s="249" t="s">
        <v>37</v>
      </c>
      <c r="M5" s="249" t="s">
        <v>136</v>
      </c>
      <c r="N5" s="249" t="s">
        <v>1</v>
      </c>
      <c r="O5" s="249" t="s">
        <v>137</v>
      </c>
      <c r="P5" s="249" t="s">
        <v>2</v>
      </c>
      <c r="Q5" s="249" t="s">
        <v>3</v>
      </c>
      <c r="R5" s="249" t="s">
        <v>59</v>
      </c>
      <c r="S5" s="249" t="s">
        <v>138</v>
      </c>
      <c r="T5" s="249" t="s">
        <v>60</v>
      </c>
      <c r="U5" s="249" t="s">
        <v>33</v>
      </c>
      <c r="V5" s="249" t="s">
        <v>31</v>
      </c>
      <c r="W5" s="249" t="s">
        <v>14</v>
      </c>
      <c r="X5" s="249" t="s">
        <v>139</v>
      </c>
      <c r="Y5" s="249" t="s">
        <v>4</v>
      </c>
      <c r="Z5" s="249" t="s">
        <v>12</v>
      </c>
      <c r="AA5" s="249" t="s">
        <v>140</v>
      </c>
      <c r="AB5" s="249" t="s">
        <v>10</v>
      </c>
      <c r="AC5" s="249" t="s">
        <v>11</v>
      </c>
      <c r="AD5" s="249" t="s">
        <v>13</v>
      </c>
      <c r="AE5" s="249" t="s">
        <v>141</v>
      </c>
      <c r="AF5" s="183"/>
      <c r="AG5" s="185"/>
      <c r="AH5" s="185"/>
      <c r="AI5" s="185"/>
      <c r="AJ5" s="182" t="s">
        <v>132</v>
      </c>
      <c r="AK5" s="183" t="s">
        <v>133</v>
      </c>
      <c r="AL5" s="184" t="s">
        <v>134</v>
      </c>
      <c r="AM5" s="184" t="s">
        <v>6</v>
      </c>
      <c r="AN5" s="184" t="s">
        <v>7</v>
      </c>
      <c r="AO5" s="184" t="s">
        <v>9</v>
      </c>
      <c r="AP5" s="184" t="s">
        <v>8</v>
      </c>
      <c r="AQ5" s="184" t="s">
        <v>135</v>
      </c>
      <c r="AR5" s="184" t="s">
        <v>5</v>
      </c>
      <c r="AS5" s="184" t="s">
        <v>49</v>
      </c>
      <c r="AT5" s="184" t="s">
        <v>0</v>
      </c>
      <c r="AU5" s="184" t="s">
        <v>37</v>
      </c>
      <c r="AV5" s="184" t="s">
        <v>136</v>
      </c>
      <c r="AW5" s="184" t="s">
        <v>1</v>
      </c>
      <c r="AX5" s="184" t="s">
        <v>137</v>
      </c>
      <c r="AY5" s="184" t="s">
        <v>2</v>
      </c>
      <c r="AZ5" s="184" t="s">
        <v>3</v>
      </c>
      <c r="BA5" s="184" t="s">
        <v>59</v>
      </c>
      <c r="BB5" s="184" t="s">
        <v>138</v>
      </c>
      <c r="BC5" s="184" t="s">
        <v>60</v>
      </c>
      <c r="BD5" s="184" t="s">
        <v>33</v>
      </c>
      <c r="BE5" s="184" t="s">
        <v>31</v>
      </c>
      <c r="BF5" s="184" t="s">
        <v>14</v>
      </c>
      <c r="BG5" s="184" t="s">
        <v>139</v>
      </c>
      <c r="BH5" s="184" t="s">
        <v>4</v>
      </c>
      <c r="BI5" s="184" t="s">
        <v>12</v>
      </c>
      <c r="BJ5" s="184" t="s">
        <v>140</v>
      </c>
      <c r="BK5" s="184" t="s">
        <v>10</v>
      </c>
      <c r="BL5" s="184" t="s">
        <v>11</v>
      </c>
      <c r="BM5" s="184" t="s">
        <v>42</v>
      </c>
      <c r="BN5" s="184" t="s">
        <v>13</v>
      </c>
      <c r="BO5" s="184" t="s">
        <v>141</v>
      </c>
      <c r="BP5" s="183" t="s">
        <v>44</v>
      </c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</row>
    <row r="6" spans="1:37" ht="10.5" customHeight="1">
      <c r="A6" s="261"/>
      <c r="B6" s="262"/>
      <c r="AJ6" s="261"/>
      <c r="AK6" s="262"/>
    </row>
    <row r="7" spans="1:67" s="43" customFormat="1" ht="10.5" customHeight="1">
      <c r="A7" s="267" t="s">
        <v>129</v>
      </c>
      <c r="B7" s="268"/>
      <c r="C7" s="10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J7" s="267" t="s">
        <v>129</v>
      </c>
      <c r="AK7" s="268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</row>
    <row r="8" spans="1:68" s="1" customFormat="1" ht="10.5" customHeight="1">
      <c r="A8" s="60">
        <v>88</v>
      </c>
      <c r="B8" s="60" t="s">
        <v>66</v>
      </c>
      <c r="C8" s="105">
        <v>250</v>
      </c>
      <c r="D8" s="250"/>
      <c r="E8" s="250"/>
      <c r="F8" s="250"/>
      <c r="G8" s="250"/>
      <c r="H8" s="250"/>
      <c r="I8" s="250">
        <v>20</v>
      </c>
      <c r="J8" s="250">
        <v>75</v>
      </c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>
        <v>5</v>
      </c>
      <c r="X8" s="250"/>
      <c r="Y8" s="250"/>
      <c r="Z8" s="250"/>
      <c r="AA8" s="250"/>
      <c r="AB8" s="250"/>
      <c r="AC8" s="250"/>
      <c r="AD8" s="250"/>
      <c r="AE8" s="250">
        <v>1</v>
      </c>
      <c r="AJ8" s="60">
        <v>88</v>
      </c>
      <c r="AK8" s="60" t="s">
        <v>66</v>
      </c>
      <c r="AL8" s="105">
        <v>250</v>
      </c>
      <c r="AM8" s="105"/>
      <c r="AN8" s="105"/>
      <c r="AO8" s="105"/>
      <c r="AP8" s="105"/>
      <c r="AQ8" s="105"/>
      <c r="AR8" s="105">
        <v>30</v>
      </c>
      <c r="AS8" s="105">
        <v>75</v>
      </c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>
        <v>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61"/>
    </row>
    <row r="9" spans="1:67" s="61" customFormat="1" ht="10.5" customHeight="1">
      <c r="A9" s="60">
        <v>260</v>
      </c>
      <c r="B9" s="60" t="s">
        <v>109</v>
      </c>
      <c r="C9" s="105">
        <v>100</v>
      </c>
      <c r="D9" s="250"/>
      <c r="E9" s="250"/>
      <c r="F9" s="250">
        <v>8</v>
      </c>
      <c r="G9" s="250"/>
      <c r="H9" s="250"/>
      <c r="I9" s="250"/>
      <c r="J9" s="250">
        <f>$AI$9*AS9</f>
        <v>18</v>
      </c>
      <c r="K9" s="250"/>
      <c r="L9" s="250"/>
      <c r="M9" s="250"/>
      <c r="N9" s="250">
        <v>70</v>
      </c>
      <c r="O9" s="250"/>
      <c r="P9" s="250"/>
      <c r="Q9" s="250"/>
      <c r="R9" s="250"/>
      <c r="S9" s="250"/>
      <c r="T9" s="250"/>
      <c r="U9" s="250"/>
      <c r="V9" s="250"/>
      <c r="W9" s="250"/>
      <c r="X9" s="250">
        <f>$AI$9*BG9</f>
        <v>4.5</v>
      </c>
      <c r="Y9" s="250"/>
      <c r="Z9" s="250"/>
      <c r="AA9" s="250"/>
      <c r="AB9" s="250"/>
      <c r="AC9" s="250"/>
      <c r="AD9" s="250"/>
      <c r="AE9" s="250">
        <v>1</v>
      </c>
      <c r="AI9" s="61">
        <v>1.25</v>
      </c>
      <c r="AJ9" s="60">
        <v>260</v>
      </c>
      <c r="AK9" s="60" t="s">
        <v>109</v>
      </c>
      <c r="AL9" s="105">
        <v>80</v>
      </c>
      <c r="AM9" s="105"/>
      <c r="AN9" s="105"/>
      <c r="AO9" s="105">
        <v>4</v>
      </c>
      <c r="AP9" s="105"/>
      <c r="AQ9" s="105"/>
      <c r="AR9" s="105"/>
      <c r="AS9" s="70">
        <f>(10+8)*0.8</f>
        <v>14.4</v>
      </c>
      <c r="AT9" s="105"/>
      <c r="AU9" s="105"/>
      <c r="AV9" s="105"/>
      <c r="AW9" s="105">
        <f>79*80/100</f>
        <v>63.2</v>
      </c>
      <c r="AX9" s="105"/>
      <c r="AY9" s="105"/>
      <c r="AZ9" s="105"/>
      <c r="BA9" s="105"/>
      <c r="BB9" s="105"/>
      <c r="BC9" s="105"/>
      <c r="BD9" s="105"/>
      <c r="BE9" s="105"/>
      <c r="BF9" s="105"/>
      <c r="BG9" s="105">
        <v>3.6</v>
      </c>
      <c r="BH9" s="105"/>
      <c r="BI9" s="105"/>
      <c r="BJ9" s="105"/>
      <c r="BK9" s="105"/>
      <c r="BL9" s="105"/>
      <c r="BM9" s="105"/>
      <c r="BN9" s="105"/>
      <c r="BO9" s="105"/>
    </row>
    <row r="10" spans="2:67" s="61" customFormat="1" ht="10.5" customHeight="1">
      <c r="B10" s="60" t="s">
        <v>158</v>
      </c>
      <c r="C10" s="105">
        <v>180</v>
      </c>
      <c r="D10" s="250"/>
      <c r="E10" s="250"/>
      <c r="F10" s="250"/>
      <c r="G10" s="250">
        <v>37.6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>
        <f>$AI$10*BF10</f>
        <v>6</v>
      </c>
      <c r="X10" s="250"/>
      <c r="Y10" s="250"/>
      <c r="Z10" s="250"/>
      <c r="AA10" s="250"/>
      <c r="AB10" s="250"/>
      <c r="AC10" s="250"/>
      <c r="AD10" s="250"/>
      <c r="AE10" s="250">
        <v>1</v>
      </c>
      <c r="AI10" s="61">
        <v>1.2</v>
      </c>
      <c r="AK10" s="60" t="s">
        <v>158</v>
      </c>
      <c r="AL10" s="105">
        <v>150</v>
      </c>
      <c r="AM10" s="105"/>
      <c r="AN10" s="105"/>
      <c r="AO10" s="105"/>
      <c r="AP10" s="105">
        <v>33</v>
      </c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>
        <v>5</v>
      </c>
      <c r="BG10" s="105"/>
      <c r="BH10" s="105"/>
      <c r="BI10" s="105"/>
      <c r="BJ10" s="105"/>
      <c r="BK10" s="105"/>
      <c r="BL10" s="105"/>
      <c r="BM10" s="105"/>
      <c r="BN10" s="105"/>
      <c r="BO10" s="105"/>
    </row>
    <row r="11" spans="1:67" s="61" customFormat="1" ht="12" customHeight="1">
      <c r="A11" s="78">
        <v>392</v>
      </c>
      <c r="B11" s="60" t="s">
        <v>124</v>
      </c>
      <c r="C11" s="105">
        <v>200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>
        <v>50</v>
      </c>
      <c r="S11" s="250"/>
      <c r="T11" s="250"/>
      <c r="U11" s="250"/>
      <c r="V11" s="250"/>
      <c r="W11" s="250"/>
      <c r="X11" s="250"/>
      <c r="Y11" s="250"/>
      <c r="Z11" s="250">
        <v>10</v>
      </c>
      <c r="AA11" s="250"/>
      <c r="AB11" s="250">
        <v>0.5</v>
      </c>
      <c r="AC11" s="250"/>
      <c r="AD11" s="250"/>
      <c r="AE11" s="250"/>
      <c r="AJ11" s="78">
        <v>392</v>
      </c>
      <c r="AK11" s="60" t="s">
        <v>124</v>
      </c>
      <c r="AL11" s="105">
        <v>200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>
        <v>50</v>
      </c>
      <c r="BB11" s="105"/>
      <c r="BC11" s="105"/>
      <c r="BD11" s="105"/>
      <c r="BE11" s="105"/>
      <c r="BF11" s="105"/>
      <c r="BG11" s="105"/>
      <c r="BH11" s="105"/>
      <c r="BI11" s="105">
        <v>10</v>
      </c>
      <c r="BJ11" s="105"/>
      <c r="BK11" s="105">
        <v>0.5</v>
      </c>
      <c r="BL11" s="105"/>
      <c r="BM11" s="105"/>
      <c r="BN11" s="105"/>
      <c r="BO11" s="105"/>
    </row>
    <row r="12" spans="1:67" s="61" customFormat="1" ht="10.5" customHeight="1">
      <c r="A12" s="60"/>
      <c r="B12" s="60" t="s">
        <v>53</v>
      </c>
      <c r="C12" s="105">
        <v>70</v>
      </c>
      <c r="D12" s="250"/>
      <c r="E12" s="250">
        <v>70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I12" s="61">
        <v>1.16</v>
      </c>
      <c r="AJ12" s="60"/>
      <c r="AK12" s="60" t="s">
        <v>53</v>
      </c>
      <c r="AL12" s="105">
        <v>60</v>
      </c>
      <c r="AM12" s="105"/>
      <c r="AN12" s="105">
        <v>60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</row>
    <row r="13" spans="1:67" s="61" customFormat="1" ht="10.5" customHeight="1">
      <c r="A13" s="60"/>
      <c r="B13" s="60" t="s">
        <v>156</v>
      </c>
      <c r="C13" s="105">
        <v>50</v>
      </c>
      <c r="D13" s="250">
        <v>50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I13" s="61">
        <v>2</v>
      </c>
      <c r="AJ13" s="60"/>
      <c r="AK13" s="60" t="s">
        <v>156</v>
      </c>
      <c r="AL13" s="105">
        <v>20</v>
      </c>
      <c r="AM13" s="105">
        <v>20</v>
      </c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</row>
    <row r="14" spans="1:68" s="1" customFormat="1" ht="10.5" customHeight="1">
      <c r="A14" s="60"/>
      <c r="B14" s="60" t="s">
        <v>159</v>
      </c>
      <c r="C14" s="105">
        <v>120</v>
      </c>
      <c r="D14" s="250"/>
      <c r="E14" s="250"/>
      <c r="F14" s="250"/>
      <c r="G14" s="250"/>
      <c r="H14" s="250"/>
      <c r="I14" s="250"/>
      <c r="J14" s="250"/>
      <c r="K14" s="250">
        <v>120</v>
      </c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42"/>
      <c r="AJ14" s="60"/>
      <c r="AK14" s="60" t="s">
        <v>159</v>
      </c>
      <c r="AL14" s="105">
        <v>120</v>
      </c>
      <c r="AM14" s="105"/>
      <c r="AN14" s="105"/>
      <c r="AO14" s="105"/>
      <c r="AP14" s="105"/>
      <c r="AQ14" s="105"/>
      <c r="AR14" s="105"/>
      <c r="AS14" s="105"/>
      <c r="AT14" s="105">
        <v>120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42"/>
    </row>
    <row r="15" spans="1:48" ht="10.5" customHeight="1">
      <c r="A15" s="60"/>
      <c r="B15" s="58" t="s">
        <v>154</v>
      </c>
      <c r="C15" s="106">
        <v>150</v>
      </c>
      <c r="M15" s="248">
        <v>150</v>
      </c>
      <c r="AJ15" s="60"/>
      <c r="AK15" s="58" t="s">
        <v>154</v>
      </c>
      <c r="AL15" s="106">
        <v>150</v>
      </c>
      <c r="AV15" s="106">
        <v>150</v>
      </c>
    </row>
    <row r="16" spans="1:67" s="45" customFormat="1" ht="10.5" customHeight="1">
      <c r="A16" s="109"/>
      <c r="B16" s="20" t="s">
        <v>171</v>
      </c>
      <c r="C16" s="110">
        <f aca="true" t="shared" si="0" ref="C16:AE16">SUM(C7:C15)</f>
        <v>1120</v>
      </c>
      <c r="D16" s="245">
        <f t="shared" si="0"/>
        <v>50</v>
      </c>
      <c r="E16" s="245">
        <f t="shared" si="0"/>
        <v>70</v>
      </c>
      <c r="F16" s="245">
        <f t="shared" si="0"/>
        <v>8</v>
      </c>
      <c r="G16" s="245">
        <f t="shared" si="0"/>
        <v>37.6</v>
      </c>
      <c r="H16" s="245">
        <f t="shared" si="0"/>
        <v>0</v>
      </c>
      <c r="I16" s="245">
        <f t="shared" si="0"/>
        <v>20</v>
      </c>
      <c r="J16" s="245">
        <f t="shared" si="0"/>
        <v>93</v>
      </c>
      <c r="K16" s="245">
        <f t="shared" si="0"/>
        <v>120</v>
      </c>
      <c r="L16" s="245">
        <f t="shared" si="0"/>
        <v>0</v>
      </c>
      <c r="M16" s="245">
        <f t="shared" si="0"/>
        <v>150</v>
      </c>
      <c r="N16" s="245">
        <f t="shared" si="0"/>
        <v>70</v>
      </c>
      <c r="O16" s="245">
        <f t="shared" si="0"/>
        <v>0</v>
      </c>
      <c r="P16" s="245">
        <f t="shared" si="0"/>
        <v>0</v>
      </c>
      <c r="Q16" s="245">
        <f t="shared" si="0"/>
        <v>0</v>
      </c>
      <c r="R16" s="245">
        <f t="shared" si="0"/>
        <v>50</v>
      </c>
      <c r="S16" s="245">
        <f t="shared" si="0"/>
        <v>0</v>
      </c>
      <c r="T16" s="245">
        <f t="shared" si="0"/>
        <v>0</v>
      </c>
      <c r="U16" s="245">
        <f t="shared" si="0"/>
        <v>0</v>
      </c>
      <c r="V16" s="245">
        <f t="shared" si="0"/>
        <v>0</v>
      </c>
      <c r="W16" s="245">
        <f t="shared" si="0"/>
        <v>11</v>
      </c>
      <c r="X16" s="245">
        <f t="shared" si="0"/>
        <v>4.5</v>
      </c>
      <c r="Y16" s="245">
        <f t="shared" si="0"/>
        <v>0</v>
      </c>
      <c r="Z16" s="245">
        <f t="shared" si="0"/>
        <v>10</v>
      </c>
      <c r="AA16" s="245">
        <f t="shared" si="0"/>
        <v>0</v>
      </c>
      <c r="AB16" s="245">
        <f t="shared" si="0"/>
        <v>0.5</v>
      </c>
      <c r="AC16" s="245">
        <f t="shared" si="0"/>
        <v>0</v>
      </c>
      <c r="AD16" s="245">
        <f t="shared" si="0"/>
        <v>0</v>
      </c>
      <c r="AE16" s="245">
        <f t="shared" si="0"/>
        <v>3</v>
      </c>
      <c r="AJ16" s="109"/>
      <c r="AK16" s="20" t="s">
        <v>171</v>
      </c>
      <c r="AL16" s="110">
        <f aca="true" t="shared" si="1" ref="AL16:BO16">SUM(AL7:AL15)</f>
        <v>1030</v>
      </c>
      <c r="AM16" s="110">
        <f t="shared" si="1"/>
        <v>20</v>
      </c>
      <c r="AN16" s="110">
        <f t="shared" si="1"/>
        <v>60</v>
      </c>
      <c r="AO16" s="110">
        <f t="shared" si="1"/>
        <v>4</v>
      </c>
      <c r="AP16" s="110">
        <f t="shared" si="1"/>
        <v>33</v>
      </c>
      <c r="AQ16" s="110">
        <f t="shared" si="1"/>
        <v>0</v>
      </c>
      <c r="AR16" s="110">
        <f t="shared" si="1"/>
        <v>30</v>
      </c>
      <c r="AS16" s="110">
        <f t="shared" si="1"/>
        <v>89.4</v>
      </c>
      <c r="AT16" s="110">
        <f t="shared" si="1"/>
        <v>120</v>
      </c>
      <c r="AU16" s="110">
        <f t="shared" si="1"/>
        <v>0</v>
      </c>
      <c r="AV16" s="110">
        <f t="shared" si="1"/>
        <v>150</v>
      </c>
      <c r="AW16" s="110">
        <f t="shared" si="1"/>
        <v>63.2</v>
      </c>
      <c r="AX16" s="110">
        <f t="shared" si="1"/>
        <v>0</v>
      </c>
      <c r="AY16" s="110">
        <f t="shared" si="1"/>
        <v>0</v>
      </c>
      <c r="AZ16" s="110">
        <f t="shared" si="1"/>
        <v>0</v>
      </c>
      <c r="BA16" s="110">
        <f t="shared" si="1"/>
        <v>50</v>
      </c>
      <c r="BB16" s="110">
        <f t="shared" si="1"/>
        <v>0</v>
      </c>
      <c r="BC16" s="110">
        <f t="shared" si="1"/>
        <v>0</v>
      </c>
      <c r="BD16" s="110">
        <f t="shared" si="1"/>
        <v>0</v>
      </c>
      <c r="BE16" s="110">
        <f t="shared" si="1"/>
        <v>0</v>
      </c>
      <c r="BF16" s="110">
        <f t="shared" si="1"/>
        <v>10</v>
      </c>
      <c r="BG16" s="110">
        <f t="shared" si="1"/>
        <v>3.6</v>
      </c>
      <c r="BH16" s="110">
        <f t="shared" si="1"/>
        <v>0</v>
      </c>
      <c r="BI16" s="110">
        <f t="shared" si="1"/>
        <v>10</v>
      </c>
      <c r="BJ16" s="110">
        <f t="shared" si="1"/>
        <v>0</v>
      </c>
      <c r="BK16" s="110">
        <f t="shared" si="1"/>
        <v>0.5</v>
      </c>
      <c r="BL16" s="110">
        <f t="shared" si="1"/>
        <v>0</v>
      </c>
      <c r="BM16" s="110">
        <f t="shared" si="1"/>
        <v>0</v>
      </c>
      <c r="BN16" s="110">
        <f t="shared" si="1"/>
        <v>0</v>
      </c>
      <c r="BO16" s="110">
        <f t="shared" si="1"/>
        <v>0</v>
      </c>
    </row>
    <row r="18" spans="1:67" s="43" customFormat="1" ht="10.5" customHeight="1">
      <c r="A18" s="263" t="s">
        <v>145</v>
      </c>
      <c r="B18" s="264"/>
      <c r="C18" s="191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J18" s="263" t="s">
        <v>145</v>
      </c>
      <c r="AK18" s="264"/>
      <c r="AL18" s="191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</row>
    <row r="19" spans="1:67" s="61" customFormat="1" ht="10.5" customHeight="1">
      <c r="A19" s="229"/>
      <c r="B19" s="60" t="s">
        <v>155</v>
      </c>
      <c r="C19" s="60">
        <v>100</v>
      </c>
      <c r="D19" s="250"/>
      <c r="E19" s="250"/>
      <c r="F19" s="250"/>
      <c r="G19" s="250"/>
      <c r="H19" s="250"/>
      <c r="I19" s="250"/>
      <c r="J19" s="250">
        <v>100</v>
      </c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I19" s="61">
        <v>1.66</v>
      </c>
      <c r="AJ19" s="229"/>
      <c r="AK19" s="60" t="s">
        <v>155</v>
      </c>
      <c r="AL19" s="60">
        <v>60</v>
      </c>
      <c r="AM19" s="105"/>
      <c r="AN19" s="105"/>
      <c r="AO19" s="105"/>
      <c r="AP19" s="105"/>
      <c r="AQ19" s="105"/>
      <c r="AR19" s="105"/>
      <c r="AS19" s="105">
        <v>60</v>
      </c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</row>
    <row r="20" spans="1:67" s="61" customFormat="1" ht="10.5" customHeight="1">
      <c r="A20" s="60">
        <v>98</v>
      </c>
      <c r="B20" s="60" t="s">
        <v>52</v>
      </c>
      <c r="C20" s="87">
        <v>250</v>
      </c>
      <c r="D20" s="250"/>
      <c r="E20" s="250"/>
      <c r="F20" s="250"/>
      <c r="G20" s="250">
        <v>8</v>
      </c>
      <c r="H20" s="250"/>
      <c r="I20" s="250">
        <v>17</v>
      </c>
      <c r="J20" s="250">
        <v>40</v>
      </c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>
        <v>5</v>
      </c>
      <c r="Y20" s="250"/>
      <c r="Z20" s="250"/>
      <c r="AA20" s="250"/>
      <c r="AB20" s="250"/>
      <c r="AC20" s="250"/>
      <c r="AD20" s="250"/>
      <c r="AE20" s="250">
        <v>1</v>
      </c>
      <c r="AJ20" s="60">
        <v>98</v>
      </c>
      <c r="AK20" s="60" t="s">
        <v>52</v>
      </c>
      <c r="AL20" s="87">
        <v>250</v>
      </c>
      <c r="AM20" s="105"/>
      <c r="AN20" s="105"/>
      <c r="AO20" s="105"/>
      <c r="AP20" s="105">
        <v>10</v>
      </c>
      <c r="AQ20" s="105"/>
      <c r="AR20" s="105">
        <v>20</v>
      </c>
      <c r="AS20" s="105">
        <f>30+10+10</f>
        <v>50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>
        <v>5</v>
      </c>
      <c r="BH20" s="105"/>
      <c r="BI20" s="105"/>
      <c r="BJ20" s="105"/>
      <c r="BK20" s="105"/>
      <c r="BL20" s="105"/>
      <c r="BM20" s="105"/>
      <c r="BN20" s="105"/>
      <c r="BO20" s="105"/>
    </row>
    <row r="21" spans="1:67" s="61" customFormat="1" ht="10.5" customHeight="1">
      <c r="A21" s="60">
        <v>227</v>
      </c>
      <c r="B21" s="60" t="s">
        <v>117</v>
      </c>
      <c r="C21" s="87">
        <v>100</v>
      </c>
      <c r="D21" s="250"/>
      <c r="E21" s="250"/>
      <c r="F21" s="250"/>
      <c r="G21" s="250"/>
      <c r="H21" s="250"/>
      <c r="I21" s="250"/>
      <c r="J21" s="250">
        <f>$AI$21*AS21</f>
        <v>7.951999999999999</v>
      </c>
      <c r="K21" s="250"/>
      <c r="L21" s="250"/>
      <c r="M21" s="250"/>
      <c r="N21" s="250"/>
      <c r="O21" s="250"/>
      <c r="P21" s="250"/>
      <c r="Q21" s="250">
        <f>$AI$21*AZ21</f>
        <v>129.22</v>
      </c>
      <c r="R21" s="250"/>
      <c r="S21" s="250"/>
      <c r="T21" s="250"/>
      <c r="U21" s="250"/>
      <c r="V21" s="250"/>
      <c r="W21" s="250">
        <f>$AI$21*BF21</f>
        <v>9.94</v>
      </c>
      <c r="X21" s="250"/>
      <c r="Y21" s="250"/>
      <c r="Z21" s="250"/>
      <c r="AA21" s="250"/>
      <c r="AB21" s="250"/>
      <c r="AC21" s="250"/>
      <c r="AD21" s="250"/>
      <c r="AE21" s="250">
        <v>1</v>
      </c>
      <c r="AI21" s="61">
        <v>1.42</v>
      </c>
      <c r="AJ21" s="60">
        <v>227</v>
      </c>
      <c r="AK21" s="60" t="s">
        <v>117</v>
      </c>
      <c r="AL21" s="87">
        <v>70</v>
      </c>
      <c r="AM21" s="105"/>
      <c r="AN21" s="105"/>
      <c r="AO21" s="105"/>
      <c r="AP21" s="105"/>
      <c r="AQ21" s="105"/>
      <c r="AR21" s="105"/>
      <c r="AS21" s="105">
        <v>5.6</v>
      </c>
      <c r="AT21" s="105"/>
      <c r="AU21" s="105"/>
      <c r="AV21" s="105"/>
      <c r="AW21" s="105"/>
      <c r="AX21" s="105"/>
      <c r="AY21" s="105"/>
      <c r="AZ21" s="105">
        <v>91</v>
      </c>
      <c r="BA21" s="105"/>
      <c r="BB21" s="105"/>
      <c r="BC21" s="105"/>
      <c r="BD21" s="105"/>
      <c r="BE21" s="105"/>
      <c r="BF21" s="105">
        <v>7</v>
      </c>
      <c r="BG21" s="105"/>
      <c r="BH21" s="105"/>
      <c r="BI21" s="105"/>
      <c r="BJ21" s="105"/>
      <c r="BK21" s="105"/>
      <c r="BL21" s="105"/>
      <c r="BM21" s="105"/>
      <c r="BN21" s="105"/>
      <c r="BO21" s="105"/>
    </row>
    <row r="22" spans="1:67" s="61" customFormat="1" ht="10.5" customHeight="1">
      <c r="A22" s="60">
        <v>312</v>
      </c>
      <c r="B22" s="60" t="s">
        <v>54</v>
      </c>
      <c r="C22" s="87">
        <v>200</v>
      </c>
      <c r="D22" s="250"/>
      <c r="E22" s="250"/>
      <c r="F22" s="250"/>
      <c r="G22" s="250"/>
      <c r="H22" s="250"/>
      <c r="I22" s="250">
        <v>161</v>
      </c>
      <c r="J22" s="250"/>
      <c r="K22" s="250"/>
      <c r="L22" s="250"/>
      <c r="M22" s="250"/>
      <c r="N22" s="250"/>
      <c r="O22" s="250"/>
      <c r="P22" s="250"/>
      <c r="Q22" s="250"/>
      <c r="R22" s="250">
        <v>48.4</v>
      </c>
      <c r="S22" s="250"/>
      <c r="T22" s="250"/>
      <c r="U22" s="250"/>
      <c r="V22" s="250"/>
      <c r="W22" s="250">
        <f>$AI$22*BF22</f>
        <v>7.066666666666666</v>
      </c>
      <c r="X22" s="250"/>
      <c r="Y22" s="250"/>
      <c r="Z22" s="250"/>
      <c r="AA22" s="250"/>
      <c r="AB22" s="250"/>
      <c r="AC22" s="250"/>
      <c r="AD22" s="250"/>
      <c r="AE22" s="250">
        <v>1</v>
      </c>
      <c r="AI22" s="61">
        <f>C22/AL22</f>
        <v>1.3333333333333333</v>
      </c>
      <c r="AJ22" s="60">
        <v>312</v>
      </c>
      <c r="AK22" s="60" t="s">
        <v>54</v>
      </c>
      <c r="AL22" s="87">
        <v>150</v>
      </c>
      <c r="AM22" s="105"/>
      <c r="AN22" s="105"/>
      <c r="AO22" s="105"/>
      <c r="AP22" s="105"/>
      <c r="AQ22" s="105"/>
      <c r="AR22" s="105">
        <v>128.3</v>
      </c>
      <c r="AS22" s="105"/>
      <c r="AT22" s="105"/>
      <c r="AU22" s="105"/>
      <c r="AV22" s="105"/>
      <c r="AW22" s="105"/>
      <c r="AX22" s="105"/>
      <c r="AY22" s="105"/>
      <c r="AZ22" s="105"/>
      <c r="BA22" s="105">
        <v>22.5</v>
      </c>
      <c r="BB22" s="105"/>
      <c r="BC22" s="105"/>
      <c r="BD22" s="105"/>
      <c r="BE22" s="105"/>
      <c r="BF22" s="105">
        <v>5.3</v>
      </c>
      <c r="BG22" s="105"/>
      <c r="BH22" s="105"/>
      <c r="BI22" s="105"/>
      <c r="BJ22" s="105"/>
      <c r="BK22" s="105"/>
      <c r="BL22" s="105"/>
      <c r="BM22" s="105"/>
      <c r="BN22" s="105"/>
      <c r="BO22" s="105"/>
    </row>
    <row r="23" spans="1:67" s="61" customFormat="1" ht="10.5" customHeight="1">
      <c r="A23" s="60">
        <v>349</v>
      </c>
      <c r="B23" s="60" t="s">
        <v>32</v>
      </c>
      <c r="C23" s="87">
        <v>200</v>
      </c>
      <c r="D23" s="250"/>
      <c r="E23" s="250"/>
      <c r="F23" s="250"/>
      <c r="G23" s="250"/>
      <c r="H23" s="250"/>
      <c r="I23" s="250"/>
      <c r="J23" s="250"/>
      <c r="K23" s="250"/>
      <c r="L23" s="250">
        <v>35</v>
      </c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>
        <v>10</v>
      </c>
      <c r="AA23" s="250"/>
      <c r="AB23" s="250"/>
      <c r="AC23" s="250"/>
      <c r="AD23" s="250"/>
      <c r="AE23" s="250"/>
      <c r="AJ23" s="60">
        <v>349</v>
      </c>
      <c r="AK23" s="60" t="s">
        <v>32</v>
      </c>
      <c r="AL23" s="87">
        <v>200</v>
      </c>
      <c r="AM23" s="105"/>
      <c r="AN23" s="105"/>
      <c r="AO23" s="105"/>
      <c r="AP23" s="105"/>
      <c r="AQ23" s="105"/>
      <c r="AR23" s="105"/>
      <c r="AS23" s="105"/>
      <c r="AT23" s="105"/>
      <c r="AU23" s="105">
        <v>30</v>
      </c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>
        <v>10</v>
      </c>
      <c r="BJ23" s="105"/>
      <c r="BK23" s="105"/>
      <c r="BL23" s="105"/>
      <c r="BM23" s="105"/>
      <c r="BN23" s="105"/>
      <c r="BO23" s="105"/>
    </row>
    <row r="24" spans="1:67" s="61" customFormat="1" ht="10.5" customHeight="1">
      <c r="A24" s="60"/>
      <c r="B24" s="60" t="s">
        <v>53</v>
      </c>
      <c r="C24" s="87">
        <v>70</v>
      </c>
      <c r="D24" s="250"/>
      <c r="E24" s="250">
        <v>70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I24" s="61">
        <f>C24/AL24</f>
        <v>1.75</v>
      </c>
      <c r="AJ24" s="60"/>
      <c r="AK24" s="60" t="s">
        <v>53</v>
      </c>
      <c r="AL24" s="87">
        <v>40</v>
      </c>
      <c r="AM24" s="105"/>
      <c r="AN24" s="105">
        <v>40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</row>
    <row r="25" spans="1:67" s="61" customFormat="1" ht="10.5" customHeight="1">
      <c r="A25" s="60"/>
      <c r="B25" s="60" t="s">
        <v>156</v>
      </c>
      <c r="C25" s="87">
        <v>40</v>
      </c>
      <c r="D25" s="250">
        <v>40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J25" s="60"/>
      <c r="AK25" s="60" t="s">
        <v>156</v>
      </c>
      <c r="AL25" s="87">
        <v>40</v>
      </c>
      <c r="AM25" s="105">
        <v>40</v>
      </c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</row>
    <row r="26" spans="1:53" ht="10.5" customHeight="1">
      <c r="A26" s="60"/>
      <c r="B26" s="60" t="s">
        <v>157</v>
      </c>
      <c r="C26" s="39">
        <v>200</v>
      </c>
      <c r="R26" s="248">
        <v>200</v>
      </c>
      <c r="AJ26" s="60"/>
      <c r="AK26" s="60" t="s">
        <v>157</v>
      </c>
      <c r="AL26" s="39">
        <v>200</v>
      </c>
      <c r="BA26" s="106">
        <v>200</v>
      </c>
    </row>
    <row r="27" spans="1:68" s="1" customFormat="1" ht="10.5" customHeight="1">
      <c r="A27" s="104"/>
      <c r="B27" s="105"/>
      <c r="C27" s="105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J27" s="104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61"/>
    </row>
    <row r="28" spans="1:67" s="45" customFormat="1" ht="10.5" customHeight="1">
      <c r="A28" s="109"/>
      <c r="B28" s="20" t="s">
        <v>171</v>
      </c>
      <c r="C28" s="110">
        <f aca="true" t="shared" si="2" ref="C28:AE28">SUM(C19:C27)</f>
        <v>1160</v>
      </c>
      <c r="D28" s="245">
        <f t="shared" si="2"/>
        <v>40</v>
      </c>
      <c r="E28" s="245">
        <f t="shared" si="2"/>
        <v>70</v>
      </c>
      <c r="F28" s="245">
        <f t="shared" si="2"/>
        <v>0</v>
      </c>
      <c r="G28" s="245">
        <f t="shared" si="2"/>
        <v>8</v>
      </c>
      <c r="H28" s="245">
        <f t="shared" si="2"/>
        <v>0</v>
      </c>
      <c r="I28" s="245">
        <f t="shared" si="2"/>
        <v>178</v>
      </c>
      <c r="J28" s="245">
        <f t="shared" si="2"/>
        <v>147.952</v>
      </c>
      <c r="K28" s="245">
        <f t="shared" si="2"/>
        <v>0</v>
      </c>
      <c r="L28" s="245">
        <f t="shared" si="2"/>
        <v>35</v>
      </c>
      <c r="M28" s="245">
        <f t="shared" si="2"/>
        <v>0</v>
      </c>
      <c r="N28" s="245">
        <f t="shared" si="2"/>
        <v>0</v>
      </c>
      <c r="O28" s="245">
        <f t="shared" si="2"/>
        <v>0</v>
      </c>
      <c r="P28" s="245">
        <f t="shared" si="2"/>
        <v>0</v>
      </c>
      <c r="Q28" s="245">
        <f t="shared" si="2"/>
        <v>129.22</v>
      </c>
      <c r="R28" s="245">
        <f t="shared" si="2"/>
        <v>248.4</v>
      </c>
      <c r="S28" s="245">
        <f t="shared" si="2"/>
        <v>0</v>
      </c>
      <c r="T28" s="245">
        <f t="shared" si="2"/>
        <v>0</v>
      </c>
      <c r="U28" s="245">
        <f t="shared" si="2"/>
        <v>0</v>
      </c>
      <c r="V28" s="245">
        <f t="shared" si="2"/>
        <v>0</v>
      </c>
      <c r="W28" s="245">
        <f t="shared" si="2"/>
        <v>17.006666666666668</v>
      </c>
      <c r="X28" s="245">
        <f t="shared" si="2"/>
        <v>5</v>
      </c>
      <c r="Y28" s="245">
        <f t="shared" si="2"/>
        <v>0</v>
      </c>
      <c r="Z28" s="245">
        <f t="shared" si="2"/>
        <v>10</v>
      </c>
      <c r="AA28" s="245">
        <f t="shared" si="2"/>
        <v>0</v>
      </c>
      <c r="AB28" s="245">
        <f t="shared" si="2"/>
        <v>0</v>
      </c>
      <c r="AC28" s="245">
        <f t="shared" si="2"/>
        <v>0</v>
      </c>
      <c r="AD28" s="245">
        <f t="shared" si="2"/>
        <v>0</v>
      </c>
      <c r="AE28" s="245">
        <f t="shared" si="2"/>
        <v>3</v>
      </c>
      <c r="AJ28" s="109"/>
      <c r="AK28" s="20" t="s">
        <v>171</v>
      </c>
      <c r="AL28" s="110">
        <f aca="true" t="shared" si="3" ref="AL28:BO28">SUM(AL19:AL27)</f>
        <v>1010</v>
      </c>
      <c r="AM28" s="110">
        <f t="shared" si="3"/>
        <v>40</v>
      </c>
      <c r="AN28" s="110">
        <f t="shared" si="3"/>
        <v>40</v>
      </c>
      <c r="AO28" s="110">
        <f t="shared" si="3"/>
        <v>0</v>
      </c>
      <c r="AP28" s="110">
        <f t="shared" si="3"/>
        <v>10</v>
      </c>
      <c r="AQ28" s="110">
        <f t="shared" si="3"/>
        <v>0</v>
      </c>
      <c r="AR28" s="110">
        <f t="shared" si="3"/>
        <v>148.3</v>
      </c>
      <c r="AS28" s="110">
        <f t="shared" si="3"/>
        <v>115.6</v>
      </c>
      <c r="AT28" s="110">
        <f t="shared" si="3"/>
        <v>0</v>
      </c>
      <c r="AU28" s="110">
        <f t="shared" si="3"/>
        <v>30</v>
      </c>
      <c r="AV28" s="110">
        <f t="shared" si="3"/>
        <v>0</v>
      </c>
      <c r="AW28" s="110">
        <f t="shared" si="3"/>
        <v>0</v>
      </c>
      <c r="AX28" s="110">
        <f t="shared" si="3"/>
        <v>0</v>
      </c>
      <c r="AY28" s="110">
        <f t="shared" si="3"/>
        <v>0</v>
      </c>
      <c r="AZ28" s="110">
        <f t="shared" si="3"/>
        <v>91</v>
      </c>
      <c r="BA28" s="110">
        <f t="shared" si="3"/>
        <v>222.5</v>
      </c>
      <c r="BB28" s="110">
        <f t="shared" si="3"/>
        <v>0</v>
      </c>
      <c r="BC28" s="110">
        <f t="shared" si="3"/>
        <v>0</v>
      </c>
      <c r="BD28" s="110">
        <f t="shared" si="3"/>
        <v>0</v>
      </c>
      <c r="BE28" s="110">
        <f t="shared" si="3"/>
        <v>0</v>
      </c>
      <c r="BF28" s="110">
        <f t="shared" si="3"/>
        <v>12.3</v>
      </c>
      <c r="BG28" s="110">
        <f t="shared" si="3"/>
        <v>5</v>
      </c>
      <c r="BH28" s="110">
        <f t="shared" si="3"/>
        <v>0</v>
      </c>
      <c r="BI28" s="110">
        <f t="shared" si="3"/>
        <v>10</v>
      </c>
      <c r="BJ28" s="110">
        <f t="shared" si="3"/>
        <v>0</v>
      </c>
      <c r="BK28" s="110">
        <f t="shared" si="3"/>
        <v>0</v>
      </c>
      <c r="BL28" s="110">
        <f t="shared" si="3"/>
        <v>0</v>
      </c>
      <c r="BM28" s="110">
        <f t="shared" si="3"/>
        <v>0</v>
      </c>
      <c r="BN28" s="110">
        <f t="shared" si="3"/>
        <v>0</v>
      </c>
      <c r="BO28" s="110">
        <f t="shared" si="3"/>
        <v>0</v>
      </c>
    </row>
    <row r="30" spans="1:67" s="43" customFormat="1" ht="10.5" customHeight="1">
      <c r="A30" s="265" t="s">
        <v>98</v>
      </c>
      <c r="B30" s="266"/>
      <c r="C30" s="10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J30" s="265" t="s">
        <v>98</v>
      </c>
      <c r="AK30" s="266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</row>
    <row r="31" spans="1:67" ht="10.5" customHeight="1">
      <c r="A31" s="112">
        <v>104</v>
      </c>
      <c r="B31" s="113" t="s">
        <v>104</v>
      </c>
      <c r="C31" s="113">
        <v>250</v>
      </c>
      <c r="D31" s="251"/>
      <c r="E31" s="251"/>
      <c r="F31" s="251"/>
      <c r="G31" s="251"/>
      <c r="H31" s="251"/>
      <c r="I31" s="251">
        <v>70</v>
      </c>
      <c r="J31" s="251">
        <v>22.5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>
        <v>2.5</v>
      </c>
      <c r="Y31" s="251"/>
      <c r="Z31" s="251"/>
      <c r="AA31" s="251"/>
      <c r="AB31" s="251"/>
      <c r="AC31" s="251"/>
      <c r="AD31" s="251"/>
      <c r="AE31" s="251">
        <v>1</v>
      </c>
      <c r="AJ31" s="112">
        <v>104</v>
      </c>
      <c r="AK31" s="113" t="s">
        <v>104</v>
      </c>
      <c r="AL31" s="113">
        <v>250</v>
      </c>
      <c r="AM31" s="113"/>
      <c r="AN31" s="113"/>
      <c r="AO31" s="113"/>
      <c r="AP31" s="113"/>
      <c r="AQ31" s="113"/>
      <c r="AR31" s="113">
        <v>100</v>
      </c>
      <c r="AS31" s="113">
        <v>22.5</v>
      </c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v>2.5</v>
      </c>
      <c r="BH31" s="113"/>
      <c r="BI31" s="113"/>
      <c r="BJ31" s="113"/>
      <c r="BK31" s="113"/>
      <c r="BL31" s="113"/>
      <c r="BM31" s="113"/>
      <c r="BN31" s="113"/>
      <c r="BO31" s="113"/>
    </row>
    <row r="32" spans="1:60" ht="10.5" customHeight="1">
      <c r="A32" s="112">
        <v>105</v>
      </c>
      <c r="B32" s="113" t="s">
        <v>112</v>
      </c>
      <c r="C32" s="113">
        <v>20</v>
      </c>
      <c r="J32" s="248">
        <v>2</v>
      </c>
      <c r="N32" s="248">
        <v>22.8</v>
      </c>
      <c r="Y32" s="248">
        <v>1.6</v>
      </c>
      <c r="AJ32" s="112">
        <v>105</v>
      </c>
      <c r="AK32" s="113" t="s">
        <v>112</v>
      </c>
      <c r="AL32" s="113">
        <v>20</v>
      </c>
      <c r="AS32" s="106">
        <v>2</v>
      </c>
      <c r="AW32" s="106">
        <v>22.8</v>
      </c>
      <c r="BH32" s="106">
        <v>1.6</v>
      </c>
    </row>
    <row r="33" spans="1:67" s="61" customFormat="1" ht="10.5" customHeight="1">
      <c r="A33" s="60">
        <v>223</v>
      </c>
      <c r="B33" s="60" t="s">
        <v>30</v>
      </c>
      <c r="C33" s="87">
        <v>230</v>
      </c>
      <c r="D33" s="250"/>
      <c r="E33" s="250">
        <v>7.75</v>
      </c>
      <c r="F33" s="250"/>
      <c r="G33" s="250">
        <f>$AI$33*AP33</f>
        <v>14.172972972972973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>
        <v>210</v>
      </c>
      <c r="U33" s="250"/>
      <c r="V33" s="250">
        <v>12.5</v>
      </c>
      <c r="W33" s="250">
        <f>$AI$33*BF33</f>
        <v>9.448648648648648</v>
      </c>
      <c r="X33" s="250"/>
      <c r="Y33" s="250">
        <v>4.45</v>
      </c>
      <c r="Z33" s="250">
        <v>16</v>
      </c>
      <c r="AA33" s="250"/>
      <c r="AB33" s="250"/>
      <c r="AC33" s="250">
        <v>0</v>
      </c>
      <c r="AD33" s="250"/>
      <c r="AE33" s="250"/>
      <c r="AI33" s="61">
        <f>C33/AL33</f>
        <v>1.2432432432432432</v>
      </c>
      <c r="AJ33" s="60">
        <v>223</v>
      </c>
      <c r="AK33" s="60" t="s">
        <v>30</v>
      </c>
      <c r="AL33" s="87">
        <v>185</v>
      </c>
      <c r="AM33" s="105"/>
      <c r="AN33" s="105">
        <v>7.6</v>
      </c>
      <c r="AO33" s="105"/>
      <c r="AP33" s="105">
        <v>11.4</v>
      </c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>
        <v>175</v>
      </c>
      <c r="BD33" s="105"/>
      <c r="BE33" s="105">
        <v>12</v>
      </c>
      <c r="BF33" s="105">
        <v>7.6</v>
      </c>
      <c r="BG33" s="105"/>
      <c r="BH33" s="105">
        <v>7.6</v>
      </c>
      <c r="BI33" s="105">
        <v>15.2</v>
      </c>
      <c r="BJ33" s="105"/>
      <c r="BK33" s="105"/>
      <c r="BL33" s="105">
        <v>0</v>
      </c>
      <c r="BM33" s="105"/>
      <c r="BN33" s="105"/>
      <c r="BO33" s="105"/>
    </row>
    <row r="34" spans="1:67" s="61" customFormat="1" ht="10.5" customHeight="1">
      <c r="A34" s="60"/>
      <c r="B34" s="60" t="s">
        <v>113</v>
      </c>
      <c r="C34" s="60">
        <v>35</v>
      </c>
      <c r="D34" s="250"/>
      <c r="E34" s="250"/>
      <c r="F34" s="250">
        <v>4.63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>
        <v>8.75</v>
      </c>
      <c r="W34" s="250"/>
      <c r="X34" s="250"/>
      <c r="Y34" s="250"/>
      <c r="Z34" s="250">
        <v>10</v>
      </c>
      <c r="AA34" s="250"/>
      <c r="AB34" s="250"/>
      <c r="AC34" s="250"/>
      <c r="AD34" s="250"/>
      <c r="AE34" s="250"/>
      <c r="AJ34" s="60"/>
      <c r="AK34" s="60" t="s">
        <v>113</v>
      </c>
      <c r="AL34" s="60">
        <v>35</v>
      </c>
      <c r="AM34" s="105"/>
      <c r="AN34" s="105"/>
      <c r="AO34" s="105">
        <v>2.63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>
        <v>8.75</v>
      </c>
      <c r="BF34" s="105"/>
      <c r="BG34" s="105"/>
      <c r="BH34" s="105"/>
      <c r="BI34" s="105">
        <v>10</v>
      </c>
      <c r="BJ34" s="105"/>
      <c r="BK34" s="105"/>
      <c r="BL34" s="105"/>
      <c r="BM34" s="105"/>
      <c r="BN34" s="105"/>
      <c r="BO34" s="105"/>
    </row>
    <row r="35" spans="1:67" s="61" customFormat="1" ht="10.5" customHeight="1">
      <c r="A35" s="60"/>
      <c r="B35" s="63" t="s">
        <v>116</v>
      </c>
      <c r="C35" s="63">
        <v>200</v>
      </c>
      <c r="D35" s="250"/>
      <c r="E35" s="250"/>
      <c r="F35" s="250"/>
      <c r="G35" s="250"/>
      <c r="H35" s="250"/>
      <c r="I35" s="250"/>
      <c r="J35" s="250"/>
      <c r="K35" s="250">
        <v>20</v>
      </c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>
        <v>10</v>
      </c>
      <c r="AA35" s="250"/>
      <c r="AB35" s="250"/>
      <c r="AC35" s="250"/>
      <c r="AD35" s="250"/>
      <c r="AE35" s="250"/>
      <c r="AJ35" s="60"/>
      <c r="AK35" s="63" t="s">
        <v>116</v>
      </c>
      <c r="AL35" s="63">
        <v>200</v>
      </c>
      <c r="AM35" s="105"/>
      <c r="AN35" s="105"/>
      <c r="AO35" s="105"/>
      <c r="AP35" s="105"/>
      <c r="AQ35" s="105"/>
      <c r="AR35" s="105"/>
      <c r="AS35" s="105"/>
      <c r="AT35" s="105">
        <v>20</v>
      </c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>
        <v>10</v>
      </c>
      <c r="BJ35" s="105"/>
      <c r="BK35" s="105"/>
      <c r="BL35" s="105"/>
      <c r="BM35" s="105"/>
      <c r="BN35" s="105"/>
      <c r="BO35" s="105"/>
    </row>
    <row r="36" spans="1:67" s="61" customFormat="1" ht="10.5" customHeight="1">
      <c r="A36" s="60"/>
      <c r="B36" s="60" t="s">
        <v>53</v>
      </c>
      <c r="C36" s="87">
        <v>70</v>
      </c>
      <c r="D36" s="250"/>
      <c r="E36" s="250">
        <v>70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I36" s="61">
        <f>C36/AL36</f>
        <v>1.75</v>
      </c>
      <c r="AJ36" s="60"/>
      <c r="AK36" s="60" t="s">
        <v>53</v>
      </c>
      <c r="AL36" s="87">
        <v>40</v>
      </c>
      <c r="AM36" s="105"/>
      <c r="AN36" s="105">
        <v>40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</row>
    <row r="37" spans="1:67" s="61" customFormat="1" ht="10.5" customHeight="1">
      <c r="A37" s="60"/>
      <c r="B37" s="60" t="s">
        <v>156</v>
      </c>
      <c r="C37" s="87">
        <v>40</v>
      </c>
      <c r="D37" s="250">
        <v>40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I37" s="61">
        <f>C37/AL37</f>
        <v>1</v>
      </c>
      <c r="AJ37" s="60"/>
      <c r="AK37" s="60" t="s">
        <v>156</v>
      </c>
      <c r="AL37" s="87">
        <v>40</v>
      </c>
      <c r="AM37" s="105">
        <v>40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</row>
    <row r="38" spans="1:67" s="61" customFormat="1" ht="10.5" customHeight="1">
      <c r="A38" s="60"/>
      <c r="B38" s="60" t="s">
        <v>169</v>
      </c>
      <c r="C38" s="87">
        <v>210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>
        <v>210</v>
      </c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I38" s="61">
        <f>C38/AL38</f>
        <v>1.1666666666666667</v>
      </c>
      <c r="AJ38" s="60"/>
      <c r="AK38" s="60" t="s">
        <v>169</v>
      </c>
      <c r="AL38" s="87">
        <v>180</v>
      </c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>
        <v>180</v>
      </c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</row>
    <row r="39" spans="1:68" s="1" customFormat="1" ht="10.5" customHeight="1">
      <c r="A39" s="104"/>
      <c r="B39" s="105"/>
      <c r="C39" s="115"/>
      <c r="D39" s="252"/>
      <c r="E39" s="252"/>
      <c r="F39" s="252"/>
      <c r="G39" s="252"/>
      <c r="H39" s="252"/>
      <c r="I39" s="250"/>
      <c r="J39" s="250"/>
      <c r="K39" s="250"/>
      <c r="L39" s="252"/>
      <c r="M39" s="252"/>
      <c r="N39" s="250"/>
      <c r="O39" s="250"/>
      <c r="P39" s="250"/>
      <c r="Q39" s="250"/>
      <c r="R39" s="250"/>
      <c r="S39" s="250"/>
      <c r="T39" s="250"/>
      <c r="U39" s="250"/>
      <c r="V39" s="250"/>
      <c r="W39" s="252"/>
      <c r="X39" s="252"/>
      <c r="Y39" s="250"/>
      <c r="Z39" s="252"/>
      <c r="AA39" s="252"/>
      <c r="AB39" s="252"/>
      <c r="AC39" s="252"/>
      <c r="AD39" s="252"/>
      <c r="AE39" s="250"/>
      <c r="AF39" s="42"/>
      <c r="AJ39" s="104"/>
      <c r="AK39" s="105"/>
      <c r="AL39" s="115"/>
      <c r="AM39" s="114"/>
      <c r="AN39" s="114"/>
      <c r="AO39" s="114"/>
      <c r="AP39" s="114"/>
      <c r="AQ39" s="114"/>
      <c r="AR39" s="105"/>
      <c r="AS39" s="105"/>
      <c r="AT39" s="105"/>
      <c r="AU39" s="114"/>
      <c r="AV39" s="114"/>
      <c r="AW39" s="105"/>
      <c r="AX39" s="105"/>
      <c r="AY39" s="105"/>
      <c r="AZ39" s="105"/>
      <c r="BA39" s="105"/>
      <c r="BB39" s="105"/>
      <c r="BC39" s="105"/>
      <c r="BD39" s="105"/>
      <c r="BE39" s="105"/>
      <c r="BF39" s="114"/>
      <c r="BG39" s="114"/>
      <c r="BH39" s="105"/>
      <c r="BI39" s="114"/>
      <c r="BJ39" s="114"/>
      <c r="BK39" s="114"/>
      <c r="BL39" s="114"/>
      <c r="BM39" s="114"/>
      <c r="BN39" s="114"/>
      <c r="BO39" s="105"/>
      <c r="BP39" s="42"/>
    </row>
    <row r="40" spans="1:68" s="46" customFormat="1" ht="10.5" customHeight="1">
      <c r="A40" s="116"/>
      <c r="B40" s="20" t="s">
        <v>171</v>
      </c>
      <c r="C40" s="110">
        <f aca="true" t="shared" si="4" ref="C40:AE40">SUM(C31:C39)</f>
        <v>1055</v>
      </c>
      <c r="D40" s="245">
        <f t="shared" si="4"/>
        <v>40</v>
      </c>
      <c r="E40" s="245">
        <f t="shared" si="4"/>
        <v>77.75</v>
      </c>
      <c r="F40" s="245">
        <f t="shared" si="4"/>
        <v>4.63</v>
      </c>
      <c r="G40" s="245">
        <f t="shared" si="4"/>
        <v>14.172972972972973</v>
      </c>
      <c r="H40" s="245">
        <f t="shared" si="4"/>
        <v>0</v>
      </c>
      <c r="I40" s="245">
        <f t="shared" si="4"/>
        <v>70</v>
      </c>
      <c r="J40" s="245">
        <f t="shared" si="4"/>
        <v>24.5</v>
      </c>
      <c r="K40" s="245">
        <f t="shared" si="4"/>
        <v>20</v>
      </c>
      <c r="L40" s="245">
        <f t="shared" si="4"/>
        <v>0</v>
      </c>
      <c r="M40" s="245">
        <f t="shared" si="4"/>
        <v>0</v>
      </c>
      <c r="N40" s="245">
        <f t="shared" si="4"/>
        <v>22.8</v>
      </c>
      <c r="O40" s="245">
        <f t="shared" si="4"/>
        <v>0</v>
      </c>
      <c r="P40" s="245">
        <f t="shared" si="4"/>
        <v>0</v>
      </c>
      <c r="Q40" s="245">
        <f t="shared" si="4"/>
        <v>0</v>
      </c>
      <c r="R40" s="245">
        <f t="shared" si="4"/>
        <v>0</v>
      </c>
      <c r="S40" s="245">
        <f t="shared" si="4"/>
        <v>210</v>
      </c>
      <c r="T40" s="245">
        <f t="shared" si="4"/>
        <v>210</v>
      </c>
      <c r="U40" s="245">
        <f t="shared" si="4"/>
        <v>0</v>
      </c>
      <c r="V40" s="245">
        <f t="shared" si="4"/>
        <v>21.25</v>
      </c>
      <c r="W40" s="245">
        <f t="shared" si="4"/>
        <v>9.448648648648648</v>
      </c>
      <c r="X40" s="245">
        <f t="shared" si="4"/>
        <v>2.5</v>
      </c>
      <c r="Y40" s="245">
        <f t="shared" si="4"/>
        <v>6.050000000000001</v>
      </c>
      <c r="Z40" s="245">
        <f t="shared" si="4"/>
        <v>36</v>
      </c>
      <c r="AA40" s="245">
        <f t="shared" si="4"/>
        <v>0</v>
      </c>
      <c r="AB40" s="245">
        <f t="shared" si="4"/>
        <v>0</v>
      </c>
      <c r="AC40" s="245">
        <f t="shared" si="4"/>
        <v>0</v>
      </c>
      <c r="AD40" s="245">
        <f t="shared" si="4"/>
        <v>0</v>
      </c>
      <c r="AE40" s="245">
        <f t="shared" si="4"/>
        <v>1</v>
      </c>
      <c r="AF40" s="42"/>
      <c r="AJ40" s="116"/>
      <c r="AK40" s="20" t="s">
        <v>171</v>
      </c>
      <c r="AL40" s="110">
        <f aca="true" t="shared" si="5" ref="AL40:BO40">SUM(AL31:AL39)</f>
        <v>950</v>
      </c>
      <c r="AM40" s="110">
        <f t="shared" si="5"/>
        <v>40</v>
      </c>
      <c r="AN40" s="110">
        <f t="shared" si="5"/>
        <v>47.6</v>
      </c>
      <c r="AO40" s="110">
        <f t="shared" si="5"/>
        <v>2.63</v>
      </c>
      <c r="AP40" s="110">
        <f t="shared" si="5"/>
        <v>11.4</v>
      </c>
      <c r="AQ40" s="110">
        <f t="shared" si="5"/>
        <v>0</v>
      </c>
      <c r="AR40" s="110">
        <f t="shared" si="5"/>
        <v>100</v>
      </c>
      <c r="AS40" s="110">
        <f t="shared" si="5"/>
        <v>24.5</v>
      </c>
      <c r="AT40" s="110">
        <f t="shared" si="5"/>
        <v>20</v>
      </c>
      <c r="AU40" s="110">
        <f t="shared" si="5"/>
        <v>0</v>
      </c>
      <c r="AV40" s="110">
        <f t="shared" si="5"/>
        <v>0</v>
      </c>
      <c r="AW40" s="110">
        <f t="shared" si="5"/>
        <v>22.8</v>
      </c>
      <c r="AX40" s="110">
        <f t="shared" si="5"/>
        <v>0</v>
      </c>
      <c r="AY40" s="110">
        <f t="shared" si="5"/>
        <v>0</v>
      </c>
      <c r="AZ40" s="110">
        <f t="shared" si="5"/>
        <v>0</v>
      </c>
      <c r="BA40" s="110">
        <f t="shared" si="5"/>
        <v>0</v>
      </c>
      <c r="BB40" s="110">
        <f t="shared" si="5"/>
        <v>180</v>
      </c>
      <c r="BC40" s="110">
        <f t="shared" si="5"/>
        <v>175</v>
      </c>
      <c r="BD40" s="110">
        <f t="shared" si="5"/>
        <v>0</v>
      </c>
      <c r="BE40" s="110">
        <f t="shared" si="5"/>
        <v>20.75</v>
      </c>
      <c r="BF40" s="110">
        <f t="shared" si="5"/>
        <v>7.6</v>
      </c>
      <c r="BG40" s="110">
        <f t="shared" si="5"/>
        <v>2.5</v>
      </c>
      <c r="BH40" s="110">
        <f t="shared" si="5"/>
        <v>9.2</v>
      </c>
      <c r="BI40" s="110">
        <f t="shared" si="5"/>
        <v>35.2</v>
      </c>
      <c r="BJ40" s="110">
        <f t="shared" si="5"/>
        <v>0</v>
      </c>
      <c r="BK40" s="110">
        <f t="shared" si="5"/>
        <v>0</v>
      </c>
      <c r="BL40" s="110">
        <f t="shared" si="5"/>
        <v>0</v>
      </c>
      <c r="BM40" s="110">
        <f t="shared" si="5"/>
        <v>0</v>
      </c>
      <c r="BN40" s="110">
        <f t="shared" si="5"/>
        <v>0</v>
      </c>
      <c r="BO40" s="110">
        <f t="shared" si="5"/>
        <v>0</v>
      </c>
      <c r="BP40" s="42"/>
    </row>
    <row r="41" spans="1:67" s="44" customFormat="1" ht="10.5" customHeight="1">
      <c r="A41" s="117"/>
      <c r="B41" s="118"/>
      <c r="C41" s="106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J41" s="117"/>
      <c r="AK41" s="118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</row>
    <row r="42" spans="1:67" s="43" customFormat="1" ht="10.5" customHeight="1">
      <c r="A42" s="263" t="s">
        <v>147</v>
      </c>
      <c r="B42" s="264"/>
      <c r="C42" s="191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J42" s="263" t="s">
        <v>147</v>
      </c>
      <c r="AK42" s="264"/>
      <c r="AL42" s="191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</row>
    <row r="43" spans="1:68" s="1" customFormat="1" ht="10.5" customHeight="1">
      <c r="A43" s="60">
        <v>96</v>
      </c>
      <c r="B43" s="63" t="s">
        <v>57</v>
      </c>
      <c r="C43" s="88">
        <v>250</v>
      </c>
      <c r="D43" s="252"/>
      <c r="E43" s="252"/>
      <c r="F43" s="252"/>
      <c r="G43" s="252">
        <v>5</v>
      </c>
      <c r="H43" s="252"/>
      <c r="I43" s="252">
        <v>50</v>
      </c>
      <c r="J43" s="252">
        <f>10+5+15</f>
        <v>30</v>
      </c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>
        <v>5</v>
      </c>
      <c r="X43" s="252"/>
      <c r="Y43" s="252"/>
      <c r="Z43" s="252"/>
      <c r="AA43" s="252"/>
      <c r="AB43" s="252"/>
      <c r="AC43" s="252"/>
      <c r="AD43" s="252"/>
      <c r="AE43" s="252">
        <v>1</v>
      </c>
      <c r="AF43" s="42"/>
      <c r="AJ43" s="60">
        <v>96</v>
      </c>
      <c r="AK43" s="63" t="s">
        <v>57</v>
      </c>
      <c r="AL43" s="88">
        <v>250</v>
      </c>
      <c r="AM43" s="114"/>
      <c r="AN43" s="114"/>
      <c r="AO43" s="114"/>
      <c r="AP43" s="114">
        <v>7</v>
      </c>
      <c r="AQ43" s="114"/>
      <c r="AR43" s="114">
        <v>60</v>
      </c>
      <c r="AS43" s="114">
        <f>10+5+15</f>
        <v>30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>
        <v>5</v>
      </c>
      <c r="BG43" s="114"/>
      <c r="BH43" s="114"/>
      <c r="BI43" s="114"/>
      <c r="BJ43" s="114"/>
      <c r="BK43" s="114"/>
      <c r="BL43" s="114"/>
      <c r="BM43" s="114"/>
      <c r="BN43" s="114"/>
      <c r="BO43" s="114"/>
      <c r="BP43" s="42"/>
    </row>
    <row r="44" spans="1:67" s="61" customFormat="1" ht="10.5" customHeight="1">
      <c r="A44" s="78"/>
      <c r="B44" s="60" t="s">
        <v>101</v>
      </c>
      <c r="C44" s="60">
        <v>130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>
        <v>185.5</v>
      </c>
      <c r="Q44" s="250"/>
      <c r="R44" s="250"/>
      <c r="S44" s="250"/>
      <c r="T44" s="250"/>
      <c r="U44" s="250"/>
      <c r="V44" s="250"/>
      <c r="W44" s="250"/>
      <c r="X44" s="250">
        <f>$AI$44*BG44</f>
        <v>7.799999999999999</v>
      </c>
      <c r="Y44" s="250"/>
      <c r="Z44" s="250"/>
      <c r="AA44" s="250"/>
      <c r="AB44" s="250"/>
      <c r="AC44" s="250"/>
      <c r="AD44" s="250"/>
      <c r="AE44" s="250">
        <v>1</v>
      </c>
      <c r="AI44" s="61">
        <f>C44/AL44</f>
        <v>1.5294117647058822</v>
      </c>
      <c r="AJ44" s="78"/>
      <c r="AK44" s="60" t="s">
        <v>101</v>
      </c>
      <c r="AL44" s="60">
        <v>85</v>
      </c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>
        <v>120.7</v>
      </c>
      <c r="AZ44" s="105"/>
      <c r="BA44" s="105"/>
      <c r="BB44" s="105"/>
      <c r="BC44" s="105"/>
      <c r="BD44" s="105"/>
      <c r="BE44" s="105"/>
      <c r="BF44" s="105"/>
      <c r="BG44" s="105">
        <v>5.1</v>
      </c>
      <c r="BH44" s="105"/>
      <c r="BI44" s="105"/>
      <c r="BJ44" s="105"/>
      <c r="BK44" s="105"/>
      <c r="BL44" s="105"/>
      <c r="BM44" s="105"/>
      <c r="BN44" s="105"/>
      <c r="BO44" s="105"/>
    </row>
    <row r="45" spans="1:67" s="61" customFormat="1" ht="10.5" customHeight="1">
      <c r="A45" s="60">
        <v>143</v>
      </c>
      <c r="B45" s="60" t="s">
        <v>62</v>
      </c>
      <c r="C45" s="87">
        <v>180</v>
      </c>
      <c r="D45" s="250"/>
      <c r="E45" s="250"/>
      <c r="F45" s="250"/>
      <c r="G45" s="250"/>
      <c r="H45" s="250"/>
      <c r="I45" s="250">
        <v>37.6</v>
      </c>
      <c r="J45" s="250">
        <f>$AI$45*AS45</f>
        <v>85.15384615384615</v>
      </c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>
        <v>8.38</v>
      </c>
      <c r="W45" s="250">
        <f>$AI$45*BF45</f>
        <v>11.076923076923077</v>
      </c>
      <c r="X45" s="250"/>
      <c r="Y45" s="250"/>
      <c r="Z45" s="250"/>
      <c r="AA45" s="250"/>
      <c r="AB45" s="250"/>
      <c r="AC45" s="250"/>
      <c r="AD45" s="250"/>
      <c r="AE45" s="250">
        <v>1</v>
      </c>
      <c r="AI45" s="61">
        <f>C45/AL45</f>
        <v>1.3846153846153846</v>
      </c>
      <c r="AJ45" s="60">
        <v>143</v>
      </c>
      <c r="AK45" s="60" t="s">
        <v>62</v>
      </c>
      <c r="AL45" s="87">
        <v>130</v>
      </c>
      <c r="AM45" s="105"/>
      <c r="AN45" s="105"/>
      <c r="AO45" s="105"/>
      <c r="AP45" s="105"/>
      <c r="AQ45" s="105"/>
      <c r="AR45" s="105">
        <f>32*1.3</f>
        <v>41.6</v>
      </c>
      <c r="AS45" s="105">
        <f>(11+4+12+18)*1.3+1*3</f>
        <v>61.5</v>
      </c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>
        <v>7.5</v>
      </c>
      <c r="BF45" s="105">
        <v>8</v>
      </c>
      <c r="BG45" s="105"/>
      <c r="BH45" s="105"/>
      <c r="BI45" s="105"/>
      <c r="BJ45" s="105"/>
      <c r="BK45" s="105"/>
      <c r="BL45" s="105"/>
      <c r="BM45" s="105"/>
      <c r="BN45" s="105"/>
      <c r="BO45" s="105">
        <v>1</v>
      </c>
    </row>
    <row r="46" spans="1:67" s="61" customFormat="1" ht="10.5" customHeight="1">
      <c r="A46" s="60">
        <v>397</v>
      </c>
      <c r="B46" s="60" t="s">
        <v>100</v>
      </c>
      <c r="C46" s="60">
        <v>200</v>
      </c>
      <c r="D46" s="250"/>
      <c r="E46" s="250"/>
      <c r="F46" s="250"/>
      <c r="G46" s="250"/>
      <c r="H46" s="250"/>
      <c r="I46" s="250"/>
      <c r="J46" s="250"/>
      <c r="K46" s="250">
        <v>40</v>
      </c>
      <c r="L46" s="250"/>
      <c r="M46" s="250"/>
      <c r="N46" s="250"/>
      <c r="O46" s="250"/>
      <c r="P46" s="250"/>
      <c r="Q46" s="250"/>
      <c r="R46" s="250">
        <v>0</v>
      </c>
      <c r="S46" s="250"/>
      <c r="T46" s="250"/>
      <c r="U46" s="250"/>
      <c r="V46" s="250"/>
      <c r="W46" s="250"/>
      <c r="X46" s="250"/>
      <c r="Y46" s="250"/>
      <c r="Z46" s="250">
        <v>20</v>
      </c>
      <c r="AA46" s="250"/>
      <c r="AB46" s="250"/>
      <c r="AC46" s="250"/>
      <c r="AD46" s="250"/>
      <c r="AE46" s="250"/>
      <c r="AJ46" s="60">
        <v>397</v>
      </c>
      <c r="AK46" s="60" t="s">
        <v>100</v>
      </c>
      <c r="AL46" s="60">
        <v>200</v>
      </c>
      <c r="AM46" s="105"/>
      <c r="AN46" s="105"/>
      <c r="AO46" s="105"/>
      <c r="AP46" s="105"/>
      <c r="AQ46" s="105"/>
      <c r="AR46" s="105"/>
      <c r="AS46" s="105"/>
      <c r="AT46" s="105">
        <v>40</v>
      </c>
      <c r="AU46" s="105"/>
      <c r="AV46" s="105"/>
      <c r="AW46" s="105"/>
      <c r="AX46" s="105"/>
      <c r="AY46" s="105"/>
      <c r="AZ46" s="105"/>
      <c r="BA46" s="105">
        <v>0</v>
      </c>
      <c r="BB46" s="105"/>
      <c r="BC46" s="105"/>
      <c r="BD46" s="105"/>
      <c r="BE46" s="105"/>
      <c r="BF46" s="105"/>
      <c r="BG46" s="105"/>
      <c r="BH46" s="105"/>
      <c r="BI46" s="105">
        <v>15</v>
      </c>
      <c r="BJ46" s="105"/>
      <c r="BK46" s="105"/>
      <c r="BL46" s="105"/>
      <c r="BM46" s="105"/>
      <c r="BN46" s="105"/>
      <c r="BO46" s="105"/>
    </row>
    <row r="47" spans="1:67" s="61" customFormat="1" ht="10.5" customHeight="1">
      <c r="A47" s="60"/>
      <c r="B47" s="60" t="s">
        <v>53</v>
      </c>
      <c r="C47" s="87">
        <v>70</v>
      </c>
      <c r="D47" s="250"/>
      <c r="E47" s="250">
        <v>70</v>
      </c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I47" s="61">
        <f>C47/AL47</f>
        <v>1.75</v>
      </c>
      <c r="AJ47" s="60"/>
      <c r="AK47" s="60" t="s">
        <v>53</v>
      </c>
      <c r="AL47" s="87">
        <v>40</v>
      </c>
      <c r="AM47" s="105"/>
      <c r="AN47" s="105">
        <v>40</v>
      </c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</row>
    <row r="48" spans="1:67" s="61" customFormat="1" ht="10.5" customHeight="1">
      <c r="A48" s="60"/>
      <c r="B48" s="60" t="s">
        <v>156</v>
      </c>
      <c r="C48" s="87">
        <v>50</v>
      </c>
      <c r="D48" s="250">
        <v>50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I48" s="61">
        <f>C48/AL48</f>
        <v>2.5</v>
      </c>
      <c r="AJ48" s="60"/>
      <c r="AK48" s="60" t="s">
        <v>156</v>
      </c>
      <c r="AL48" s="87">
        <v>20</v>
      </c>
      <c r="AM48" s="105">
        <v>20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</row>
    <row r="49" spans="1:68" s="1" customFormat="1" ht="10.5" customHeight="1">
      <c r="A49" s="60"/>
      <c r="B49" s="60" t="s">
        <v>160</v>
      </c>
      <c r="C49" s="87">
        <v>100</v>
      </c>
      <c r="D49" s="250"/>
      <c r="E49" s="250"/>
      <c r="F49" s="250"/>
      <c r="G49" s="250"/>
      <c r="H49" s="250"/>
      <c r="I49" s="250"/>
      <c r="J49" s="250"/>
      <c r="K49" s="250">
        <v>100</v>
      </c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42"/>
      <c r="AJ49" s="60"/>
      <c r="AK49" s="60" t="s">
        <v>160</v>
      </c>
      <c r="AL49" s="87">
        <v>100</v>
      </c>
      <c r="AM49" s="105"/>
      <c r="AN49" s="105"/>
      <c r="AO49" s="105"/>
      <c r="AP49" s="105"/>
      <c r="AQ49" s="105"/>
      <c r="AR49" s="105"/>
      <c r="AS49" s="105"/>
      <c r="AT49" s="105">
        <v>100</v>
      </c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42"/>
    </row>
    <row r="50" spans="1:68" s="1" customFormat="1" ht="10.5" customHeight="1">
      <c r="A50" s="60"/>
      <c r="B50" s="60" t="s">
        <v>157</v>
      </c>
      <c r="C50" s="39">
        <v>200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>
        <v>200</v>
      </c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42"/>
      <c r="AJ50" s="60"/>
      <c r="AK50" s="60" t="s">
        <v>157</v>
      </c>
      <c r="AL50" s="39">
        <v>200</v>
      </c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>
        <v>200</v>
      </c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42"/>
    </row>
    <row r="51" spans="1:68" s="1" customFormat="1" ht="10.5" customHeight="1">
      <c r="A51" s="104"/>
      <c r="B51" s="105"/>
      <c r="C51" s="105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42"/>
      <c r="AJ51" s="104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42"/>
    </row>
    <row r="52" spans="1:68" s="45" customFormat="1" ht="10.5" customHeight="1">
      <c r="A52" s="109"/>
      <c r="B52" s="20" t="s">
        <v>171</v>
      </c>
      <c r="C52" s="110">
        <f aca="true" t="shared" si="6" ref="C52:AE52">SUM(C43:C51)</f>
        <v>1180</v>
      </c>
      <c r="D52" s="245">
        <f t="shared" si="6"/>
        <v>50</v>
      </c>
      <c r="E52" s="245">
        <f t="shared" si="6"/>
        <v>70</v>
      </c>
      <c r="F52" s="245">
        <f t="shared" si="6"/>
        <v>0</v>
      </c>
      <c r="G52" s="245">
        <f t="shared" si="6"/>
        <v>5</v>
      </c>
      <c r="H52" s="245">
        <f t="shared" si="6"/>
        <v>0</v>
      </c>
      <c r="I52" s="245">
        <f t="shared" si="6"/>
        <v>87.6</v>
      </c>
      <c r="J52" s="245">
        <f t="shared" si="6"/>
        <v>115.15384615384615</v>
      </c>
      <c r="K52" s="245">
        <f t="shared" si="6"/>
        <v>140</v>
      </c>
      <c r="L52" s="245">
        <f t="shared" si="6"/>
        <v>0</v>
      </c>
      <c r="M52" s="245">
        <f t="shared" si="6"/>
        <v>0</v>
      </c>
      <c r="N52" s="245">
        <f t="shared" si="6"/>
        <v>0</v>
      </c>
      <c r="O52" s="245">
        <f t="shared" si="6"/>
        <v>0</v>
      </c>
      <c r="P52" s="245">
        <f t="shared" si="6"/>
        <v>185.5</v>
      </c>
      <c r="Q52" s="245">
        <f t="shared" si="6"/>
        <v>0</v>
      </c>
      <c r="R52" s="245">
        <f t="shared" si="6"/>
        <v>200</v>
      </c>
      <c r="S52" s="245">
        <f t="shared" si="6"/>
        <v>0</v>
      </c>
      <c r="T52" s="245">
        <f t="shared" si="6"/>
        <v>0</v>
      </c>
      <c r="U52" s="245">
        <f t="shared" si="6"/>
        <v>0</v>
      </c>
      <c r="V52" s="245">
        <f t="shared" si="6"/>
        <v>8.38</v>
      </c>
      <c r="W52" s="245">
        <f t="shared" si="6"/>
        <v>16.076923076923077</v>
      </c>
      <c r="X52" s="245">
        <f t="shared" si="6"/>
        <v>7.799999999999999</v>
      </c>
      <c r="Y52" s="245">
        <f t="shared" si="6"/>
        <v>0</v>
      </c>
      <c r="Z52" s="245">
        <f t="shared" si="6"/>
        <v>20</v>
      </c>
      <c r="AA52" s="245">
        <f t="shared" si="6"/>
        <v>0</v>
      </c>
      <c r="AB52" s="245">
        <f t="shared" si="6"/>
        <v>0</v>
      </c>
      <c r="AC52" s="245">
        <f t="shared" si="6"/>
        <v>0</v>
      </c>
      <c r="AD52" s="245">
        <f t="shared" si="6"/>
        <v>0</v>
      </c>
      <c r="AE52" s="245">
        <f t="shared" si="6"/>
        <v>3</v>
      </c>
      <c r="AF52" s="44"/>
      <c r="AJ52" s="109"/>
      <c r="AK52" s="20" t="s">
        <v>171</v>
      </c>
      <c r="AL52" s="110">
        <f aca="true" t="shared" si="7" ref="AL52:BO52">SUM(AL43:AL51)</f>
        <v>1025</v>
      </c>
      <c r="AM52" s="110">
        <f t="shared" si="7"/>
        <v>20</v>
      </c>
      <c r="AN52" s="110">
        <f t="shared" si="7"/>
        <v>40</v>
      </c>
      <c r="AO52" s="110">
        <f t="shared" si="7"/>
        <v>0</v>
      </c>
      <c r="AP52" s="110">
        <f t="shared" si="7"/>
        <v>7</v>
      </c>
      <c r="AQ52" s="110">
        <f t="shared" si="7"/>
        <v>0</v>
      </c>
      <c r="AR52" s="110">
        <f t="shared" si="7"/>
        <v>101.6</v>
      </c>
      <c r="AS52" s="110">
        <f t="shared" si="7"/>
        <v>91.5</v>
      </c>
      <c r="AT52" s="110">
        <f t="shared" si="7"/>
        <v>140</v>
      </c>
      <c r="AU52" s="110">
        <f t="shared" si="7"/>
        <v>0</v>
      </c>
      <c r="AV52" s="110">
        <f t="shared" si="7"/>
        <v>0</v>
      </c>
      <c r="AW52" s="110">
        <f t="shared" si="7"/>
        <v>0</v>
      </c>
      <c r="AX52" s="110">
        <f t="shared" si="7"/>
        <v>0</v>
      </c>
      <c r="AY52" s="110">
        <f t="shared" si="7"/>
        <v>120.7</v>
      </c>
      <c r="AZ52" s="110">
        <f t="shared" si="7"/>
        <v>0</v>
      </c>
      <c r="BA52" s="110">
        <f t="shared" si="7"/>
        <v>200</v>
      </c>
      <c r="BB52" s="110">
        <f t="shared" si="7"/>
        <v>0</v>
      </c>
      <c r="BC52" s="110">
        <f t="shared" si="7"/>
        <v>0</v>
      </c>
      <c r="BD52" s="110">
        <f t="shared" si="7"/>
        <v>0</v>
      </c>
      <c r="BE52" s="110">
        <f t="shared" si="7"/>
        <v>7.5</v>
      </c>
      <c r="BF52" s="110">
        <f t="shared" si="7"/>
        <v>13</v>
      </c>
      <c r="BG52" s="110">
        <f t="shared" si="7"/>
        <v>5.1</v>
      </c>
      <c r="BH52" s="110">
        <f t="shared" si="7"/>
        <v>0</v>
      </c>
      <c r="BI52" s="110">
        <f t="shared" si="7"/>
        <v>15</v>
      </c>
      <c r="BJ52" s="110">
        <f t="shared" si="7"/>
        <v>0</v>
      </c>
      <c r="BK52" s="110">
        <f t="shared" si="7"/>
        <v>0</v>
      </c>
      <c r="BL52" s="110">
        <f t="shared" si="7"/>
        <v>0</v>
      </c>
      <c r="BM52" s="110">
        <f t="shared" si="7"/>
        <v>0</v>
      </c>
      <c r="BN52" s="110">
        <f t="shared" si="7"/>
        <v>0</v>
      </c>
      <c r="BO52" s="110">
        <f t="shared" si="7"/>
        <v>1</v>
      </c>
      <c r="BP52" s="44"/>
    </row>
    <row r="53" spans="1:68" s="4" customFormat="1" ht="10.5" customHeight="1">
      <c r="A53" s="108"/>
      <c r="B53" s="108"/>
      <c r="C53" s="106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J53" s="108"/>
      <c r="AK53" s="108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62"/>
    </row>
    <row r="54" spans="1:67" s="43" customFormat="1" ht="10.5" customHeight="1">
      <c r="A54" s="263" t="s">
        <v>148</v>
      </c>
      <c r="B54" s="264"/>
      <c r="C54" s="191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J54" s="263" t="s">
        <v>148</v>
      </c>
      <c r="AK54" s="264"/>
      <c r="AL54" s="191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</row>
    <row r="55" spans="1:61" ht="10.5" customHeight="1">
      <c r="A55" s="62">
        <v>84</v>
      </c>
      <c r="B55" s="62" t="s">
        <v>55</v>
      </c>
      <c r="C55" s="89">
        <v>250</v>
      </c>
      <c r="G55" s="248">
        <v>8</v>
      </c>
      <c r="I55" s="248">
        <v>25</v>
      </c>
      <c r="J55" s="248">
        <v>60.75</v>
      </c>
      <c r="X55" s="248">
        <v>5</v>
      </c>
      <c r="Z55" s="248">
        <v>1.5</v>
      </c>
      <c r="AE55" s="248">
        <v>1</v>
      </c>
      <c r="AJ55" s="62">
        <v>84</v>
      </c>
      <c r="AK55" s="62" t="s">
        <v>55</v>
      </c>
      <c r="AL55" s="89">
        <v>250</v>
      </c>
      <c r="AP55" s="106">
        <v>10</v>
      </c>
      <c r="AR55" s="106">
        <v>25</v>
      </c>
      <c r="AS55" s="106">
        <f>40+10+2.5+10+7.5+0.75</f>
        <v>70.75</v>
      </c>
      <c r="BG55" s="106">
        <v>5</v>
      </c>
      <c r="BI55" s="106">
        <v>1.5</v>
      </c>
    </row>
    <row r="56" spans="1:68" s="1" customFormat="1" ht="10.5" customHeight="1">
      <c r="A56" s="6">
        <v>229</v>
      </c>
      <c r="B56" s="63" t="s">
        <v>58</v>
      </c>
      <c r="C56" s="88">
        <v>200</v>
      </c>
      <c r="D56" s="250"/>
      <c r="E56" s="250"/>
      <c r="F56" s="250">
        <v>6.3</v>
      </c>
      <c r="G56" s="250"/>
      <c r="H56" s="250"/>
      <c r="I56" s="250"/>
      <c r="J56" s="250">
        <v>140</v>
      </c>
      <c r="K56" s="250"/>
      <c r="L56" s="250"/>
      <c r="M56" s="250"/>
      <c r="N56" s="250"/>
      <c r="O56" s="250"/>
      <c r="P56" s="250"/>
      <c r="Q56" s="248">
        <v>65</v>
      </c>
      <c r="R56" s="250"/>
      <c r="S56" s="250"/>
      <c r="T56" s="250"/>
      <c r="U56" s="250"/>
      <c r="V56" s="250"/>
      <c r="W56" s="250"/>
      <c r="X56" s="250">
        <v>5</v>
      </c>
      <c r="Y56" s="250"/>
      <c r="Z56" s="250">
        <v>0</v>
      </c>
      <c r="AA56" s="250"/>
      <c r="AB56" s="250"/>
      <c r="AC56" s="250"/>
      <c r="AD56" s="250"/>
      <c r="AE56" s="250">
        <v>1</v>
      </c>
      <c r="AF56" s="42"/>
      <c r="AJ56" s="6">
        <v>229</v>
      </c>
      <c r="AK56" s="63" t="s">
        <v>58</v>
      </c>
      <c r="AL56" s="88">
        <v>200</v>
      </c>
      <c r="AM56" s="105"/>
      <c r="AN56" s="105"/>
      <c r="AO56" s="105">
        <v>2.3</v>
      </c>
      <c r="AP56" s="105"/>
      <c r="AQ56" s="105"/>
      <c r="AR56" s="105"/>
      <c r="AS56" s="105">
        <v>140</v>
      </c>
      <c r="AT56" s="105"/>
      <c r="AU56" s="105"/>
      <c r="AV56" s="105"/>
      <c r="AW56" s="105"/>
      <c r="AX56" s="105"/>
      <c r="AY56" s="105"/>
      <c r="AZ56" s="106">
        <v>65</v>
      </c>
      <c r="BA56" s="105"/>
      <c r="BB56" s="105"/>
      <c r="BC56" s="105"/>
      <c r="BD56" s="105"/>
      <c r="BE56" s="105"/>
      <c r="BF56" s="105"/>
      <c r="BG56" s="105">
        <v>5</v>
      </c>
      <c r="BH56" s="105"/>
      <c r="BI56" s="105">
        <v>4</v>
      </c>
      <c r="BJ56" s="105"/>
      <c r="BK56" s="105"/>
      <c r="BL56" s="105"/>
      <c r="BM56" s="105"/>
      <c r="BN56" s="105"/>
      <c r="BO56" s="105"/>
      <c r="BP56" s="42"/>
    </row>
    <row r="57" spans="1:68" s="1" customFormat="1" ht="10.5" customHeight="1">
      <c r="A57" s="78">
        <v>392</v>
      </c>
      <c r="B57" s="60" t="s">
        <v>124</v>
      </c>
      <c r="C57" s="87">
        <v>200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>
        <v>50</v>
      </c>
      <c r="S57" s="250"/>
      <c r="T57" s="250"/>
      <c r="U57" s="250"/>
      <c r="V57" s="250"/>
      <c r="W57" s="250"/>
      <c r="X57" s="250"/>
      <c r="Y57" s="250"/>
      <c r="Z57" s="250">
        <v>10</v>
      </c>
      <c r="AA57" s="250"/>
      <c r="AB57" s="250">
        <v>0.5</v>
      </c>
      <c r="AC57" s="250"/>
      <c r="AD57" s="250"/>
      <c r="AE57" s="250"/>
      <c r="AF57" s="42"/>
      <c r="AJ57" s="78">
        <v>392</v>
      </c>
      <c r="AK57" s="60" t="s">
        <v>124</v>
      </c>
      <c r="AL57" s="87">
        <v>200</v>
      </c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>
        <v>50</v>
      </c>
      <c r="BB57" s="105"/>
      <c r="BC57" s="105"/>
      <c r="BD57" s="105"/>
      <c r="BE57" s="105"/>
      <c r="BF57" s="105"/>
      <c r="BG57" s="105"/>
      <c r="BH57" s="105"/>
      <c r="BI57" s="105">
        <v>10</v>
      </c>
      <c r="BJ57" s="105"/>
      <c r="BK57" s="105">
        <v>0.5</v>
      </c>
      <c r="BL57" s="105"/>
      <c r="BM57" s="105"/>
      <c r="BN57" s="105"/>
      <c r="BO57" s="105"/>
      <c r="BP57" s="42"/>
    </row>
    <row r="58" spans="1:67" s="61" customFormat="1" ht="10.5" customHeight="1">
      <c r="A58" s="60"/>
      <c r="B58" s="60" t="s">
        <v>53</v>
      </c>
      <c r="C58" s="87">
        <v>70</v>
      </c>
      <c r="D58" s="250"/>
      <c r="E58" s="250">
        <v>70</v>
      </c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I58" s="61">
        <f>C58/AL58</f>
        <v>1.75</v>
      </c>
      <c r="AJ58" s="60"/>
      <c r="AK58" s="60" t="s">
        <v>53</v>
      </c>
      <c r="AL58" s="87">
        <v>40</v>
      </c>
      <c r="AM58" s="105"/>
      <c r="AN58" s="105">
        <v>40</v>
      </c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</row>
    <row r="59" spans="1:67" s="61" customFormat="1" ht="10.5" customHeight="1">
      <c r="A59" s="60"/>
      <c r="B59" s="60" t="s">
        <v>156</v>
      </c>
      <c r="C59" s="87">
        <v>40</v>
      </c>
      <c r="D59" s="250">
        <v>40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J59" s="60"/>
      <c r="AK59" s="60" t="s">
        <v>156</v>
      </c>
      <c r="AL59" s="87">
        <v>40</v>
      </c>
      <c r="AM59" s="105">
        <v>40</v>
      </c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</row>
    <row r="60" spans="1:67" s="61" customFormat="1" ht="10.5" customHeight="1">
      <c r="A60" s="60"/>
      <c r="B60" s="63" t="s">
        <v>110</v>
      </c>
      <c r="C60" s="63">
        <v>80</v>
      </c>
      <c r="D60" s="250"/>
      <c r="E60" s="250"/>
      <c r="F60" s="250">
        <v>41.5</v>
      </c>
      <c r="G60" s="250"/>
      <c r="H60" s="250"/>
      <c r="I60" s="250"/>
      <c r="J60" s="250"/>
      <c r="K60" s="250">
        <v>20</v>
      </c>
      <c r="L60" s="250"/>
      <c r="M60" s="250"/>
      <c r="N60" s="250"/>
      <c r="O60" s="250"/>
      <c r="P60" s="250"/>
      <c r="Q60" s="250"/>
      <c r="R60" s="250">
        <v>22.5</v>
      </c>
      <c r="S60" s="250"/>
      <c r="T60" s="250"/>
      <c r="U60" s="250"/>
      <c r="V60" s="250"/>
      <c r="W60" s="250">
        <v>5</v>
      </c>
      <c r="X60" s="250"/>
      <c r="Y60" s="250">
        <v>6</v>
      </c>
      <c r="Z60" s="250">
        <v>15</v>
      </c>
      <c r="AA60" s="250"/>
      <c r="AB60" s="250"/>
      <c r="AC60" s="250">
        <v>4.2</v>
      </c>
      <c r="AD60" s="250">
        <v>7</v>
      </c>
      <c r="AE60" s="250"/>
      <c r="AJ60" s="60"/>
      <c r="AK60" s="63" t="s">
        <v>110</v>
      </c>
      <c r="AL60" s="63">
        <v>80</v>
      </c>
      <c r="AM60" s="105"/>
      <c r="AN60" s="105"/>
      <c r="AO60" s="105">
        <v>39.5</v>
      </c>
      <c r="AP60" s="105"/>
      <c r="AQ60" s="105"/>
      <c r="AR60" s="105"/>
      <c r="AS60" s="105"/>
      <c r="AT60" s="105">
        <v>20</v>
      </c>
      <c r="AU60" s="105"/>
      <c r="AV60" s="105"/>
      <c r="AW60" s="105"/>
      <c r="AX60" s="105"/>
      <c r="AY60" s="105"/>
      <c r="AZ60" s="105"/>
      <c r="BA60" s="105">
        <v>22.5</v>
      </c>
      <c r="BB60" s="105"/>
      <c r="BC60" s="105"/>
      <c r="BD60" s="105"/>
      <c r="BE60" s="105"/>
      <c r="BF60" s="105">
        <v>5</v>
      </c>
      <c r="BG60" s="105"/>
      <c r="BH60" s="105">
        <v>6</v>
      </c>
      <c r="BI60" s="105">
        <v>15</v>
      </c>
      <c r="BJ60" s="105"/>
      <c r="BK60" s="105"/>
      <c r="BL60" s="105">
        <v>4</v>
      </c>
      <c r="BM60" s="105">
        <v>1</v>
      </c>
      <c r="BN60" s="105"/>
      <c r="BO60" s="105"/>
    </row>
    <row r="61" spans="1:67" s="61" customFormat="1" ht="10.5" customHeight="1">
      <c r="A61" s="60"/>
      <c r="B61" s="232" t="s">
        <v>162</v>
      </c>
      <c r="C61" s="233">
        <v>150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>
        <v>150</v>
      </c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I61" s="61">
        <f>C61/AL61</f>
        <v>1</v>
      </c>
      <c r="AJ61" s="60"/>
      <c r="AK61" s="232" t="s">
        <v>162</v>
      </c>
      <c r="AL61" s="233">
        <v>150</v>
      </c>
      <c r="AM61" s="105"/>
      <c r="AN61" s="105"/>
      <c r="AO61" s="105"/>
      <c r="AP61" s="105"/>
      <c r="AQ61" s="105"/>
      <c r="AR61" s="105"/>
      <c r="AS61" s="105"/>
      <c r="AT61" s="105"/>
      <c r="AU61" s="105"/>
      <c r="AV61" s="105">
        <v>150</v>
      </c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</row>
    <row r="62" spans="1:68" s="1" customFormat="1" ht="10.5" customHeight="1">
      <c r="A62" s="120"/>
      <c r="B62" s="114"/>
      <c r="C62" s="114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42"/>
      <c r="AJ62" s="120"/>
      <c r="AK62" s="114"/>
      <c r="AL62" s="114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42"/>
    </row>
    <row r="63" spans="1:68" s="45" customFormat="1" ht="10.5" customHeight="1">
      <c r="A63" s="109"/>
      <c r="B63" s="20" t="s">
        <v>171</v>
      </c>
      <c r="C63" s="110">
        <f>SUM(C55:C62)</f>
        <v>990</v>
      </c>
      <c r="D63" s="245">
        <f aca="true" t="shared" si="8" ref="D63:AE63">SUM(D55:D62)</f>
        <v>40</v>
      </c>
      <c r="E63" s="245">
        <f t="shared" si="8"/>
        <v>70</v>
      </c>
      <c r="F63" s="245">
        <f t="shared" si="8"/>
        <v>47.8</v>
      </c>
      <c r="G63" s="245">
        <f t="shared" si="8"/>
        <v>8</v>
      </c>
      <c r="H63" s="245">
        <f t="shared" si="8"/>
        <v>0</v>
      </c>
      <c r="I63" s="245">
        <f t="shared" si="8"/>
        <v>25</v>
      </c>
      <c r="J63" s="245">
        <f t="shared" si="8"/>
        <v>200.75</v>
      </c>
      <c r="K63" s="245">
        <f t="shared" si="8"/>
        <v>20</v>
      </c>
      <c r="L63" s="245">
        <f t="shared" si="8"/>
        <v>0</v>
      </c>
      <c r="M63" s="245">
        <f t="shared" si="8"/>
        <v>150</v>
      </c>
      <c r="N63" s="245">
        <f t="shared" si="8"/>
        <v>0</v>
      </c>
      <c r="O63" s="245">
        <f t="shared" si="8"/>
        <v>0</v>
      </c>
      <c r="P63" s="245">
        <f t="shared" si="8"/>
        <v>0</v>
      </c>
      <c r="Q63" s="245">
        <f t="shared" si="8"/>
        <v>65</v>
      </c>
      <c r="R63" s="245">
        <f t="shared" si="8"/>
        <v>72.5</v>
      </c>
      <c r="S63" s="245">
        <f t="shared" si="8"/>
        <v>0</v>
      </c>
      <c r="T63" s="245">
        <f t="shared" si="8"/>
        <v>0</v>
      </c>
      <c r="U63" s="245">
        <f t="shared" si="8"/>
        <v>0</v>
      </c>
      <c r="V63" s="245">
        <f t="shared" si="8"/>
        <v>0</v>
      </c>
      <c r="W63" s="245">
        <f t="shared" si="8"/>
        <v>5</v>
      </c>
      <c r="X63" s="245">
        <f t="shared" si="8"/>
        <v>10</v>
      </c>
      <c r="Y63" s="245">
        <f t="shared" si="8"/>
        <v>6</v>
      </c>
      <c r="Z63" s="245">
        <f t="shared" si="8"/>
        <v>26.5</v>
      </c>
      <c r="AA63" s="245">
        <f t="shared" si="8"/>
        <v>0</v>
      </c>
      <c r="AB63" s="245">
        <f t="shared" si="8"/>
        <v>0.5</v>
      </c>
      <c r="AC63" s="245">
        <f t="shared" si="8"/>
        <v>4.2</v>
      </c>
      <c r="AD63" s="245">
        <f t="shared" si="8"/>
        <v>7</v>
      </c>
      <c r="AE63" s="245">
        <f t="shared" si="8"/>
        <v>2</v>
      </c>
      <c r="AF63" s="44"/>
      <c r="AJ63" s="109"/>
      <c r="AK63" s="20" t="s">
        <v>171</v>
      </c>
      <c r="AL63" s="110">
        <f>SUM(AL55:AL62)</f>
        <v>960</v>
      </c>
      <c r="AM63" s="110">
        <f aca="true" t="shared" si="9" ref="AM63:BO63">SUM(AM55:AM62)</f>
        <v>40</v>
      </c>
      <c r="AN63" s="110">
        <f t="shared" si="9"/>
        <v>40</v>
      </c>
      <c r="AO63" s="110">
        <f t="shared" si="9"/>
        <v>41.8</v>
      </c>
      <c r="AP63" s="110">
        <f t="shared" si="9"/>
        <v>10</v>
      </c>
      <c r="AQ63" s="110">
        <f t="shared" si="9"/>
        <v>0</v>
      </c>
      <c r="AR63" s="110">
        <f t="shared" si="9"/>
        <v>25</v>
      </c>
      <c r="AS63" s="110">
        <f t="shared" si="9"/>
        <v>210.75</v>
      </c>
      <c r="AT63" s="110">
        <f t="shared" si="9"/>
        <v>20</v>
      </c>
      <c r="AU63" s="110">
        <f t="shared" si="9"/>
        <v>0</v>
      </c>
      <c r="AV63" s="110">
        <f t="shared" si="9"/>
        <v>150</v>
      </c>
      <c r="AW63" s="110">
        <f t="shared" si="9"/>
        <v>0</v>
      </c>
      <c r="AX63" s="110">
        <f t="shared" si="9"/>
        <v>0</v>
      </c>
      <c r="AY63" s="110">
        <f t="shared" si="9"/>
        <v>0</v>
      </c>
      <c r="AZ63" s="110">
        <f t="shared" si="9"/>
        <v>65</v>
      </c>
      <c r="BA63" s="110">
        <f t="shared" si="9"/>
        <v>72.5</v>
      </c>
      <c r="BB63" s="110">
        <f t="shared" si="9"/>
        <v>0</v>
      </c>
      <c r="BC63" s="110">
        <f t="shared" si="9"/>
        <v>0</v>
      </c>
      <c r="BD63" s="110">
        <f t="shared" si="9"/>
        <v>0</v>
      </c>
      <c r="BE63" s="110">
        <f t="shared" si="9"/>
        <v>0</v>
      </c>
      <c r="BF63" s="110">
        <f t="shared" si="9"/>
        <v>5</v>
      </c>
      <c r="BG63" s="110">
        <f t="shared" si="9"/>
        <v>10</v>
      </c>
      <c r="BH63" s="110">
        <f t="shared" si="9"/>
        <v>6</v>
      </c>
      <c r="BI63" s="110">
        <f t="shared" si="9"/>
        <v>30.5</v>
      </c>
      <c r="BJ63" s="110">
        <f t="shared" si="9"/>
        <v>0</v>
      </c>
      <c r="BK63" s="110">
        <f t="shared" si="9"/>
        <v>0.5</v>
      </c>
      <c r="BL63" s="110">
        <f t="shared" si="9"/>
        <v>4</v>
      </c>
      <c r="BM63" s="110">
        <f t="shared" si="9"/>
        <v>1</v>
      </c>
      <c r="BN63" s="110">
        <f t="shared" si="9"/>
        <v>0</v>
      </c>
      <c r="BO63" s="110">
        <f t="shared" si="9"/>
        <v>0</v>
      </c>
      <c r="BP63" s="44"/>
    </row>
    <row r="65" spans="1:67" s="43" customFormat="1" ht="10.5" customHeight="1">
      <c r="A65" s="272" t="s">
        <v>149</v>
      </c>
      <c r="B65" s="273"/>
      <c r="C65" s="191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J65" s="272" t="s">
        <v>149</v>
      </c>
      <c r="AK65" s="273"/>
      <c r="AL65" s="191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</row>
    <row r="66" spans="1:59" ht="10.5" customHeight="1">
      <c r="A66" s="26" t="s">
        <v>106</v>
      </c>
      <c r="B66" s="65" t="s">
        <v>105</v>
      </c>
      <c r="C66" s="90">
        <v>250</v>
      </c>
      <c r="I66" s="248">
        <v>45</v>
      </c>
      <c r="J66" s="248">
        <v>48</v>
      </c>
      <c r="X66" s="248">
        <v>5</v>
      </c>
      <c r="AE66" s="248">
        <v>1</v>
      </c>
      <c r="AJ66" s="26" t="s">
        <v>106</v>
      </c>
      <c r="AK66" s="65" t="s">
        <v>105</v>
      </c>
      <c r="AL66" s="90">
        <v>250</v>
      </c>
      <c r="AR66" s="106">
        <v>50</v>
      </c>
      <c r="AS66" s="106">
        <v>48</v>
      </c>
      <c r="BG66" s="106">
        <v>5</v>
      </c>
    </row>
    <row r="67" spans="1:67" s="61" customFormat="1" ht="10.5" customHeight="1">
      <c r="A67" s="7">
        <v>211</v>
      </c>
      <c r="B67" s="60" t="s">
        <v>102</v>
      </c>
      <c r="C67" s="60">
        <v>200</v>
      </c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>
        <f>$AI$67*BA67</f>
        <v>54.71428571428571</v>
      </c>
      <c r="S67" s="250"/>
      <c r="T67" s="250"/>
      <c r="U67" s="250">
        <v>21.5</v>
      </c>
      <c r="V67" s="250"/>
      <c r="W67" s="250">
        <f>$AI$67*BF67</f>
        <v>14.428571428571429</v>
      </c>
      <c r="X67" s="250"/>
      <c r="Y67" s="250">
        <v>120.62</v>
      </c>
      <c r="Z67" s="250"/>
      <c r="AA67" s="250"/>
      <c r="AB67" s="250"/>
      <c r="AC67" s="250"/>
      <c r="AD67" s="250"/>
      <c r="AE67" s="250"/>
      <c r="AI67" s="61">
        <f>C67/AL67</f>
        <v>1.4285714285714286</v>
      </c>
      <c r="AJ67" s="7">
        <v>211</v>
      </c>
      <c r="AK67" s="60" t="s">
        <v>102</v>
      </c>
      <c r="AL67" s="60">
        <v>140</v>
      </c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>
        <v>38.3</v>
      </c>
      <c r="BB67" s="105"/>
      <c r="BC67" s="105"/>
      <c r="BD67" s="105">
        <v>20.3</v>
      </c>
      <c r="BE67" s="105"/>
      <c r="BF67" s="105">
        <v>10.1</v>
      </c>
      <c r="BG67" s="105"/>
      <c r="BH67" s="105">
        <v>102</v>
      </c>
      <c r="BI67" s="105"/>
      <c r="BJ67" s="105"/>
      <c r="BK67" s="105"/>
      <c r="BL67" s="105"/>
      <c r="BM67" s="105"/>
      <c r="BN67" s="105"/>
      <c r="BO67" s="105"/>
    </row>
    <row r="68" spans="1:67" s="61" customFormat="1" ht="10.5" customHeight="1">
      <c r="A68" s="60"/>
      <c r="B68" s="60" t="s">
        <v>122</v>
      </c>
      <c r="C68" s="60">
        <v>100</v>
      </c>
      <c r="D68" s="250"/>
      <c r="E68" s="250"/>
      <c r="F68" s="250"/>
      <c r="G68" s="250"/>
      <c r="H68" s="250"/>
      <c r="I68" s="250"/>
      <c r="J68" s="250">
        <v>60</v>
      </c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>
        <v>3</v>
      </c>
      <c r="X68" s="250"/>
      <c r="Y68" s="250"/>
      <c r="Z68" s="250"/>
      <c r="AA68" s="250"/>
      <c r="AB68" s="250"/>
      <c r="AC68" s="250"/>
      <c r="AD68" s="250"/>
      <c r="AE68" s="250"/>
      <c r="AI68" s="61">
        <f>C68/AL68</f>
        <v>1.6666666666666667</v>
      </c>
      <c r="AJ68" s="60"/>
      <c r="AK68" s="60" t="s">
        <v>122</v>
      </c>
      <c r="AL68" s="60">
        <v>60</v>
      </c>
      <c r="AM68" s="105"/>
      <c r="AN68" s="105"/>
      <c r="AO68" s="105"/>
      <c r="AP68" s="105"/>
      <c r="AQ68" s="105"/>
      <c r="AR68" s="105"/>
      <c r="AS68" s="105">
        <v>60</v>
      </c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>
        <v>3</v>
      </c>
      <c r="BG68" s="105"/>
      <c r="BH68" s="105"/>
      <c r="BI68" s="105"/>
      <c r="BJ68" s="105"/>
      <c r="BK68" s="105"/>
      <c r="BL68" s="105"/>
      <c r="BM68" s="105"/>
      <c r="BN68" s="105"/>
      <c r="BO68" s="105"/>
    </row>
    <row r="69" spans="1:67" s="61" customFormat="1" ht="10.5" customHeight="1">
      <c r="A69" s="60"/>
      <c r="B69" s="60" t="s">
        <v>161</v>
      </c>
      <c r="C69" s="87">
        <v>200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>
        <v>200</v>
      </c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J69" s="60"/>
      <c r="AK69" s="60" t="s">
        <v>161</v>
      </c>
      <c r="AL69" s="87">
        <v>200</v>
      </c>
      <c r="AM69" s="105"/>
      <c r="AN69" s="105"/>
      <c r="AO69" s="105"/>
      <c r="AP69" s="105"/>
      <c r="AQ69" s="105"/>
      <c r="AR69" s="105"/>
      <c r="AS69" s="105"/>
      <c r="AT69" s="105"/>
      <c r="AU69" s="105"/>
      <c r="AV69" s="105">
        <v>200</v>
      </c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</row>
    <row r="70" spans="1:67" s="61" customFormat="1" ht="10.5" customHeight="1">
      <c r="A70" s="7"/>
      <c r="B70" s="60" t="s">
        <v>53</v>
      </c>
      <c r="C70" s="87">
        <v>60</v>
      </c>
      <c r="D70" s="250"/>
      <c r="E70" s="250">
        <v>60</v>
      </c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I70" s="61">
        <f>C70/AL70</f>
        <v>1.5</v>
      </c>
      <c r="AJ70" s="7"/>
      <c r="AK70" s="60" t="s">
        <v>53</v>
      </c>
      <c r="AL70" s="87">
        <v>40</v>
      </c>
      <c r="AM70" s="105"/>
      <c r="AN70" s="105">
        <v>40</v>
      </c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</row>
    <row r="71" spans="1:67" s="61" customFormat="1" ht="10.5" customHeight="1">
      <c r="A71" s="60"/>
      <c r="B71" s="60" t="s">
        <v>156</v>
      </c>
      <c r="C71" s="87">
        <v>40</v>
      </c>
      <c r="D71" s="250">
        <v>40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I71" s="61">
        <f>C71/AL71</f>
        <v>2</v>
      </c>
      <c r="AJ71" s="60"/>
      <c r="AK71" s="60" t="s">
        <v>156</v>
      </c>
      <c r="AL71" s="87">
        <v>20</v>
      </c>
      <c r="AM71" s="105">
        <v>20</v>
      </c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</row>
    <row r="72" spans="1:67" s="61" customFormat="1" ht="10.5" customHeight="1">
      <c r="A72" s="60"/>
      <c r="B72" s="60" t="s">
        <v>163</v>
      </c>
      <c r="C72" s="87">
        <v>120</v>
      </c>
      <c r="D72" s="250"/>
      <c r="E72" s="250"/>
      <c r="F72" s="250"/>
      <c r="G72" s="250"/>
      <c r="H72" s="250"/>
      <c r="I72" s="250"/>
      <c r="J72" s="250"/>
      <c r="K72" s="250">
        <v>120</v>
      </c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J72" s="60"/>
      <c r="AK72" s="60" t="s">
        <v>163</v>
      </c>
      <c r="AL72" s="87">
        <v>120</v>
      </c>
      <c r="AM72" s="105"/>
      <c r="AN72" s="105"/>
      <c r="AO72" s="105"/>
      <c r="AP72" s="105"/>
      <c r="AQ72" s="105"/>
      <c r="AR72" s="105"/>
      <c r="AS72" s="105"/>
      <c r="AT72" s="105">
        <v>120</v>
      </c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</row>
    <row r="73" spans="1:67" s="61" customFormat="1" ht="10.5" customHeight="1">
      <c r="A73" s="60"/>
      <c r="B73" s="60" t="s">
        <v>168</v>
      </c>
      <c r="C73" s="87">
        <v>210</v>
      </c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>
        <v>210</v>
      </c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I73" s="61">
        <f>C73/AL73</f>
        <v>1.1666666666666667</v>
      </c>
      <c r="AJ73" s="60"/>
      <c r="AK73" s="60" t="s">
        <v>168</v>
      </c>
      <c r="AL73" s="87">
        <v>180</v>
      </c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>
        <v>180</v>
      </c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</row>
    <row r="74" spans="1:68" s="1" customFormat="1" ht="10.5" customHeight="1">
      <c r="A74" s="104"/>
      <c r="B74" s="105"/>
      <c r="C74" s="105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42"/>
      <c r="AJ74" s="104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42"/>
    </row>
    <row r="75" spans="1:68" s="45" customFormat="1" ht="10.5" customHeight="1">
      <c r="A75" s="109"/>
      <c r="B75" s="20" t="s">
        <v>171</v>
      </c>
      <c r="C75" s="110">
        <f aca="true" t="shared" si="10" ref="C75:AE75">SUM(C66:C74)</f>
        <v>1180</v>
      </c>
      <c r="D75" s="245">
        <f t="shared" si="10"/>
        <v>40</v>
      </c>
      <c r="E75" s="245">
        <f t="shared" si="10"/>
        <v>60</v>
      </c>
      <c r="F75" s="245">
        <f t="shared" si="10"/>
        <v>0</v>
      </c>
      <c r="G75" s="245">
        <f t="shared" si="10"/>
        <v>0</v>
      </c>
      <c r="H75" s="245">
        <f t="shared" si="10"/>
        <v>0</v>
      </c>
      <c r="I75" s="245">
        <f t="shared" si="10"/>
        <v>45</v>
      </c>
      <c r="J75" s="245">
        <f t="shared" si="10"/>
        <v>108</v>
      </c>
      <c r="K75" s="245">
        <f t="shared" si="10"/>
        <v>120</v>
      </c>
      <c r="L75" s="245">
        <f t="shared" si="10"/>
        <v>0</v>
      </c>
      <c r="M75" s="245">
        <f t="shared" si="10"/>
        <v>200</v>
      </c>
      <c r="N75" s="245">
        <f t="shared" si="10"/>
        <v>0</v>
      </c>
      <c r="O75" s="245">
        <f t="shared" si="10"/>
        <v>0</v>
      </c>
      <c r="P75" s="245">
        <f t="shared" si="10"/>
        <v>0</v>
      </c>
      <c r="Q75" s="245">
        <f t="shared" si="10"/>
        <v>0</v>
      </c>
      <c r="R75" s="245">
        <f t="shared" si="10"/>
        <v>54.71428571428571</v>
      </c>
      <c r="S75" s="245">
        <f t="shared" si="10"/>
        <v>210</v>
      </c>
      <c r="T75" s="245">
        <f t="shared" si="10"/>
        <v>0</v>
      </c>
      <c r="U75" s="245">
        <f t="shared" si="10"/>
        <v>21.5</v>
      </c>
      <c r="V75" s="245">
        <f t="shared" si="10"/>
        <v>0</v>
      </c>
      <c r="W75" s="245">
        <f t="shared" si="10"/>
        <v>17.42857142857143</v>
      </c>
      <c r="X75" s="245">
        <f t="shared" si="10"/>
        <v>5</v>
      </c>
      <c r="Y75" s="245">
        <f t="shared" si="10"/>
        <v>120.62</v>
      </c>
      <c r="Z75" s="245">
        <f t="shared" si="10"/>
        <v>0</v>
      </c>
      <c r="AA75" s="245">
        <f t="shared" si="10"/>
        <v>0</v>
      </c>
      <c r="AB75" s="245">
        <f t="shared" si="10"/>
        <v>0</v>
      </c>
      <c r="AC75" s="245">
        <f t="shared" si="10"/>
        <v>0</v>
      </c>
      <c r="AD75" s="245">
        <f t="shared" si="10"/>
        <v>0</v>
      </c>
      <c r="AE75" s="245">
        <f t="shared" si="10"/>
        <v>1</v>
      </c>
      <c r="AF75" s="44"/>
      <c r="AJ75" s="109"/>
      <c r="AK75" s="20" t="s">
        <v>171</v>
      </c>
      <c r="AL75" s="110">
        <f aca="true" t="shared" si="11" ref="AL75:BO75">SUM(AL66:AL74)</f>
        <v>1010</v>
      </c>
      <c r="AM75" s="110">
        <f t="shared" si="11"/>
        <v>20</v>
      </c>
      <c r="AN75" s="110">
        <f t="shared" si="11"/>
        <v>40</v>
      </c>
      <c r="AO75" s="110">
        <f t="shared" si="11"/>
        <v>0</v>
      </c>
      <c r="AP75" s="110">
        <f t="shared" si="11"/>
        <v>0</v>
      </c>
      <c r="AQ75" s="110">
        <f t="shared" si="11"/>
        <v>0</v>
      </c>
      <c r="AR75" s="110">
        <f t="shared" si="11"/>
        <v>50</v>
      </c>
      <c r="AS75" s="110">
        <f t="shared" si="11"/>
        <v>108</v>
      </c>
      <c r="AT75" s="110">
        <f t="shared" si="11"/>
        <v>120</v>
      </c>
      <c r="AU75" s="110">
        <f t="shared" si="11"/>
        <v>0</v>
      </c>
      <c r="AV75" s="110">
        <f t="shared" si="11"/>
        <v>200</v>
      </c>
      <c r="AW75" s="110">
        <f t="shared" si="11"/>
        <v>0</v>
      </c>
      <c r="AX75" s="110">
        <f t="shared" si="11"/>
        <v>0</v>
      </c>
      <c r="AY75" s="110">
        <f t="shared" si="11"/>
        <v>0</v>
      </c>
      <c r="AZ75" s="110">
        <f t="shared" si="11"/>
        <v>0</v>
      </c>
      <c r="BA75" s="110">
        <f t="shared" si="11"/>
        <v>38.3</v>
      </c>
      <c r="BB75" s="110">
        <f t="shared" si="11"/>
        <v>180</v>
      </c>
      <c r="BC75" s="110">
        <f t="shared" si="11"/>
        <v>0</v>
      </c>
      <c r="BD75" s="110">
        <f t="shared" si="11"/>
        <v>20.3</v>
      </c>
      <c r="BE75" s="110">
        <f t="shared" si="11"/>
        <v>0</v>
      </c>
      <c r="BF75" s="110">
        <f t="shared" si="11"/>
        <v>13.1</v>
      </c>
      <c r="BG75" s="110">
        <f t="shared" si="11"/>
        <v>5</v>
      </c>
      <c r="BH75" s="110">
        <f t="shared" si="11"/>
        <v>102</v>
      </c>
      <c r="BI75" s="110">
        <f t="shared" si="11"/>
        <v>0</v>
      </c>
      <c r="BJ75" s="110">
        <f t="shared" si="11"/>
        <v>0</v>
      </c>
      <c r="BK75" s="110">
        <f t="shared" si="11"/>
        <v>0</v>
      </c>
      <c r="BL75" s="110">
        <f t="shared" si="11"/>
        <v>0</v>
      </c>
      <c r="BM75" s="110">
        <f t="shared" si="11"/>
        <v>0</v>
      </c>
      <c r="BN75" s="110">
        <f t="shared" si="11"/>
        <v>0</v>
      </c>
      <c r="BO75" s="110">
        <f t="shared" si="11"/>
        <v>0</v>
      </c>
      <c r="BP75" s="44"/>
    </row>
    <row r="76" spans="1:67" s="44" customFormat="1" ht="10.5" customHeight="1">
      <c r="A76" s="121"/>
      <c r="B76" s="122"/>
      <c r="C76" s="106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J76" s="121"/>
      <c r="AK76" s="122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</row>
    <row r="77" spans="1:67" s="47" customFormat="1" ht="10.5" customHeight="1">
      <c r="A77" s="263" t="s">
        <v>150</v>
      </c>
      <c r="B77" s="264"/>
      <c r="C77" s="191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J77" s="263" t="s">
        <v>150</v>
      </c>
      <c r="AK77" s="264"/>
      <c r="AL77" s="191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</row>
    <row r="78" spans="1:68" s="1" customFormat="1" ht="10.5" customHeight="1">
      <c r="A78" s="77">
        <v>81</v>
      </c>
      <c r="B78" s="60" t="s">
        <v>63</v>
      </c>
      <c r="C78" s="87">
        <v>250</v>
      </c>
      <c r="D78" s="250"/>
      <c r="E78" s="250"/>
      <c r="F78" s="250"/>
      <c r="G78" s="250"/>
      <c r="H78" s="250"/>
      <c r="I78" s="250"/>
      <c r="J78" s="250">
        <f>40+30+10+2.5+10+7.5</f>
        <v>100</v>
      </c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>
        <v>5</v>
      </c>
      <c r="Y78" s="250"/>
      <c r="Z78" s="250">
        <v>2.5</v>
      </c>
      <c r="AA78" s="250"/>
      <c r="AB78" s="250"/>
      <c r="AC78" s="250"/>
      <c r="AD78" s="250"/>
      <c r="AE78" s="250">
        <v>1</v>
      </c>
      <c r="AF78" s="42"/>
      <c r="AJ78" s="77">
        <v>81</v>
      </c>
      <c r="AK78" s="60" t="s">
        <v>63</v>
      </c>
      <c r="AL78" s="87">
        <v>250</v>
      </c>
      <c r="AM78" s="105"/>
      <c r="AN78" s="105"/>
      <c r="AO78" s="105"/>
      <c r="AP78" s="105"/>
      <c r="AQ78" s="105"/>
      <c r="AR78" s="105"/>
      <c r="AS78" s="105">
        <f>40+30+10+2.5+10+7.5</f>
        <v>100</v>
      </c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>
        <v>5</v>
      </c>
      <c r="BH78" s="105"/>
      <c r="BI78" s="105">
        <v>2.5</v>
      </c>
      <c r="BJ78" s="105"/>
      <c r="BK78" s="105"/>
      <c r="BL78" s="105"/>
      <c r="BM78" s="105"/>
      <c r="BN78" s="105"/>
      <c r="BO78" s="105"/>
      <c r="BP78" s="42"/>
    </row>
    <row r="79" spans="1:67" s="61" customFormat="1" ht="11.25" customHeight="1">
      <c r="A79" s="60" t="s">
        <v>123</v>
      </c>
      <c r="B79" s="63" t="s">
        <v>128</v>
      </c>
      <c r="C79" s="88">
        <v>100</v>
      </c>
      <c r="D79" s="250"/>
      <c r="E79" s="250"/>
      <c r="F79" s="250">
        <v>9.57</v>
      </c>
      <c r="G79" s="250"/>
      <c r="H79" s="250"/>
      <c r="I79" s="250"/>
      <c r="J79" s="250">
        <f>$AI$79*AS79</f>
        <v>18.75</v>
      </c>
      <c r="K79" s="250"/>
      <c r="L79" s="250"/>
      <c r="M79" s="250"/>
      <c r="N79" s="250">
        <v>92.18</v>
      </c>
      <c r="O79" s="250"/>
      <c r="P79" s="250"/>
      <c r="Q79" s="250"/>
      <c r="R79" s="250"/>
      <c r="S79" s="250"/>
      <c r="T79" s="250"/>
      <c r="U79" s="250"/>
      <c r="V79" s="250">
        <v>5.37</v>
      </c>
      <c r="W79" s="250"/>
      <c r="X79" s="250">
        <f>$AI$79*BG79</f>
        <v>6.25</v>
      </c>
      <c r="Y79" s="250"/>
      <c r="Z79" s="250"/>
      <c r="AA79" s="250"/>
      <c r="AB79" s="250"/>
      <c r="AC79" s="250"/>
      <c r="AD79" s="250"/>
      <c r="AE79" s="250">
        <v>1</v>
      </c>
      <c r="AI79" s="61">
        <f>C79/AL79</f>
        <v>1.25</v>
      </c>
      <c r="AJ79" s="60" t="s">
        <v>123</v>
      </c>
      <c r="AK79" s="63" t="s">
        <v>128</v>
      </c>
      <c r="AL79" s="88">
        <v>80</v>
      </c>
      <c r="AM79" s="105"/>
      <c r="AN79" s="105"/>
      <c r="AO79" s="105">
        <v>2.25</v>
      </c>
      <c r="AP79" s="105"/>
      <c r="AQ79" s="105"/>
      <c r="AR79" s="105"/>
      <c r="AS79" s="105">
        <f>4+4+7</f>
        <v>15</v>
      </c>
      <c r="AT79" s="105"/>
      <c r="AU79" s="105"/>
      <c r="AV79" s="105"/>
      <c r="AW79" s="105">
        <v>83</v>
      </c>
      <c r="AX79" s="105"/>
      <c r="AY79" s="105"/>
      <c r="AZ79" s="105"/>
      <c r="BA79" s="105"/>
      <c r="BB79" s="105"/>
      <c r="BC79" s="105"/>
      <c r="BD79" s="105"/>
      <c r="BE79" s="105">
        <v>7</v>
      </c>
      <c r="BF79" s="105"/>
      <c r="BG79" s="105">
        <v>5</v>
      </c>
      <c r="BH79" s="105"/>
      <c r="BI79" s="105"/>
      <c r="BJ79" s="105"/>
      <c r="BK79" s="105"/>
      <c r="BL79" s="105"/>
      <c r="BM79" s="105"/>
      <c r="BN79" s="105"/>
      <c r="BO79" s="105"/>
    </row>
    <row r="80" spans="1:67" s="61" customFormat="1" ht="10.5" customHeight="1">
      <c r="A80" s="60"/>
      <c r="B80" s="60" t="s">
        <v>127</v>
      </c>
      <c r="C80" s="87">
        <v>180</v>
      </c>
      <c r="D80" s="250"/>
      <c r="E80" s="250"/>
      <c r="F80" s="250"/>
      <c r="G80" s="250">
        <v>62.22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>
        <f>$AI$80*BF80</f>
        <v>7.199999999999999</v>
      </c>
      <c r="X80" s="250"/>
      <c r="Y80" s="250"/>
      <c r="Z80" s="250"/>
      <c r="AA80" s="250"/>
      <c r="AB80" s="250"/>
      <c r="AC80" s="250"/>
      <c r="AD80" s="250"/>
      <c r="AE80" s="250">
        <v>1</v>
      </c>
      <c r="AI80" s="61">
        <f>C80/AL80</f>
        <v>1.44</v>
      </c>
      <c r="AJ80" s="60"/>
      <c r="AK80" s="60" t="s">
        <v>127</v>
      </c>
      <c r="AL80" s="87">
        <v>125</v>
      </c>
      <c r="AM80" s="105"/>
      <c r="AN80" s="105"/>
      <c r="AO80" s="105"/>
      <c r="AP80" s="105">
        <v>48</v>
      </c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>
        <v>5</v>
      </c>
      <c r="BG80" s="105"/>
      <c r="BH80" s="105"/>
      <c r="BI80" s="105"/>
      <c r="BJ80" s="105"/>
      <c r="BK80" s="105"/>
      <c r="BL80" s="105"/>
      <c r="BM80" s="105"/>
      <c r="BN80" s="105"/>
      <c r="BO80" s="105"/>
    </row>
    <row r="81" spans="1:67" s="61" customFormat="1" ht="10.5" customHeight="1">
      <c r="A81" s="60"/>
      <c r="B81" s="60" t="s">
        <v>51</v>
      </c>
      <c r="C81" s="87">
        <v>200</v>
      </c>
      <c r="D81" s="250"/>
      <c r="E81" s="250"/>
      <c r="F81" s="250"/>
      <c r="G81" s="250"/>
      <c r="H81" s="250"/>
      <c r="I81" s="250"/>
      <c r="J81" s="250"/>
      <c r="K81" s="250"/>
      <c r="L81" s="250">
        <v>35</v>
      </c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>
        <v>20</v>
      </c>
      <c r="AA81" s="250"/>
      <c r="AB81" s="250"/>
      <c r="AC81" s="250"/>
      <c r="AD81" s="250"/>
      <c r="AE81" s="250"/>
      <c r="AJ81" s="60"/>
      <c r="AK81" s="60" t="s">
        <v>51</v>
      </c>
      <c r="AL81" s="87">
        <v>200</v>
      </c>
      <c r="AM81" s="105"/>
      <c r="AN81" s="105"/>
      <c r="AO81" s="105"/>
      <c r="AP81" s="105"/>
      <c r="AQ81" s="105"/>
      <c r="AR81" s="105"/>
      <c r="AS81" s="105"/>
      <c r="AT81" s="105"/>
      <c r="AU81" s="105">
        <v>22</v>
      </c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>
        <v>5</v>
      </c>
      <c r="BJ81" s="105"/>
      <c r="BK81" s="105"/>
      <c r="BL81" s="105"/>
      <c r="BM81" s="105"/>
      <c r="BN81" s="105"/>
      <c r="BO81" s="105"/>
    </row>
    <row r="82" spans="2:67" s="61" customFormat="1" ht="10.5" customHeight="1">
      <c r="B82" s="60" t="s">
        <v>53</v>
      </c>
      <c r="C82" s="88">
        <v>70</v>
      </c>
      <c r="D82" s="250"/>
      <c r="E82" s="250">
        <v>70</v>
      </c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I82" s="61">
        <f>C82/AL82</f>
        <v>1.1666666666666667</v>
      </c>
      <c r="AK82" s="60" t="s">
        <v>53</v>
      </c>
      <c r="AL82" s="88">
        <v>60</v>
      </c>
      <c r="AM82" s="105"/>
      <c r="AN82" s="105">
        <v>60</v>
      </c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</row>
    <row r="83" spans="1:67" s="61" customFormat="1" ht="10.5" customHeight="1">
      <c r="A83" s="60"/>
      <c r="B83" s="60" t="s">
        <v>156</v>
      </c>
      <c r="C83" s="87">
        <v>40</v>
      </c>
      <c r="D83" s="250">
        <v>40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I83" s="61">
        <f>C83/AL83</f>
        <v>2</v>
      </c>
      <c r="AJ83" s="60"/>
      <c r="AK83" s="60" t="s">
        <v>156</v>
      </c>
      <c r="AL83" s="87">
        <v>20</v>
      </c>
      <c r="AM83" s="105">
        <v>20</v>
      </c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</row>
    <row r="84" spans="1:68" s="1" customFormat="1" ht="10.5" customHeight="1">
      <c r="A84" s="60"/>
      <c r="B84" s="60" t="s">
        <v>157</v>
      </c>
      <c r="C84" s="87">
        <v>200</v>
      </c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>
        <v>200</v>
      </c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42"/>
      <c r="AJ84" s="60"/>
      <c r="AK84" s="60" t="s">
        <v>157</v>
      </c>
      <c r="AL84" s="87">
        <v>200</v>
      </c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>
        <v>200</v>
      </c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42"/>
    </row>
    <row r="85" spans="1:68" s="1" customFormat="1" ht="10.5" customHeight="1">
      <c r="A85" s="104"/>
      <c r="B85" s="105"/>
      <c r="C85" s="105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42"/>
      <c r="AJ85" s="104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42"/>
    </row>
    <row r="86" spans="1:68" s="45" customFormat="1" ht="10.5" customHeight="1">
      <c r="A86" s="109"/>
      <c r="B86" s="20" t="s">
        <v>171</v>
      </c>
      <c r="C86" s="110">
        <f aca="true" t="shared" si="12" ref="C86:X86">SUM(C78:C85)</f>
        <v>1040</v>
      </c>
      <c r="D86" s="245">
        <f t="shared" si="12"/>
        <v>40</v>
      </c>
      <c r="E86" s="245">
        <f t="shared" si="12"/>
        <v>70</v>
      </c>
      <c r="F86" s="245">
        <f t="shared" si="12"/>
        <v>9.57</v>
      </c>
      <c r="G86" s="245">
        <f t="shared" si="12"/>
        <v>62.22</v>
      </c>
      <c r="H86" s="245">
        <f t="shared" si="12"/>
        <v>0</v>
      </c>
      <c r="I86" s="245">
        <f t="shared" si="12"/>
        <v>0</v>
      </c>
      <c r="J86" s="245">
        <f t="shared" si="12"/>
        <v>118.75</v>
      </c>
      <c r="K86" s="245">
        <f t="shared" si="12"/>
        <v>0</v>
      </c>
      <c r="L86" s="245">
        <f t="shared" si="12"/>
        <v>35</v>
      </c>
      <c r="M86" s="245">
        <f t="shared" si="12"/>
        <v>0</v>
      </c>
      <c r="N86" s="245">
        <f t="shared" si="12"/>
        <v>92.18</v>
      </c>
      <c r="O86" s="245">
        <f t="shared" si="12"/>
        <v>0</v>
      </c>
      <c r="P86" s="245">
        <f t="shared" si="12"/>
        <v>0</v>
      </c>
      <c r="Q86" s="245">
        <f t="shared" si="12"/>
        <v>0</v>
      </c>
      <c r="R86" s="245">
        <f t="shared" si="12"/>
        <v>200</v>
      </c>
      <c r="S86" s="245">
        <f t="shared" si="12"/>
        <v>0</v>
      </c>
      <c r="T86" s="245">
        <f t="shared" si="12"/>
        <v>0</v>
      </c>
      <c r="U86" s="245">
        <f t="shared" si="12"/>
        <v>0</v>
      </c>
      <c r="V86" s="245">
        <f t="shared" si="12"/>
        <v>5.37</v>
      </c>
      <c r="W86" s="245">
        <f t="shared" si="12"/>
        <v>7.199999999999999</v>
      </c>
      <c r="X86" s="245">
        <f t="shared" si="12"/>
        <v>11.25</v>
      </c>
      <c r="Y86" s="245">
        <f>SUM(Y77:Y85)</f>
        <v>0</v>
      </c>
      <c r="Z86" s="245">
        <f aca="true" t="shared" si="13" ref="Z86:AE86">SUM(Z78:Z85)</f>
        <v>22.5</v>
      </c>
      <c r="AA86" s="245">
        <f t="shared" si="13"/>
        <v>0</v>
      </c>
      <c r="AB86" s="245">
        <f t="shared" si="13"/>
        <v>0</v>
      </c>
      <c r="AC86" s="245">
        <f t="shared" si="13"/>
        <v>0</v>
      </c>
      <c r="AD86" s="245">
        <f t="shared" si="13"/>
        <v>0</v>
      </c>
      <c r="AE86" s="245">
        <f t="shared" si="13"/>
        <v>3</v>
      </c>
      <c r="AF86" s="44"/>
      <c r="AJ86" s="109"/>
      <c r="AK86" s="20" t="s">
        <v>171</v>
      </c>
      <c r="AL86" s="110">
        <f aca="true" t="shared" si="14" ref="AL86:BG86">SUM(AL78:AL85)</f>
        <v>935</v>
      </c>
      <c r="AM86" s="110">
        <f t="shared" si="14"/>
        <v>20</v>
      </c>
      <c r="AN86" s="110">
        <f t="shared" si="14"/>
        <v>60</v>
      </c>
      <c r="AO86" s="110">
        <f t="shared" si="14"/>
        <v>2.25</v>
      </c>
      <c r="AP86" s="110">
        <f t="shared" si="14"/>
        <v>48</v>
      </c>
      <c r="AQ86" s="110">
        <f t="shared" si="14"/>
        <v>0</v>
      </c>
      <c r="AR86" s="110">
        <f t="shared" si="14"/>
        <v>0</v>
      </c>
      <c r="AS86" s="110">
        <f t="shared" si="14"/>
        <v>115</v>
      </c>
      <c r="AT86" s="110">
        <f t="shared" si="14"/>
        <v>0</v>
      </c>
      <c r="AU86" s="110">
        <f t="shared" si="14"/>
        <v>22</v>
      </c>
      <c r="AV86" s="110">
        <f t="shared" si="14"/>
        <v>0</v>
      </c>
      <c r="AW86" s="110">
        <f t="shared" si="14"/>
        <v>83</v>
      </c>
      <c r="AX86" s="110">
        <f t="shared" si="14"/>
        <v>0</v>
      </c>
      <c r="AY86" s="110">
        <f t="shared" si="14"/>
        <v>0</v>
      </c>
      <c r="AZ86" s="110">
        <f t="shared" si="14"/>
        <v>0</v>
      </c>
      <c r="BA86" s="110">
        <f t="shared" si="14"/>
        <v>200</v>
      </c>
      <c r="BB86" s="110">
        <f t="shared" si="14"/>
        <v>0</v>
      </c>
      <c r="BC86" s="110">
        <f t="shared" si="14"/>
        <v>0</v>
      </c>
      <c r="BD86" s="110">
        <f t="shared" si="14"/>
        <v>0</v>
      </c>
      <c r="BE86" s="110">
        <f t="shared" si="14"/>
        <v>7</v>
      </c>
      <c r="BF86" s="110">
        <f t="shared" si="14"/>
        <v>5</v>
      </c>
      <c r="BG86" s="110">
        <f t="shared" si="14"/>
        <v>10</v>
      </c>
      <c r="BH86" s="110">
        <f>SUM(BH77:BH85)</f>
        <v>0</v>
      </c>
      <c r="BI86" s="110">
        <f aca="true" t="shared" si="15" ref="BI86:BO86">SUM(BI78:BI85)</f>
        <v>7.5</v>
      </c>
      <c r="BJ86" s="110">
        <f t="shared" si="15"/>
        <v>0</v>
      </c>
      <c r="BK86" s="110">
        <f t="shared" si="15"/>
        <v>0</v>
      </c>
      <c r="BL86" s="110">
        <f t="shared" si="15"/>
        <v>0</v>
      </c>
      <c r="BM86" s="110">
        <f t="shared" si="15"/>
        <v>0</v>
      </c>
      <c r="BN86" s="110">
        <f t="shared" si="15"/>
        <v>0</v>
      </c>
      <c r="BO86" s="110">
        <f t="shared" si="15"/>
        <v>0</v>
      </c>
      <c r="BP86" s="44"/>
    </row>
    <row r="87" spans="1:67" s="44" customFormat="1" ht="10.5" customHeight="1">
      <c r="A87" s="117"/>
      <c r="B87" s="123"/>
      <c r="C87" s="106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J87" s="117"/>
      <c r="AK87" s="123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</row>
    <row r="88" spans="1:67" s="43" customFormat="1" ht="10.5" customHeight="1">
      <c r="A88" s="263" t="s">
        <v>151</v>
      </c>
      <c r="B88" s="264"/>
      <c r="C88" s="191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J88" s="263" t="s">
        <v>151</v>
      </c>
      <c r="AK88" s="264"/>
      <c r="AL88" s="191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</row>
    <row r="89" spans="1:67" s="61" customFormat="1" ht="10.5" customHeight="1">
      <c r="A89" s="229"/>
      <c r="B89" s="60" t="s">
        <v>111</v>
      </c>
      <c r="C89" s="60">
        <v>100</v>
      </c>
      <c r="D89" s="250"/>
      <c r="E89" s="250"/>
      <c r="F89" s="250"/>
      <c r="G89" s="250"/>
      <c r="H89" s="250"/>
      <c r="I89" s="250"/>
      <c r="J89" s="250">
        <v>93.1</v>
      </c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I89" s="61">
        <f>C89/AL89</f>
        <v>1.6666666666666667</v>
      </c>
      <c r="AJ89" s="229"/>
      <c r="AK89" s="60" t="s">
        <v>111</v>
      </c>
      <c r="AL89" s="60">
        <v>60</v>
      </c>
      <c r="AM89" s="105"/>
      <c r="AN89" s="105"/>
      <c r="AO89" s="105"/>
      <c r="AP89" s="105"/>
      <c r="AQ89" s="105"/>
      <c r="AR89" s="105"/>
      <c r="AS89" s="105">
        <v>60</v>
      </c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</row>
    <row r="90" spans="1:67" s="61" customFormat="1" ht="10.5" customHeight="1">
      <c r="A90" s="230" t="s">
        <v>121</v>
      </c>
      <c r="B90" s="231" t="s">
        <v>108</v>
      </c>
      <c r="C90" s="63">
        <v>250</v>
      </c>
      <c r="D90" s="252"/>
      <c r="E90" s="252"/>
      <c r="F90" s="252"/>
      <c r="G90" s="252"/>
      <c r="H90" s="252">
        <v>20</v>
      </c>
      <c r="I90" s="252"/>
      <c r="J90" s="252">
        <v>22</v>
      </c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>
        <v>5</v>
      </c>
      <c r="X90" s="252"/>
      <c r="Y90" s="252"/>
      <c r="Z90" s="252"/>
      <c r="AA90" s="252"/>
      <c r="AB90" s="252"/>
      <c r="AC90" s="252"/>
      <c r="AD90" s="252"/>
      <c r="AE90" s="252">
        <v>1</v>
      </c>
      <c r="AJ90" s="230" t="s">
        <v>121</v>
      </c>
      <c r="AK90" s="231" t="s">
        <v>108</v>
      </c>
      <c r="AL90" s="63">
        <v>250</v>
      </c>
      <c r="AM90" s="114"/>
      <c r="AN90" s="114"/>
      <c r="AO90" s="114"/>
      <c r="AP90" s="114"/>
      <c r="AQ90" s="114">
        <v>20</v>
      </c>
      <c r="AR90" s="114"/>
      <c r="AS90" s="114">
        <v>22</v>
      </c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>
        <v>5</v>
      </c>
      <c r="BG90" s="114"/>
      <c r="BH90" s="114"/>
      <c r="BI90" s="114"/>
      <c r="BJ90" s="114"/>
      <c r="BK90" s="114"/>
      <c r="BL90" s="114"/>
      <c r="BM90" s="114"/>
      <c r="BN90" s="114"/>
      <c r="BO90" s="114"/>
    </row>
    <row r="91" spans="1:67" s="61" customFormat="1" ht="10.5" customHeight="1">
      <c r="A91" s="60">
        <v>234</v>
      </c>
      <c r="B91" s="60" t="s">
        <v>103</v>
      </c>
      <c r="C91" s="60">
        <v>100</v>
      </c>
      <c r="D91" s="250"/>
      <c r="E91" s="250">
        <v>16.25</v>
      </c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>
        <v>75.28</v>
      </c>
      <c r="R91" s="250">
        <f>$AI$91*BA91</f>
        <v>24.375</v>
      </c>
      <c r="S91" s="250"/>
      <c r="T91" s="250"/>
      <c r="U91" s="250"/>
      <c r="V91" s="250"/>
      <c r="W91" s="250">
        <f>$AI$91*BF91</f>
        <v>6.25</v>
      </c>
      <c r="X91" s="250">
        <f>$AI$91*BG91</f>
        <v>9.375</v>
      </c>
      <c r="Y91" s="250"/>
      <c r="Z91" s="250"/>
      <c r="AA91" s="250"/>
      <c r="AB91" s="250"/>
      <c r="AC91" s="250"/>
      <c r="AD91" s="250"/>
      <c r="AE91" s="250">
        <v>1</v>
      </c>
      <c r="AI91" s="61">
        <f>C91/AL91</f>
        <v>1.25</v>
      </c>
      <c r="AJ91" s="60">
        <v>234</v>
      </c>
      <c r="AK91" s="60" t="s">
        <v>103</v>
      </c>
      <c r="AL91" s="60">
        <v>80</v>
      </c>
      <c r="AM91" s="105"/>
      <c r="AN91" s="105">
        <v>21</v>
      </c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>
        <v>49.5</v>
      </c>
      <c r="BA91" s="105">
        <v>19.5</v>
      </c>
      <c r="BB91" s="105"/>
      <c r="BC91" s="105"/>
      <c r="BD91" s="105"/>
      <c r="BE91" s="105"/>
      <c r="BF91" s="105">
        <v>5</v>
      </c>
      <c r="BG91" s="105">
        <v>7.5</v>
      </c>
      <c r="BH91" s="105"/>
      <c r="BI91" s="105"/>
      <c r="BJ91" s="105"/>
      <c r="BK91" s="105"/>
      <c r="BL91" s="105"/>
      <c r="BM91" s="105"/>
      <c r="BN91" s="105"/>
      <c r="BO91" s="105"/>
    </row>
    <row r="92" spans="1:67" s="61" customFormat="1" ht="10.5" customHeight="1">
      <c r="A92" s="6">
        <v>125</v>
      </c>
      <c r="B92" s="63" t="s">
        <v>56</v>
      </c>
      <c r="C92" s="88">
        <v>180</v>
      </c>
      <c r="D92" s="250"/>
      <c r="E92" s="250"/>
      <c r="F92" s="250"/>
      <c r="G92" s="250"/>
      <c r="H92" s="250"/>
      <c r="I92" s="250">
        <v>170.4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>
        <f>$AI$92*BF92</f>
        <v>6.428571428571429</v>
      </c>
      <c r="X92" s="250"/>
      <c r="Y92" s="250"/>
      <c r="Z92" s="250"/>
      <c r="AA92" s="250"/>
      <c r="AB92" s="250"/>
      <c r="AC92" s="250"/>
      <c r="AD92" s="250"/>
      <c r="AE92" s="250">
        <v>1</v>
      </c>
      <c r="AI92" s="61">
        <f>C92/AL92</f>
        <v>1.2857142857142858</v>
      </c>
      <c r="AJ92" s="6">
        <v>125</v>
      </c>
      <c r="AK92" s="63" t="s">
        <v>56</v>
      </c>
      <c r="AL92" s="88">
        <v>140</v>
      </c>
      <c r="AM92" s="105"/>
      <c r="AN92" s="105"/>
      <c r="AO92" s="105"/>
      <c r="AP92" s="105"/>
      <c r="AQ92" s="105"/>
      <c r="AR92" s="105">
        <v>144.2</v>
      </c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>
        <v>5</v>
      </c>
      <c r="BG92" s="105"/>
      <c r="BH92" s="105"/>
      <c r="BI92" s="105"/>
      <c r="BJ92" s="105"/>
      <c r="BK92" s="105"/>
      <c r="BL92" s="105"/>
      <c r="BM92" s="105"/>
      <c r="BN92" s="105"/>
      <c r="BO92" s="105"/>
    </row>
    <row r="93" spans="1:67" s="61" customFormat="1" ht="10.5" customHeight="1">
      <c r="A93" s="60">
        <v>397</v>
      </c>
      <c r="B93" s="60" t="s">
        <v>100</v>
      </c>
      <c r="C93" s="60">
        <v>200</v>
      </c>
      <c r="D93" s="250"/>
      <c r="E93" s="250"/>
      <c r="F93" s="250"/>
      <c r="G93" s="250"/>
      <c r="H93" s="250"/>
      <c r="I93" s="250"/>
      <c r="J93" s="250"/>
      <c r="K93" s="250">
        <v>67.5</v>
      </c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>
        <v>20</v>
      </c>
      <c r="AA93" s="250"/>
      <c r="AB93" s="250"/>
      <c r="AC93" s="250"/>
      <c r="AD93" s="250"/>
      <c r="AE93" s="250"/>
      <c r="AJ93" s="60">
        <v>397</v>
      </c>
      <c r="AK93" s="60" t="s">
        <v>100</v>
      </c>
      <c r="AL93" s="60">
        <v>200</v>
      </c>
      <c r="AM93" s="105"/>
      <c r="AN93" s="105"/>
      <c r="AO93" s="105"/>
      <c r="AP93" s="105"/>
      <c r="AQ93" s="105"/>
      <c r="AR93" s="105"/>
      <c r="AS93" s="105"/>
      <c r="AT93" s="105">
        <v>40</v>
      </c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>
        <v>15</v>
      </c>
      <c r="BJ93" s="105"/>
      <c r="BK93" s="105"/>
      <c r="BL93" s="105"/>
      <c r="BM93" s="105"/>
      <c r="BN93" s="105"/>
      <c r="BO93" s="105"/>
    </row>
    <row r="94" spans="2:67" s="61" customFormat="1" ht="10.5" customHeight="1">
      <c r="B94" s="60" t="s">
        <v>53</v>
      </c>
      <c r="C94" s="88">
        <v>60</v>
      </c>
      <c r="D94" s="250"/>
      <c r="E94" s="250">
        <v>60</v>
      </c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I94" s="61">
        <f>C94/AL94</f>
        <v>1</v>
      </c>
      <c r="AK94" s="60" t="s">
        <v>53</v>
      </c>
      <c r="AL94" s="88">
        <v>60</v>
      </c>
      <c r="AM94" s="105"/>
      <c r="AN94" s="105">
        <v>60</v>
      </c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</row>
    <row r="95" spans="1:67" s="61" customFormat="1" ht="10.5" customHeight="1">
      <c r="A95" s="60"/>
      <c r="B95" s="60" t="s">
        <v>156</v>
      </c>
      <c r="C95" s="87">
        <v>40</v>
      </c>
      <c r="D95" s="250">
        <v>40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I95" s="61">
        <f>C95/AL95</f>
        <v>1</v>
      </c>
      <c r="AJ95" s="60"/>
      <c r="AK95" s="60" t="s">
        <v>156</v>
      </c>
      <c r="AL95" s="87">
        <v>40</v>
      </c>
      <c r="AM95" s="105">
        <v>40</v>
      </c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</row>
    <row r="96" spans="1:68" s="1" customFormat="1" ht="10.5" customHeight="1">
      <c r="A96" s="60"/>
      <c r="B96" s="60" t="s">
        <v>159</v>
      </c>
      <c r="C96" s="87">
        <v>160</v>
      </c>
      <c r="D96" s="250"/>
      <c r="E96" s="250"/>
      <c r="F96" s="250"/>
      <c r="G96" s="250"/>
      <c r="H96" s="250"/>
      <c r="I96" s="250"/>
      <c r="J96" s="250"/>
      <c r="K96" s="250">
        <v>160</v>
      </c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42"/>
      <c r="AJ96" s="60"/>
      <c r="AK96" s="60" t="s">
        <v>159</v>
      </c>
      <c r="AL96" s="87">
        <v>160</v>
      </c>
      <c r="AM96" s="105"/>
      <c r="AN96" s="105"/>
      <c r="AO96" s="105"/>
      <c r="AP96" s="105"/>
      <c r="AQ96" s="105"/>
      <c r="AR96" s="105"/>
      <c r="AS96" s="105"/>
      <c r="AT96" s="105">
        <v>160</v>
      </c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42"/>
    </row>
    <row r="97" spans="1:68" s="1" customFormat="1" ht="10.5" customHeight="1">
      <c r="A97" s="104"/>
      <c r="B97" s="105"/>
      <c r="C97" s="105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42"/>
      <c r="AJ97" s="104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42"/>
    </row>
    <row r="98" spans="1:68" s="45" customFormat="1" ht="10.5" customHeight="1">
      <c r="A98" s="109"/>
      <c r="B98" s="20" t="s">
        <v>171</v>
      </c>
      <c r="C98" s="110">
        <f>SUM(C89:C97)</f>
        <v>1090</v>
      </c>
      <c r="D98" s="245">
        <f aca="true" t="shared" si="16" ref="D98:AE98">SUM(D89:D97)</f>
        <v>40</v>
      </c>
      <c r="E98" s="245">
        <f t="shared" si="16"/>
        <v>76.25</v>
      </c>
      <c r="F98" s="245">
        <f t="shared" si="16"/>
        <v>0</v>
      </c>
      <c r="G98" s="245">
        <f t="shared" si="16"/>
        <v>0</v>
      </c>
      <c r="H98" s="245">
        <f t="shared" si="16"/>
        <v>20</v>
      </c>
      <c r="I98" s="245">
        <f t="shared" si="16"/>
        <v>170.4</v>
      </c>
      <c r="J98" s="245">
        <f t="shared" si="16"/>
        <v>115.1</v>
      </c>
      <c r="K98" s="245">
        <f t="shared" si="16"/>
        <v>227.5</v>
      </c>
      <c r="L98" s="245">
        <f t="shared" si="16"/>
        <v>0</v>
      </c>
      <c r="M98" s="245">
        <f t="shared" si="16"/>
        <v>0</v>
      </c>
      <c r="N98" s="245">
        <f t="shared" si="16"/>
        <v>0</v>
      </c>
      <c r="O98" s="245">
        <f t="shared" si="16"/>
        <v>0</v>
      </c>
      <c r="P98" s="245">
        <f t="shared" si="16"/>
        <v>0</v>
      </c>
      <c r="Q98" s="245">
        <f t="shared" si="16"/>
        <v>75.28</v>
      </c>
      <c r="R98" s="245">
        <f t="shared" si="16"/>
        <v>24.375</v>
      </c>
      <c r="S98" s="245">
        <f t="shared" si="16"/>
        <v>0</v>
      </c>
      <c r="T98" s="245">
        <f t="shared" si="16"/>
        <v>0</v>
      </c>
      <c r="U98" s="245">
        <f t="shared" si="16"/>
        <v>0</v>
      </c>
      <c r="V98" s="245">
        <f t="shared" si="16"/>
        <v>0</v>
      </c>
      <c r="W98" s="245">
        <f t="shared" si="16"/>
        <v>17.67857142857143</v>
      </c>
      <c r="X98" s="245">
        <f t="shared" si="16"/>
        <v>9.375</v>
      </c>
      <c r="Y98" s="245">
        <f t="shared" si="16"/>
        <v>0</v>
      </c>
      <c r="Z98" s="245">
        <f t="shared" si="16"/>
        <v>20</v>
      </c>
      <c r="AA98" s="245">
        <f t="shared" si="16"/>
        <v>0</v>
      </c>
      <c r="AB98" s="245">
        <f t="shared" si="16"/>
        <v>0</v>
      </c>
      <c r="AC98" s="245">
        <f t="shared" si="16"/>
        <v>0</v>
      </c>
      <c r="AD98" s="245">
        <f t="shared" si="16"/>
        <v>0</v>
      </c>
      <c r="AE98" s="245">
        <f t="shared" si="16"/>
        <v>3</v>
      </c>
      <c r="AF98" s="44"/>
      <c r="AJ98" s="109"/>
      <c r="AK98" s="20" t="s">
        <v>171</v>
      </c>
      <c r="AL98" s="110">
        <f>SUM(AL89:AL97)</f>
        <v>990</v>
      </c>
      <c r="AM98" s="110">
        <f aca="true" t="shared" si="17" ref="AM98:BO98">SUM(AM89:AM97)</f>
        <v>40</v>
      </c>
      <c r="AN98" s="110">
        <f t="shared" si="17"/>
        <v>81</v>
      </c>
      <c r="AO98" s="110">
        <f t="shared" si="17"/>
        <v>0</v>
      </c>
      <c r="AP98" s="110">
        <f t="shared" si="17"/>
        <v>0</v>
      </c>
      <c r="AQ98" s="110">
        <f t="shared" si="17"/>
        <v>20</v>
      </c>
      <c r="AR98" s="110">
        <f t="shared" si="17"/>
        <v>144.2</v>
      </c>
      <c r="AS98" s="110">
        <f t="shared" si="17"/>
        <v>82</v>
      </c>
      <c r="AT98" s="110">
        <f t="shared" si="17"/>
        <v>200</v>
      </c>
      <c r="AU98" s="110">
        <f t="shared" si="17"/>
        <v>0</v>
      </c>
      <c r="AV98" s="110">
        <f t="shared" si="17"/>
        <v>0</v>
      </c>
      <c r="AW98" s="110">
        <f t="shared" si="17"/>
        <v>0</v>
      </c>
      <c r="AX98" s="110">
        <f t="shared" si="17"/>
        <v>0</v>
      </c>
      <c r="AY98" s="110">
        <f t="shared" si="17"/>
        <v>0</v>
      </c>
      <c r="AZ98" s="110">
        <f t="shared" si="17"/>
        <v>49.5</v>
      </c>
      <c r="BA98" s="110">
        <f t="shared" si="17"/>
        <v>19.5</v>
      </c>
      <c r="BB98" s="110">
        <f t="shared" si="17"/>
        <v>0</v>
      </c>
      <c r="BC98" s="110">
        <f t="shared" si="17"/>
        <v>0</v>
      </c>
      <c r="BD98" s="110">
        <f t="shared" si="17"/>
        <v>0</v>
      </c>
      <c r="BE98" s="110">
        <f t="shared" si="17"/>
        <v>0</v>
      </c>
      <c r="BF98" s="110">
        <f t="shared" si="17"/>
        <v>15</v>
      </c>
      <c r="BG98" s="110">
        <f t="shared" si="17"/>
        <v>7.5</v>
      </c>
      <c r="BH98" s="110">
        <f t="shared" si="17"/>
        <v>0</v>
      </c>
      <c r="BI98" s="110">
        <f t="shared" si="17"/>
        <v>15</v>
      </c>
      <c r="BJ98" s="110">
        <f t="shared" si="17"/>
        <v>0</v>
      </c>
      <c r="BK98" s="110">
        <f t="shared" si="17"/>
        <v>0</v>
      </c>
      <c r="BL98" s="110">
        <f t="shared" si="17"/>
        <v>0</v>
      </c>
      <c r="BM98" s="110">
        <f t="shared" si="17"/>
        <v>0</v>
      </c>
      <c r="BN98" s="110">
        <f t="shared" si="17"/>
        <v>0</v>
      </c>
      <c r="BO98" s="110">
        <f t="shared" si="17"/>
        <v>0</v>
      </c>
      <c r="BP98" s="44"/>
    </row>
    <row r="99" spans="1:67" s="44" customFormat="1" ht="10.5" customHeight="1">
      <c r="A99" s="124"/>
      <c r="B99" s="125"/>
      <c r="C99" s="126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J99" s="124"/>
      <c r="AK99" s="125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</row>
    <row r="100" spans="1:68" s="1" customFormat="1" ht="10.5" customHeight="1">
      <c r="A100" s="104"/>
      <c r="B100" s="105"/>
      <c r="C100" s="105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42"/>
      <c r="AJ100" s="104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42"/>
    </row>
    <row r="101" spans="1:67" s="43" customFormat="1" ht="10.5" customHeight="1">
      <c r="A101" s="263" t="s">
        <v>152</v>
      </c>
      <c r="B101" s="264"/>
      <c r="C101" s="191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J101" s="263" t="s">
        <v>152</v>
      </c>
      <c r="AK101" s="264"/>
      <c r="AL101" s="191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</row>
    <row r="102" spans="1:60" ht="10.5" customHeight="1">
      <c r="A102" s="26" t="s">
        <v>67</v>
      </c>
      <c r="B102" s="62" t="s">
        <v>68</v>
      </c>
      <c r="C102" s="89">
        <v>250</v>
      </c>
      <c r="I102" s="248">
        <v>44</v>
      </c>
      <c r="J102" s="248">
        <f>35+14+10+6</f>
        <v>65</v>
      </c>
      <c r="Y102" s="248">
        <v>5</v>
      </c>
      <c r="AE102" s="248">
        <v>1</v>
      </c>
      <c r="AJ102" s="26" t="s">
        <v>67</v>
      </c>
      <c r="AK102" s="62" t="s">
        <v>68</v>
      </c>
      <c r="AL102" s="89">
        <v>250</v>
      </c>
      <c r="AR102" s="106">
        <v>54</v>
      </c>
      <c r="AS102" s="106">
        <f>35+14+10+6</f>
        <v>65</v>
      </c>
      <c r="BF102" s="106">
        <v>5</v>
      </c>
      <c r="BH102" s="106">
        <v>20</v>
      </c>
    </row>
    <row r="103" spans="1:67" s="61" customFormat="1" ht="10.5" customHeight="1">
      <c r="A103" s="78">
        <v>267</v>
      </c>
      <c r="B103" s="60" t="s">
        <v>65</v>
      </c>
      <c r="C103" s="87">
        <v>100</v>
      </c>
      <c r="D103" s="250"/>
      <c r="E103" s="250">
        <f>$AI$103*AN103</f>
        <v>16</v>
      </c>
      <c r="F103" s="250"/>
      <c r="G103" s="250"/>
      <c r="H103" s="250"/>
      <c r="I103" s="250"/>
      <c r="J103" s="250"/>
      <c r="K103" s="250"/>
      <c r="L103" s="250"/>
      <c r="M103" s="250"/>
      <c r="N103" s="250">
        <v>88</v>
      </c>
      <c r="O103" s="250"/>
      <c r="P103" s="250"/>
      <c r="Q103" s="250"/>
      <c r="R103" s="250"/>
      <c r="S103" s="250"/>
      <c r="T103" s="250"/>
      <c r="U103" s="250"/>
      <c r="V103" s="250"/>
      <c r="W103" s="250">
        <v>10</v>
      </c>
      <c r="X103" s="250">
        <f>$AI$103*BG103</f>
        <v>2.6666666666666665</v>
      </c>
      <c r="Y103" s="250">
        <v>2.33</v>
      </c>
      <c r="Z103" s="250"/>
      <c r="AA103" s="250"/>
      <c r="AB103" s="250"/>
      <c r="AC103" s="250"/>
      <c r="AD103" s="250"/>
      <c r="AE103" s="250">
        <v>1</v>
      </c>
      <c r="AI103" s="61">
        <f>C103/AL103</f>
        <v>1.3333333333333333</v>
      </c>
      <c r="AJ103" s="78">
        <v>267</v>
      </c>
      <c r="AK103" s="60" t="s">
        <v>65</v>
      </c>
      <c r="AL103" s="87">
        <v>75</v>
      </c>
      <c r="AM103" s="105"/>
      <c r="AN103" s="105">
        <v>12</v>
      </c>
      <c r="AO103" s="105"/>
      <c r="AP103" s="105"/>
      <c r="AQ103" s="105"/>
      <c r="AR103" s="105"/>
      <c r="AS103" s="105"/>
      <c r="AT103" s="105"/>
      <c r="AU103" s="105"/>
      <c r="AV103" s="105"/>
      <c r="AW103" s="105">
        <v>81</v>
      </c>
      <c r="AX103" s="105"/>
      <c r="AY103" s="105"/>
      <c r="AZ103" s="105"/>
      <c r="BA103" s="105"/>
      <c r="BB103" s="105"/>
      <c r="BC103" s="105"/>
      <c r="BD103" s="105"/>
      <c r="BE103" s="105"/>
      <c r="BF103" s="105">
        <v>9</v>
      </c>
      <c r="BG103" s="105">
        <v>2</v>
      </c>
      <c r="BH103" s="105">
        <v>4</v>
      </c>
      <c r="BI103" s="105"/>
      <c r="BJ103" s="105"/>
      <c r="BK103" s="105"/>
      <c r="BL103" s="105"/>
      <c r="BM103" s="105"/>
      <c r="BN103" s="105"/>
      <c r="BO103" s="105"/>
    </row>
    <row r="104" spans="2:67" s="61" customFormat="1" ht="10.5" customHeight="1">
      <c r="B104" s="60" t="s">
        <v>170</v>
      </c>
      <c r="C104" s="88">
        <v>180</v>
      </c>
      <c r="D104" s="250"/>
      <c r="E104" s="250"/>
      <c r="F104" s="250"/>
      <c r="G104" s="250">
        <v>40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>
        <v>4.46</v>
      </c>
      <c r="X104" s="250"/>
      <c r="Y104" s="250"/>
      <c r="Z104" s="250"/>
      <c r="AA104" s="250"/>
      <c r="AB104" s="250"/>
      <c r="AC104" s="250"/>
      <c r="AD104" s="250"/>
      <c r="AE104" s="250">
        <v>1</v>
      </c>
      <c r="AI104" s="61">
        <f>C104/AL104</f>
        <v>1.2</v>
      </c>
      <c r="AK104" s="60" t="s">
        <v>170</v>
      </c>
      <c r="AL104" s="88">
        <v>150</v>
      </c>
      <c r="AM104" s="105"/>
      <c r="AN104" s="105"/>
      <c r="AO104" s="105"/>
      <c r="AP104" s="105">
        <f>25*1.5</f>
        <v>37.5</v>
      </c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>
        <v>5</v>
      </c>
      <c r="BG104" s="105"/>
      <c r="BH104" s="105"/>
      <c r="BI104" s="105"/>
      <c r="BJ104" s="105"/>
      <c r="BK104" s="105"/>
      <c r="BL104" s="105"/>
      <c r="BM104" s="105"/>
      <c r="BN104" s="105"/>
      <c r="BO104" s="105"/>
    </row>
    <row r="105" spans="1:67" s="61" customFormat="1" ht="10.5" customHeight="1">
      <c r="A105" s="60"/>
      <c r="B105" s="60" t="s">
        <v>167</v>
      </c>
      <c r="C105" s="87">
        <v>200</v>
      </c>
      <c r="D105" s="250"/>
      <c r="E105" s="250"/>
      <c r="F105" s="250"/>
      <c r="G105" s="250"/>
      <c r="H105" s="250"/>
      <c r="I105" s="250"/>
      <c r="J105" s="250"/>
      <c r="K105" s="250"/>
      <c r="L105" s="250"/>
      <c r="M105" s="250">
        <v>200</v>
      </c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J105" s="60"/>
      <c r="AK105" s="60" t="s">
        <v>167</v>
      </c>
      <c r="AL105" s="87">
        <v>200</v>
      </c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>
        <v>200</v>
      </c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</row>
    <row r="106" spans="1:67" s="61" customFormat="1" ht="10.5" customHeight="1">
      <c r="A106" s="60"/>
      <c r="B106" s="60" t="s">
        <v>53</v>
      </c>
      <c r="C106" s="87">
        <v>60</v>
      </c>
      <c r="D106" s="250"/>
      <c r="E106" s="250">
        <v>60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I106" s="61">
        <f>C106/AL106</f>
        <v>1.5</v>
      </c>
      <c r="AJ106" s="60"/>
      <c r="AK106" s="60" t="s">
        <v>53</v>
      </c>
      <c r="AL106" s="87">
        <v>40</v>
      </c>
      <c r="AM106" s="105"/>
      <c r="AN106" s="105">
        <v>40</v>
      </c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</row>
    <row r="107" spans="1:67" s="61" customFormat="1" ht="10.5" customHeight="1">
      <c r="A107" s="60"/>
      <c r="B107" s="60" t="s">
        <v>156</v>
      </c>
      <c r="C107" s="87">
        <v>40</v>
      </c>
      <c r="D107" s="250">
        <v>40</v>
      </c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I107" s="61">
        <f>C107/AL107</f>
        <v>2</v>
      </c>
      <c r="AJ107" s="60"/>
      <c r="AK107" s="60" t="s">
        <v>156</v>
      </c>
      <c r="AL107" s="87">
        <v>20</v>
      </c>
      <c r="AM107" s="105">
        <v>20</v>
      </c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</row>
    <row r="108" spans="1:67" s="61" customFormat="1" ht="10.5" customHeight="1">
      <c r="A108" s="60"/>
      <c r="B108" s="60" t="s">
        <v>166</v>
      </c>
      <c r="C108" s="87">
        <v>210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>
        <v>210</v>
      </c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I108" s="61">
        <f>C108/AL108</f>
        <v>1.1666666666666667</v>
      </c>
      <c r="AJ108" s="60"/>
      <c r="AK108" s="60" t="s">
        <v>166</v>
      </c>
      <c r="AL108" s="87">
        <v>180</v>
      </c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>
        <v>180</v>
      </c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</row>
    <row r="110" spans="1:68" s="45" customFormat="1" ht="10.5" customHeight="1">
      <c r="A110" s="109"/>
      <c r="B110" s="20" t="s">
        <v>171</v>
      </c>
      <c r="C110" s="110">
        <f aca="true" t="shared" si="18" ref="C110:AE110">SUM(C102:C109)</f>
        <v>1040</v>
      </c>
      <c r="D110" s="245">
        <f t="shared" si="18"/>
        <v>40</v>
      </c>
      <c r="E110" s="245">
        <f t="shared" si="18"/>
        <v>76</v>
      </c>
      <c r="F110" s="245">
        <f t="shared" si="18"/>
        <v>0</v>
      </c>
      <c r="G110" s="245">
        <f t="shared" si="18"/>
        <v>40</v>
      </c>
      <c r="H110" s="245">
        <f t="shared" si="18"/>
        <v>0</v>
      </c>
      <c r="I110" s="245">
        <f t="shared" si="18"/>
        <v>44</v>
      </c>
      <c r="J110" s="245">
        <f t="shared" si="18"/>
        <v>65</v>
      </c>
      <c r="K110" s="245">
        <f t="shared" si="18"/>
        <v>0</v>
      </c>
      <c r="L110" s="245">
        <f t="shared" si="18"/>
        <v>0</v>
      </c>
      <c r="M110" s="245">
        <f t="shared" si="18"/>
        <v>200</v>
      </c>
      <c r="N110" s="245">
        <f t="shared" si="18"/>
        <v>88</v>
      </c>
      <c r="O110" s="245">
        <f t="shared" si="18"/>
        <v>0</v>
      </c>
      <c r="P110" s="245">
        <f t="shared" si="18"/>
        <v>0</v>
      </c>
      <c r="Q110" s="245">
        <f t="shared" si="18"/>
        <v>0</v>
      </c>
      <c r="R110" s="245">
        <f t="shared" si="18"/>
        <v>0</v>
      </c>
      <c r="S110" s="245">
        <f t="shared" si="18"/>
        <v>210</v>
      </c>
      <c r="T110" s="245">
        <f t="shared" si="18"/>
        <v>0</v>
      </c>
      <c r="U110" s="245">
        <f t="shared" si="18"/>
        <v>0</v>
      </c>
      <c r="V110" s="245">
        <f t="shared" si="18"/>
        <v>0</v>
      </c>
      <c r="W110" s="245">
        <f t="shared" si="18"/>
        <v>14.46</v>
      </c>
      <c r="X110" s="245">
        <f t="shared" si="18"/>
        <v>2.6666666666666665</v>
      </c>
      <c r="Y110" s="245">
        <f t="shared" si="18"/>
        <v>7.33</v>
      </c>
      <c r="Z110" s="245">
        <f t="shared" si="18"/>
        <v>0</v>
      </c>
      <c r="AA110" s="245">
        <f t="shared" si="18"/>
        <v>0</v>
      </c>
      <c r="AB110" s="245">
        <f t="shared" si="18"/>
        <v>0</v>
      </c>
      <c r="AC110" s="245">
        <f t="shared" si="18"/>
        <v>0</v>
      </c>
      <c r="AD110" s="245">
        <f t="shared" si="18"/>
        <v>0</v>
      </c>
      <c r="AE110" s="245">
        <f t="shared" si="18"/>
        <v>3</v>
      </c>
      <c r="AF110" s="44"/>
      <c r="AJ110" s="109"/>
      <c r="AK110" s="20" t="s">
        <v>171</v>
      </c>
      <c r="AL110" s="110">
        <f aca="true" t="shared" si="19" ref="AL110:BO110">SUM(AL102:AL109)</f>
        <v>915</v>
      </c>
      <c r="AM110" s="110">
        <f t="shared" si="19"/>
        <v>20</v>
      </c>
      <c r="AN110" s="110">
        <f t="shared" si="19"/>
        <v>52</v>
      </c>
      <c r="AO110" s="110">
        <f t="shared" si="19"/>
        <v>0</v>
      </c>
      <c r="AP110" s="110">
        <f t="shared" si="19"/>
        <v>37.5</v>
      </c>
      <c r="AQ110" s="110">
        <f t="shared" si="19"/>
        <v>0</v>
      </c>
      <c r="AR110" s="110">
        <f t="shared" si="19"/>
        <v>54</v>
      </c>
      <c r="AS110" s="110">
        <f t="shared" si="19"/>
        <v>65</v>
      </c>
      <c r="AT110" s="110">
        <f t="shared" si="19"/>
        <v>0</v>
      </c>
      <c r="AU110" s="110">
        <f t="shared" si="19"/>
        <v>0</v>
      </c>
      <c r="AV110" s="110">
        <f t="shared" si="19"/>
        <v>200</v>
      </c>
      <c r="AW110" s="110">
        <f t="shared" si="19"/>
        <v>81</v>
      </c>
      <c r="AX110" s="110">
        <f t="shared" si="19"/>
        <v>0</v>
      </c>
      <c r="AY110" s="110">
        <f t="shared" si="19"/>
        <v>0</v>
      </c>
      <c r="AZ110" s="110">
        <f t="shared" si="19"/>
        <v>0</v>
      </c>
      <c r="BA110" s="110">
        <f t="shared" si="19"/>
        <v>0</v>
      </c>
      <c r="BB110" s="110">
        <f t="shared" si="19"/>
        <v>180</v>
      </c>
      <c r="BC110" s="110">
        <f t="shared" si="19"/>
        <v>0</v>
      </c>
      <c r="BD110" s="110">
        <f t="shared" si="19"/>
        <v>0</v>
      </c>
      <c r="BE110" s="110">
        <f t="shared" si="19"/>
        <v>0</v>
      </c>
      <c r="BF110" s="110">
        <f t="shared" si="19"/>
        <v>19</v>
      </c>
      <c r="BG110" s="110">
        <f t="shared" si="19"/>
        <v>2</v>
      </c>
      <c r="BH110" s="110">
        <f t="shared" si="19"/>
        <v>24</v>
      </c>
      <c r="BI110" s="110">
        <f t="shared" si="19"/>
        <v>0</v>
      </c>
      <c r="BJ110" s="110">
        <f t="shared" si="19"/>
        <v>0</v>
      </c>
      <c r="BK110" s="110">
        <f t="shared" si="19"/>
        <v>0</v>
      </c>
      <c r="BL110" s="110">
        <f t="shared" si="19"/>
        <v>0</v>
      </c>
      <c r="BM110" s="110">
        <f t="shared" si="19"/>
        <v>0</v>
      </c>
      <c r="BN110" s="110">
        <f t="shared" si="19"/>
        <v>0</v>
      </c>
      <c r="BO110" s="110">
        <f t="shared" si="19"/>
        <v>0</v>
      </c>
      <c r="BP110" s="44"/>
    </row>
    <row r="111" spans="1:67" s="44" customFormat="1" ht="10.5" customHeight="1">
      <c r="A111" s="124"/>
      <c r="B111" s="125"/>
      <c r="C111" s="126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J111" s="124"/>
      <c r="AK111" s="125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</row>
    <row r="112" spans="1:67" s="48" customFormat="1" ht="10.5" customHeight="1">
      <c r="A112" s="263" t="s">
        <v>153</v>
      </c>
      <c r="B112" s="264"/>
      <c r="C112" s="191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J112" s="263" t="s">
        <v>153</v>
      </c>
      <c r="AK112" s="264"/>
      <c r="AL112" s="191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</row>
    <row r="113" spans="1:68" s="1" customFormat="1" ht="10.5" customHeight="1">
      <c r="A113" s="6">
        <v>82</v>
      </c>
      <c r="B113" s="63" t="s">
        <v>64</v>
      </c>
      <c r="C113" s="88">
        <v>250</v>
      </c>
      <c r="D113" s="250"/>
      <c r="E113" s="250"/>
      <c r="F113" s="250"/>
      <c r="G113" s="250"/>
      <c r="H113" s="250"/>
      <c r="I113" s="250">
        <v>18</v>
      </c>
      <c r="J113" s="250">
        <f>(16+8+4+1+4+3)*2.5</f>
        <v>90</v>
      </c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>
        <v>4.91</v>
      </c>
      <c r="Y113" s="250"/>
      <c r="Z113" s="250">
        <v>2.5</v>
      </c>
      <c r="AA113" s="250"/>
      <c r="AB113" s="250"/>
      <c r="AC113" s="250"/>
      <c r="AD113" s="250"/>
      <c r="AE113" s="250">
        <v>1</v>
      </c>
      <c r="AF113" s="42"/>
      <c r="AJ113" s="6">
        <v>82</v>
      </c>
      <c r="AK113" s="63" t="s">
        <v>64</v>
      </c>
      <c r="AL113" s="88">
        <v>250</v>
      </c>
      <c r="AM113" s="105"/>
      <c r="AN113" s="105"/>
      <c r="AO113" s="105"/>
      <c r="AP113" s="105"/>
      <c r="AQ113" s="105"/>
      <c r="AR113" s="105">
        <f>8*2.5</f>
        <v>20</v>
      </c>
      <c r="AS113" s="105">
        <f>(16+8+4+1+4+3)*2.5</f>
        <v>90</v>
      </c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>
        <v>4</v>
      </c>
      <c r="BH113" s="105"/>
      <c r="BI113" s="105">
        <v>2.5</v>
      </c>
      <c r="BJ113" s="105"/>
      <c r="BK113" s="105"/>
      <c r="BL113" s="105"/>
      <c r="BM113" s="105"/>
      <c r="BN113" s="105"/>
      <c r="BO113" s="105"/>
      <c r="BP113" s="42"/>
    </row>
    <row r="114" spans="1:67" s="61" customFormat="1" ht="10.5" customHeight="1">
      <c r="A114" s="60">
        <v>250</v>
      </c>
      <c r="B114" s="60" t="s">
        <v>99</v>
      </c>
      <c r="C114" s="60">
        <v>100</v>
      </c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>
        <v>68.6</v>
      </c>
      <c r="P114" s="250"/>
      <c r="Q114" s="250"/>
      <c r="R114" s="250"/>
      <c r="S114" s="250"/>
      <c r="T114" s="250"/>
      <c r="U114" s="250">
        <v>19.8</v>
      </c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I114" s="61">
        <f>C114/AL114</f>
        <v>1.4285714285714286</v>
      </c>
      <c r="AJ114" s="60">
        <v>250</v>
      </c>
      <c r="AK114" s="60" t="s">
        <v>99</v>
      </c>
      <c r="AL114" s="60">
        <v>70</v>
      </c>
      <c r="AM114" s="105"/>
      <c r="AN114" s="105"/>
      <c r="AO114" s="105"/>
      <c r="AP114" s="105"/>
      <c r="AQ114" s="105"/>
      <c r="AR114" s="105"/>
      <c r="AS114" s="70"/>
      <c r="AT114" s="105"/>
      <c r="AU114" s="105"/>
      <c r="AV114" s="105"/>
      <c r="AW114" s="105"/>
      <c r="AX114" s="105">
        <v>55</v>
      </c>
      <c r="AY114" s="105"/>
      <c r="AZ114" s="105"/>
      <c r="BA114" s="105"/>
      <c r="BB114" s="105"/>
      <c r="BC114" s="105"/>
      <c r="BD114" s="105">
        <v>15</v>
      </c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</row>
    <row r="115" spans="1:67" s="61" customFormat="1" ht="10.5" customHeight="1">
      <c r="A115" s="61">
        <v>205</v>
      </c>
      <c r="B115" s="63" t="s">
        <v>107</v>
      </c>
      <c r="C115" s="63">
        <v>180</v>
      </c>
      <c r="D115" s="250"/>
      <c r="E115" s="250"/>
      <c r="F115" s="250"/>
      <c r="G115" s="250"/>
      <c r="H115" s="250">
        <v>50</v>
      </c>
      <c r="I115" s="250"/>
      <c r="J115" s="250">
        <f>$AI$115*AS115</f>
        <v>41.76</v>
      </c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>
        <v>7.3</v>
      </c>
      <c r="X115" s="250"/>
      <c r="Y115" s="250"/>
      <c r="Z115" s="250"/>
      <c r="AA115" s="250"/>
      <c r="AB115" s="250"/>
      <c r="AC115" s="250"/>
      <c r="AD115" s="250"/>
      <c r="AE115" s="250">
        <v>1.5</v>
      </c>
      <c r="AI115" s="61">
        <f>C115/AL115</f>
        <v>1.44</v>
      </c>
      <c r="AJ115" s="61">
        <v>205</v>
      </c>
      <c r="AK115" s="63" t="s">
        <v>107</v>
      </c>
      <c r="AL115" s="63">
        <v>125</v>
      </c>
      <c r="AM115" s="105"/>
      <c r="AN115" s="105"/>
      <c r="AO115" s="105"/>
      <c r="AP115" s="105"/>
      <c r="AQ115" s="105">
        <v>35</v>
      </c>
      <c r="AR115" s="105"/>
      <c r="AS115" s="105">
        <v>29</v>
      </c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>
        <v>5</v>
      </c>
      <c r="BG115" s="105"/>
      <c r="BH115" s="105"/>
      <c r="BI115" s="105"/>
      <c r="BJ115" s="105"/>
      <c r="BK115" s="105"/>
      <c r="BL115" s="105"/>
      <c r="BM115" s="105"/>
      <c r="BN115" s="105"/>
      <c r="BO115" s="105"/>
    </row>
    <row r="116" spans="1:67" s="61" customFormat="1" ht="10.5" customHeight="1">
      <c r="A116" s="78">
        <v>392</v>
      </c>
      <c r="B116" s="60" t="s">
        <v>69</v>
      </c>
      <c r="C116" s="87">
        <v>200</v>
      </c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>
        <v>10</v>
      </c>
      <c r="AA116" s="250"/>
      <c r="AB116" s="250">
        <v>0.4</v>
      </c>
      <c r="AC116" s="250"/>
      <c r="AD116" s="250"/>
      <c r="AE116" s="250"/>
      <c r="AJ116" s="78">
        <v>392</v>
      </c>
      <c r="AK116" s="60" t="s">
        <v>69</v>
      </c>
      <c r="AL116" s="87">
        <v>200</v>
      </c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>
        <v>10</v>
      </c>
      <c r="BJ116" s="105"/>
      <c r="BK116" s="105">
        <v>0.4</v>
      </c>
      <c r="BL116" s="105"/>
      <c r="BM116" s="105"/>
      <c r="BN116" s="105"/>
      <c r="BO116" s="105"/>
    </row>
    <row r="117" spans="2:67" s="61" customFormat="1" ht="10.5" customHeight="1">
      <c r="B117" s="60" t="s">
        <v>53</v>
      </c>
      <c r="C117" s="88">
        <v>60</v>
      </c>
      <c r="D117" s="250"/>
      <c r="E117" s="250">
        <v>60</v>
      </c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I117" s="61">
        <f>C117/AL117</f>
        <v>1</v>
      </c>
      <c r="AK117" s="60" t="s">
        <v>53</v>
      </c>
      <c r="AL117" s="88">
        <v>60</v>
      </c>
      <c r="AM117" s="105"/>
      <c r="AN117" s="105">
        <v>60</v>
      </c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</row>
    <row r="118" spans="1:67" s="61" customFormat="1" ht="10.5" customHeight="1">
      <c r="A118" s="77"/>
      <c r="B118" s="60" t="s">
        <v>164</v>
      </c>
      <c r="C118" s="87">
        <v>40</v>
      </c>
      <c r="D118" s="250">
        <v>40</v>
      </c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I118" s="61">
        <f>C118/AL118</f>
        <v>2</v>
      </c>
      <c r="AJ118" s="77"/>
      <c r="AK118" s="60" t="s">
        <v>164</v>
      </c>
      <c r="AL118" s="87">
        <v>20</v>
      </c>
      <c r="AM118" s="105">
        <v>20</v>
      </c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</row>
    <row r="119" spans="1:68" s="1" customFormat="1" ht="10.5" customHeight="1">
      <c r="A119" s="77"/>
      <c r="B119" s="60" t="s">
        <v>165</v>
      </c>
      <c r="C119" s="87">
        <v>52</v>
      </c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>
        <v>52.5</v>
      </c>
      <c r="AB119" s="250"/>
      <c r="AC119" s="250"/>
      <c r="AD119" s="250"/>
      <c r="AE119" s="250"/>
      <c r="AF119" s="42"/>
      <c r="AJ119" s="77"/>
      <c r="AK119" s="60" t="s">
        <v>165</v>
      </c>
      <c r="AL119" s="87">
        <v>35</v>
      </c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>
        <v>35</v>
      </c>
      <c r="BK119" s="105"/>
      <c r="BL119" s="105"/>
      <c r="BM119" s="105"/>
      <c r="BN119" s="105"/>
      <c r="BO119" s="105"/>
      <c r="BP119" s="42"/>
    </row>
    <row r="120" spans="1:66" ht="10.5" customHeight="1">
      <c r="A120" s="60"/>
      <c r="B120" s="60" t="s">
        <v>157</v>
      </c>
      <c r="C120" s="87">
        <v>200</v>
      </c>
      <c r="D120" s="251"/>
      <c r="E120" s="251"/>
      <c r="F120" s="251"/>
      <c r="G120" s="251"/>
      <c r="H120" s="251"/>
      <c r="L120" s="251"/>
      <c r="M120" s="251"/>
      <c r="R120" s="248">
        <v>200</v>
      </c>
      <c r="W120" s="251"/>
      <c r="X120" s="251"/>
      <c r="Z120" s="251"/>
      <c r="AA120" s="251"/>
      <c r="AB120" s="251"/>
      <c r="AC120" s="251"/>
      <c r="AD120" s="251"/>
      <c r="AJ120" s="60"/>
      <c r="AK120" s="60" t="s">
        <v>157</v>
      </c>
      <c r="AL120" s="87">
        <v>200</v>
      </c>
      <c r="AM120" s="113"/>
      <c r="AN120" s="113"/>
      <c r="AO120" s="113"/>
      <c r="AP120" s="113"/>
      <c r="AQ120" s="113"/>
      <c r="AU120" s="113"/>
      <c r="AV120" s="113"/>
      <c r="BA120" s="106">
        <v>200</v>
      </c>
      <c r="BF120" s="113"/>
      <c r="BG120" s="113"/>
      <c r="BI120" s="113"/>
      <c r="BJ120" s="113"/>
      <c r="BK120" s="113"/>
      <c r="BL120" s="113"/>
      <c r="BM120" s="113"/>
      <c r="BN120" s="113"/>
    </row>
    <row r="121" spans="1:68" s="1" customFormat="1" ht="10.5" customHeight="1">
      <c r="A121" s="107"/>
      <c r="B121" s="105"/>
      <c r="C121" s="105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42"/>
      <c r="AJ121" s="107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42"/>
    </row>
    <row r="122" spans="1:68" s="45" customFormat="1" ht="10.5" customHeight="1">
      <c r="A122" s="109"/>
      <c r="B122" s="20" t="s">
        <v>171</v>
      </c>
      <c r="C122" s="110">
        <f aca="true" t="shared" si="20" ref="C122:AE122">SUM(C113:C120)</f>
        <v>1082</v>
      </c>
      <c r="D122" s="245">
        <f t="shared" si="20"/>
        <v>40</v>
      </c>
      <c r="E122" s="245">
        <f t="shared" si="20"/>
        <v>60</v>
      </c>
      <c r="F122" s="245">
        <f t="shared" si="20"/>
        <v>0</v>
      </c>
      <c r="G122" s="245">
        <f t="shared" si="20"/>
        <v>0</v>
      </c>
      <c r="H122" s="245">
        <f t="shared" si="20"/>
        <v>50</v>
      </c>
      <c r="I122" s="245">
        <f t="shared" si="20"/>
        <v>18</v>
      </c>
      <c r="J122" s="245">
        <f t="shared" si="20"/>
        <v>131.76</v>
      </c>
      <c r="K122" s="245">
        <f t="shared" si="20"/>
        <v>0</v>
      </c>
      <c r="L122" s="245">
        <f t="shared" si="20"/>
        <v>0</v>
      </c>
      <c r="M122" s="245">
        <f t="shared" si="20"/>
        <v>0</v>
      </c>
      <c r="N122" s="245">
        <f t="shared" si="20"/>
        <v>0</v>
      </c>
      <c r="O122" s="245">
        <f t="shared" si="20"/>
        <v>68.6</v>
      </c>
      <c r="P122" s="245">
        <f t="shared" si="20"/>
        <v>0</v>
      </c>
      <c r="Q122" s="245">
        <f t="shared" si="20"/>
        <v>0</v>
      </c>
      <c r="R122" s="245">
        <f t="shared" si="20"/>
        <v>200</v>
      </c>
      <c r="S122" s="245">
        <f t="shared" si="20"/>
        <v>0</v>
      </c>
      <c r="T122" s="245">
        <f t="shared" si="20"/>
        <v>0</v>
      </c>
      <c r="U122" s="245">
        <f t="shared" si="20"/>
        <v>19.8</v>
      </c>
      <c r="V122" s="245">
        <f t="shared" si="20"/>
        <v>0</v>
      </c>
      <c r="W122" s="245">
        <f t="shared" si="20"/>
        <v>7.3</v>
      </c>
      <c r="X122" s="245">
        <f t="shared" si="20"/>
        <v>4.91</v>
      </c>
      <c r="Y122" s="245">
        <f t="shared" si="20"/>
        <v>0</v>
      </c>
      <c r="Z122" s="245">
        <f t="shared" si="20"/>
        <v>12.5</v>
      </c>
      <c r="AA122" s="245">
        <f t="shared" si="20"/>
        <v>52.5</v>
      </c>
      <c r="AB122" s="245">
        <f t="shared" si="20"/>
        <v>0.4</v>
      </c>
      <c r="AC122" s="245">
        <f t="shared" si="20"/>
        <v>0</v>
      </c>
      <c r="AD122" s="245">
        <f t="shared" si="20"/>
        <v>0</v>
      </c>
      <c r="AE122" s="245">
        <f t="shared" si="20"/>
        <v>2.5</v>
      </c>
      <c r="AF122" s="44"/>
      <c r="AJ122" s="109"/>
      <c r="AK122" s="20" t="s">
        <v>171</v>
      </c>
      <c r="AL122" s="110">
        <f aca="true" t="shared" si="21" ref="AL122:BO122">SUM(AL113:AL120)</f>
        <v>960</v>
      </c>
      <c r="AM122" s="110">
        <f t="shared" si="21"/>
        <v>20</v>
      </c>
      <c r="AN122" s="110">
        <f t="shared" si="21"/>
        <v>60</v>
      </c>
      <c r="AO122" s="110">
        <f t="shared" si="21"/>
        <v>0</v>
      </c>
      <c r="AP122" s="110">
        <f t="shared" si="21"/>
        <v>0</v>
      </c>
      <c r="AQ122" s="110">
        <f t="shared" si="21"/>
        <v>35</v>
      </c>
      <c r="AR122" s="110">
        <f t="shared" si="21"/>
        <v>20</v>
      </c>
      <c r="AS122" s="110">
        <f t="shared" si="21"/>
        <v>119</v>
      </c>
      <c r="AT122" s="110">
        <f t="shared" si="21"/>
        <v>0</v>
      </c>
      <c r="AU122" s="110">
        <f t="shared" si="21"/>
        <v>0</v>
      </c>
      <c r="AV122" s="110">
        <f t="shared" si="21"/>
        <v>0</v>
      </c>
      <c r="AW122" s="110">
        <f t="shared" si="21"/>
        <v>0</v>
      </c>
      <c r="AX122" s="110">
        <f t="shared" si="21"/>
        <v>55</v>
      </c>
      <c r="AY122" s="110">
        <f t="shared" si="21"/>
        <v>0</v>
      </c>
      <c r="AZ122" s="110">
        <f t="shared" si="21"/>
        <v>0</v>
      </c>
      <c r="BA122" s="110">
        <f t="shared" si="21"/>
        <v>200</v>
      </c>
      <c r="BB122" s="110">
        <f t="shared" si="21"/>
        <v>0</v>
      </c>
      <c r="BC122" s="110">
        <f t="shared" si="21"/>
        <v>0</v>
      </c>
      <c r="BD122" s="110">
        <f t="shared" si="21"/>
        <v>15</v>
      </c>
      <c r="BE122" s="110">
        <f t="shared" si="21"/>
        <v>0</v>
      </c>
      <c r="BF122" s="110">
        <f t="shared" si="21"/>
        <v>5</v>
      </c>
      <c r="BG122" s="110">
        <f t="shared" si="21"/>
        <v>4</v>
      </c>
      <c r="BH122" s="110">
        <f t="shared" si="21"/>
        <v>0</v>
      </c>
      <c r="BI122" s="110">
        <f t="shared" si="21"/>
        <v>12.5</v>
      </c>
      <c r="BJ122" s="110">
        <f t="shared" si="21"/>
        <v>35</v>
      </c>
      <c r="BK122" s="110">
        <f t="shared" si="21"/>
        <v>0.4</v>
      </c>
      <c r="BL122" s="110">
        <f t="shared" si="21"/>
        <v>0</v>
      </c>
      <c r="BM122" s="110">
        <f t="shared" si="21"/>
        <v>0</v>
      </c>
      <c r="BN122" s="110">
        <f t="shared" si="21"/>
        <v>0</v>
      </c>
      <c r="BO122" s="110">
        <f t="shared" si="21"/>
        <v>0</v>
      </c>
      <c r="BP122" s="44"/>
    </row>
    <row r="123" spans="1:67" s="44" customFormat="1" ht="18.75" customHeight="1">
      <c r="A123" s="117"/>
      <c r="B123" s="118"/>
      <c r="C123" s="106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J123" s="117"/>
      <c r="AK123" s="118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</row>
    <row r="124" spans="1:67" s="44" customFormat="1" ht="10.5" customHeight="1">
      <c r="A124" s="117"/>
      <c r="B124" s="118"/>
      <c r="C124" s="106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J124" s="117"/>
      <c r="AK124" s="118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</row>
    <row r="125" spans="1:96" s="186" customFormat="1" ht="38.25" customHeight="1">
      <c r="A125" s="182" t="s">
        <v>132</v>
      </c>
      <c r="B125" s="183" t="s">
        <v>142</v>
      </c>
      <c r="C125" s="184" t="s">
        <v>134</v>
      </c>
      <c r="D125" s="249" t="s">
        <v>6</v>
      </c>
      <c r="E125" s="249" t="s">
        <v>7</v>
      </c>
      <c r="F125" s="249" t="s">
        <v>9</v>
      </c>
      <c r="G125" s="249" t="s">
        <v>8</v>
      </c>
      <c r="H125" s="249" t="s">
        <v>135</v>
      </c>
      <c r="I125" s="249" t="s">
        <v>5</v>
      </c>
      <c r="J125" s="249" t="s">
        <v>49</v>
      </c>
      <c r="K125" s="249" t="s">
        <v>0</v>
      </c>
      <c r="L125" s="249" t="s">
        <v>37</v>
      </c>
      <c r="M125" s="249" t="s">
        <v>136</v>
      </c>
      <c r="N125" s="249" t="s">
        <v>1</v>
      </c>
      <c r="O125" s="249" t="s">
        <v>137</v>
      </c>
      <c r="P125" s="249" t="s">
        <v>2</v>
      </c>
      <c r="Q125" s="249" t="s">
        <v>3</v>
      </c>
      <c r="R125" s="249" t="s">
        <v>59</v>
      </c>
      <c r="S125" s="249" t="s">
        <v>138</v>
      </c>
      <c r="T125" s="249" t="s">
        <v>60</v>
      </c>
      <c r="U125" s="249" t="s">
        <v>33</v>
      </c>
      <c r="V125" s="249" t="s">
        <v>31</v>
      </c>
      <c r="W125" s="249" t="s">
        <v>14</v>
      </c>
      <c r="X125" s="249" t="s">
        <v>139</v>
      </c>
      <c r="Y125" s="249" t="s">
        <v>4</v>
      </c>
      <c r="Z125" s="249" t="s">
        <v>12</v>
      </c>
      <c r="AA125" s="249" t="s">
        <v>140</v>
      </c>
      <c r="AB125" s="249" t="s">
        <v>10</v>
      </c>
      <c r="AC125" s="249" t="s">
        <v>11</v>
      </c>
      <c r="AD125" s="249" t="s">
        <v>13</v>
      </c>
      <c r="AE125" s="249" t="s">
        <v>141</v>
      </c>
      <c r="AF125" s="183"/>
      <c r="AG125" s="185"/>
      <c r="AH125" s="185"/>
      <c r="AI125" s="185"/>
      <c r="AJ125" s="182" t="s">
        <v>132</v>
      </c>
      <c r="AK125" s="183" t="s">
        <v>142</v>
      </c>
      <c r="AL125" s="184" t="s">
        <v>134</v>
      </c>
      <c r="AM125" s="184" t="s">
        <v>6</v>
      </c>
      <c r="AN125" s="184" t="s">
        <v>7</v>
      </c>
      <c r="AO125" s="184" t="s">
        <v>9</v>
      </c>
      <c r="AP125" s="184" t="s">
        <v>8</v>
      </c>
      <c r="AQ125" s="184" t="s">
        <v>135</v>
      </c>
      <c r="AR125" s="184" t="s">
        <v>5</v>
      </c>
      <c r="AS125" s="184" t="s">
        <v>49</v>
      </c>
      <c r="AT125" s="184" t="s">
        <v>0</v>
      </c>
      <c r="AU125" s="184" t="s">
        <v>37</v>
      </c>
      <c r="AV125" s="184" t="s">
        <v>136</v>
      </c>
      <c r="AW125" s="184" t="s">
        <v>1</v>
      </c>
      <c r="AX125" s="184" t="s">
        <v>137</v>
      </c>
      <c r="AY125" s="184" t="s">
        <v>2</v>
      </c>
      <c r="AZ125" s="184" t="s">
        <v>3</v>
      </c>
      <c r="BA125" s="184" t="s">
        <v>59</v>
      </c>
      <c r="BB125" s="184" t="s">
        <v>138</v>
      </c>
      <c r="BC125" s="184" t="s">
        <v>60</v>
      </c>
      <c r="BD125" s="184" t="s">
        <v>33</v>
      </c>
      <c r="BE125" s="184" t="s">
        <v>31</v>
      </c>
      <c r="BF125" s="184" t="s">
        <v>14</v>
      </c>
      <c r="BG125" s="184" t="s">
        <v>139</v>
      </c>
      <c r="BH125" s="184" t="s">
        <v>4</v>
      </c>
      <c r="BI125" s="184" t="s">
        <v>12</v>
      </c>
      <c r="BJ125" s="184" t="s">
        <v>140</v>
      </c>
      <c r="BK125" s="184" t="s">
        <v>10</v>
      </c>
      <c r="BL125" s="184" t="s">
        <v>11</v>
      </c>
      <c r="BM125" s="184" t="s">
        <v>42</v>
      </c>
      <c r="BN125" s="184" t="s">
        <v>13</v>
      </c>
      <c r="BO125" s="184" t="s">
        <v>141</v>
      </c>
      <c r="BP125" s="183" t="s">
        <v>44</v>
      </c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</row>
    <row r="126" spans="1:68" s="50" customFormat="1" ht="36" customHeight="1">
      <c r="A126" s="127"/>
      <c r="B126" s="188" t="s">
        <v>144</v>
      </c>
      <c r="C126" s="103"/>
      <c r="D126" s="243">
        <f aca="true" t="shared" si="22" ref="D126:AE126">D122+D75+D86+D98+D52+D63+D40+D110+D28+D16</f>
        <v>420</v>
      </c>
      <c r="E126" s="243">
        <f t="shared" si="22"/>
        <v>700</v>
      </c>
      <c r="F126" s="243">
        <f t="shared" si="22"/>
        <v>70</v>
      </c>
      <c r="G126" s="243">
        <f t="shared" si="22"/>
        <v>174.99297297297298</v>
      </c>
      <c r="H126" s="243">
        <f t="shared" si="22"/>
        <v>70</v>
      </c>
      <c r="I126" s="243">
        <f t="shared" si="22"/>
        <v>658</v>
      </c>
      <c r="J126" s="243">
        <f t="shared" si="22"/>
        <v>1119.965846153846</v>
      </c>
      <c r="K126" s="243">
        <f t="shared" si="22"/>
        <v>647.5</v>
      </c>
      <c r="L126" s="243">
        <f t="shared" si="22"/>
        <v>70</v>
      </c>
      <c r="M126" s="243">
        <f t="shared" si="22"/>
        <v>700</v>
      </c>
      <c r="N126" s="243">
        <f t="shared" si="22"/>
        <v>272.98</v>
      </c>
      <c r="O126" s="243">
        <f t="shared" si="22"/>
        <v>68.6</v>
      </c>
      <c r="P126" s="243">
        <f t="shared" si="22"/>
        <v>185.5</v>
      </c>
      <c r="Q126" s="243">
        <f t="shared" si="22"/>
        <v>269.5</v>
      </c>
      <c r="R126" s="243">
        <f t="shared" si="22"/>
        <v>1049.9892857142859</v>
      </c>
      <c r="S126" s="243">
        <f t="shared" si="22"/>
        <v>630</v>
      </c>
      <c r="T126" s="243">
        <f t="shared" si="22"/>
        <v>210</v>
      </c>
      <c r="U126" s="243">
        <f t="shared" si="22"/>
        <v>41.3</v>
      </c>
      <c r="V126" s="243">
        <f t="shared" si="22"/>
        <v>35</v>
      </c>
      <c r="W126" s="243">
        <f t="shared" si="22"/>
        <v>122.59938124938125</v>
      </c>
      <c r="X126" s="243">
        <f t="shared" si="22"/>
        <v>63.001666666666665</v>
      </c>
      <c r="Y126" s="243">
        <f t="shared" si="22"/>
        <v>140.00000000000003</v>
      </c>
      <c r="Z126" s="243">
        <f t="shared" si="22"/>
        <v>157.5</v>
      </c>
      <c r="AA126" s="243">
        <f t="shared" si="22"/>
        <v>52.5</v>
      </c>
      <c r="AB126" s="243">
        <f t="shared" si="22"/>
        <v>1.4</v>
      </c>
      <c r="AC126" s="243">
        <f t="shared" si="22"/>
        <v>4.2</v>
      </c>
      <c r="AD126" s="243">
        <f t="shared" si="22"/>
        <v>7</v>
      </c>
      <c r="AE126" s="243">
        <f t="shared" si="22"/>
        <v>24.5</v>
      </c>
      <c r="AF126" s="49"/>
      <c r="AJ126" s="127"/>
      <c r="AK126" s="188" t="s">
        <v>144</v>
      </c>
      <c r="AL126" s="103"/>
      <c r="AM126" s="103">
        <f aca="true" t="shared" si="23" ref="AM126:BO126">AM122+AM75+AM86+AM98+AM52+AM63+AM40+AM110+AM28+AM16</f>
        <v>280</v>
      </c>
      <c r="AN126" s="103">
        <f t="shared" si="23"/>
        <v>520.6</v>
      </c>
      <c r="AO126" s="103">
        <f t="shared" si="23"/>
        <v>50.68</v>
      </c>
      <c r="AP126" s="103">
        <f t="shared" si="23"/>
        <v>156.9</v>
      </c>
      <c r="AQ126" s="103">
        <f t="shared" si="23"/>
        <v>55</v>
      </c>
      <c r="AR126" s="103">
        <f t="shared" si="23"/>
        <v>673.0999999999999</v>
      </c>
      <c r="AS126" s="103">
        <f t="shared" si="23"/>
        <v>1020.75</v>
      </c>
      <c r="AT126" s="103">
        <f t="shared" si="23"/>
        <v>620</v>
      </c>
      <c r="AU126" s="103">
        <f t="shared" si="23"/>
        <v>52</v>
      </c>
      <c r="AV126" s="103">
        <f t="shared" si="23"/>
        <v>700</v>
      </c>
      <c r="AW126" s="103">
        <f t="shared" si="23"/>
        <v>250</v>
      </c>
      <c r="AX126" s="103">
        <f t="shared" si="23"/>
        <v>55</v>
      </c>
      <c r="AY126" s="103">
        <f t="shared" si="23"/>
        <v>120.7</v>
      </c>
      <c r="AZ126" s="103">
        <f t="shared" si="23"/>
        <v>205.5</v>
      </c>
      <c r="BA126" s="103">
        <f t="shared" si="23"/>
        <v>1002.8</v>
      </c>
      <c r="BB126" s="103">
        <f t="shared" si="23"/>
        <v>540</v>
      </c>
      <c r="BC126" s="103">
        <f t="shared" si="23"/>
        <v>175</v>
      </c>
      <c r="BD126" s="103">
        <f t="shared" si="23"/>
        <v>35.3</v>
      </c>
      <c r="BE126" s="103">
        <f t="shared" si="23"/>
        <v>35.25</v>
      </c>
      <c r="BF126" s="103">
        <f t="shared" si="23"/>
        <v>105</v>
      </c>
      <c r="BG126" s="103">
        <f t="shared" si="23"/>
        <v>54.7</v>
      </c>
      <c r="BH126" s="103">
        <f t="shared" si="23"/>
        <v>141.2</v>
      </c>
      <c r="BI126" s="103">
        <f t="shared" si="23"/>
        <v>135.7</v>
      </c>
      <c r="BJ126" s="103">
        <f t="shared" si="23"/>
        <v>35</v>
      </c>
      <c r="BK126" s="103">
        <f t="shared" si="23"/>
        <v>1.4</v>
      </c>
      <c r="BL126" s="103">
        <f t="shared" si="23"/>
        <v>4</v>
      </c>
      <c r="BM126" s="103">
        <f t="shared" si="23"/>
        <v>1</v>
      </c>
      <c r="BN126" s="103">
        <f t="shared" si="23"/>
        <v>0</v>
      </c>
      <c r="BO126" s="103">
        <f t="shared" si="23"/>
        <v>1</v>
      </c>
      <c r="BP126" s="49"/>
    </row>
    <row r="127" spans="1:68" s="50" customFormat="1" ht="28.5" customHeight="1">
      <c r="A127" s="128"/>
      <c r="B127" s="237" t="s">
        <v>143</v>
      </c>
      <c r="C127" s="103"/>
      <c r="D127" s="243">
        <f>I139</f>
        <v>420</v>
      </c>
      <c r="E127" s="243">
        <f>I140</f>
        <v>700</v>
      </c>
      <c r="F127" s="243">
        <f>I141</f>
        <v>70</v>
      </c>
      <c r="G127" s="243">
        <f>I142</f>
        <v>175</v>
      </c>
      <c r="H127" s="243">
        <f>I143</f>
        <v>70</v>
      </c>
      <c r="I127" s="243">
        <f>I144</f>
        <v>658</v>
      </c>
      <c r="J127" s="243">
        <f>I145</f>
        <v>1120</v>
      </c>
      <c r="K127" s="243">
        <f>I146</f>
        <v>647.5</v>
      </c>
      <c r="L127" s="243">
        <f>I147</f>
        <v>70</v>
      </c>
      <c r="M127" s="243">
        <f>I148</f>
        <v>700</v>
      </c>
      <c r="N127" s="243">
        <f>I149</f>
        <v>273</v>
      </c>
      <c r="O127" s="243">
        <f>I150</f>
        <v>68.60000000000001</v>
      </c>
      <c r="P127" s="243">
        <f>I151</f>
        <v>185.49999999999997</v>
      </c>
      <c r="Q127" s="243">
        <f>I152</f>
        <v>269.5</v>
      </c>
      <c r="R127" s="243">
        <f>I153</f>
        <v>1050</v>
      </c>
      <c r="S127" s="243">
        <f>I154</f>
        <v>629.9999999999999</v>
      </c>
      <c r="T127" s="243">
        <f>I155</f>
        <v>210</v>
      </c>
      <c r="U127" s="243">
        <f>I156</f>
        <v>41.3</v>
      </c>
      <c r="V127" s="243">
        <f>I157</f>
        <v>35</v>
      </c>
      <c r="W127" s="243">
        <f>I158</f>
        <v>122.5</v>
      </c>
      <c r="X127" s="243">
        <f>I159</f>
        <v>63</v>
      </c>
      <c r="Y127" s="243">
        <f>I160</f>
        <v>140</v>
      </c>
      <c r="Z127" s="243">
        <f>I161</f>
        <v>157.49999999999997</v>
      </c>
      <c r="AA127" s="243">
        <f>I162</f>
        <v>52.5</v>
      </c>
      <c r="AB127" s="243">
        <f>I163</f>
        <v>1.4</v>
      </c>
      <c r="AC127" s="243">
        <f>I164</f>
        <v>4.2</v>
      </c>
      <c r="AD127" s="243">
        <f>I165</f>
        <v>7</v>
      </c>
      <c r="AE127" s="243">
        <f>I166</f>
        <v>24.499999999999996</v>
      </c>
      <c r="AF127" s="49"/>
      <c r="AJ127" s="128"/>
      <c r="AK127" s="187" t="s">
        <v>143</v>
      </c>
      <c r="AL127" s="103"/>
      <c r="AM127" s="103">
        <f>AR139</f>
        <v>280</v>
      </c>
      <c r="AN127" s="103">
        <f>AR140</f>
        <v>525</v>
      </c>
      <c r="AO127" s="103">
        <f>AR141</f>
        <v>52.5</v>
      </c>
      <c r="AP127" s="103">
        <f>AR142</f>
        <v>157.49999999999997</v>
      </c>
      <c r="AQ127" s="103">
        <f>AR143</f>
        <v>52.5</v>
      </c>
      <c r="AR127" s="103">
        <f>AR144</f>
        <v>658</v>
      </c>
      <c r="AS127" s="103">
        <f>AR145</f>
        <v>980</v>
      </c>
      <c r="AT127" s="103">
        <f>AR146</f>
        <v>647.5</v>
      </c>
      <c r="AU127" s="103">
        <f>AR147</f>
        <v>52.5</v>
      </c>
      <c r="AV127" s="103">
        <f>AR148</f>
        <v>700</v>
      </c>
      <c r="AW127" s="103">
        <f>AR149</f>
        <v>245</v>
      </c>
      <c r="AX127" s="103">
        <f>AR150</f>
        <v>52.5</v>
      </c>
      <c r="AY127" s="103">
        <f>AR151</f>
        <v>122.5</v>
      </c>
      <c r="AZ127" s="103">
        <f>AR152</f>
        <v>202.99999999999997</v>
      </c>
      <c r="BA127" s="103">
        <f>AR153</f>
        <v>1050</v>
      </c>
      <c r="BB127" s="103">
        <f>AR154</f>
        <v>525</v>
      </c>
      <c r="BC127" s="103">
        <f>AR155</f>
        <v>175</v>
      </c>
      <c r="BD127" s="103">
        <f>AR156</f>
        <v>34.300000000000004</v>
      </c>
      <c r="BE127" s="103">
        <f>AR157</f>
        <v>35</v>
      </c>
      <c r="BF127" s="103">
        <f>AR158</f>
        <v>105</v>
      </c>
      <c r="BG127" s="103">
        <f>AR159</f>
        <v>52.5</v>
      </c>
      <c r="BH127" s="103">
        <f>AR160</f>
        <v>140</v>
      </c>
      <c r="BI127" s="103">
        <f>AR161</f>
        <v>140</v>
      </c>
      <c r="BJ127" s="103">
        <f>AR162</f>
        <v>35</v>
      </c>
      <c r="BK127" s="103">
        <f>AR163</f>
        <v>1.4</v>
      </c>
      <c r="BL127" s="103">
        <f>AR164</f>
        <v>4.2</v>
      </c>
      <c r="BM127" s="103">
        <f>AR165</f>
        <v>3.5</v>
      </c>
      <c r="BN127" s="103">
        <f>AR166</f>
        <v>10.499999999999998</v>
      </c>
      <c r="BO127" s="103">
        <f>AR167</f>
        <v>7</v>
      </c>
      <c r="BP127" s="49"/>
    </row>
    <row r="128" spans="1:67" s="236" customFormat="1" ht="20.25" customHeight="1">
      <c r="A128" s="234"/>
      <c r="B128" s="235"/>
      <c r="C128" s="105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J128" s="234"/>
      <c r="AK128" s="23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</row>
    <row r="129" spans="1:67" s="51" customFormat="1" ht="14.25" customHeight="1">
      <c r="A129" s="269"/>
      <c r="B129" s="270"/>
      <c r="C129" s="106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J129" s="269"/>
      <c r="AK129" s="270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</row>
    <row r="130" spans="1:67" s="241" customFormat="1" ht="35.25" customHeight="1">
      <c r="A130" s="238"/>
      <c r="B130" s="239" t="s">
        <v>175</v>
      </c>
      <c r="C130" s="240"/>
      <c r="D130" s="244">
        <f>D126/10</f>
        <v>42</v>
      </c>
      <c r="E130" s="244">
        <f aca="true" t="shared" si="24" ref="E130:AE130">E126/10</f>
        <v>70</v>
      </c>
      <c r="F130" s="244">
        <f t="shared" si="24"/>
        <v>7</v>
      </c>
      <c r="G130" s="244">
        <f t="shared" si="24"/>
        <v>17.499297297297296</v>
      </c>
      <c r="H130" s="244">
        <f t="shared" si="24"/>
        <v>7</v>
      </c>
      <c r="I130" s="244">
        <f t="shared" si="24"/>
        <v>65.8</v>
      </c>
      <c r="J130" s="244">
        <f t="shared" si="24"/>
        <v>111.9965846153846</v>
      </c>
      <c r="K130" s="244">
        <f t="shared" si="24"/>
        <v>64.75</v>
      </c>
      <c r="L130" s="244">
        <f t="shared" si="24"/>
        <v>7</v>
      </c>
      <c r="M130" s="244">
        <f t="shared" si="24"/>
        <v>70</v>
      </c>
      <c r="N130" s="244">
        <f t="shared" si="24"/>
        <v>27.298000000000002</v>
      </c>
      <c r="O130" s="244">
        <f t="shared" si="24"/>
        <v>6.859999999999999</v>
      </c>
      <c r="P130" s="244">
        <f t="shared" si="24"/>
        <v>18.55</v>
      </c>
      <c r="Q130" s="244">
        <f t="shared" si="24"/>
        <v>26.95</v>
      </c>
      <c r="R130" s="244">
        <f t="shared" si="24"/>
        <v>104.99892857142859</v>
      </c>
      <c r="S130" s="244">
        <f t="shared" si="24"/>
        <v>63</v>
      </c>
      <c r="T130" s="244">
        <f t="shared" si="24"/>
        <v>21</v>
      </c>
      <c r="U130" s="244">
        <f t="shared" si="24"/>
        <v>4.13</v>
      </c>
      <c r="V130" s="244">
        <f t="shared" si="24"/>
        <v>3.5</v>
      </c>
      <c r="W130" s="244">
        <f t="shared" si="24"/>
        <v>12.259938124938126</v>
      </c>
      <c r="X130" s="244">
        <f t="shared" si="24"/>
        <v>6.300166666666667</v>
      </c>
      <c r="Y130" s="244">
        <f t="shared" si="24"/>
        <v>14.000000000000004</v>
      </c>
      <c r="Z130" s="244">
        <f t="shared" si="24"/>
        <v>15.75</v>
      </c>
      <c r="AA130" s="244">
        <f t="shared" si="24"/>
        <v>5.25</v>
      </c>
      <c r="AB130" s="244">
        <f t="shared" si="24"/>
        <v>0.13999999999999999</v>
      </c>
      <c r="AC130" s="244">
        <f t="shared" si="24"/>
        <v>0.42000000000000004</v>
      </c>
      <c r="AD130" s="244">
        <f t="shared" si="24"/>
        <v>0.7</v>
      </c>
      <c r="AE130" s="244">
        <f t="shared" si="24"/>
        <v>2.45</v>
      </c>
      <c r="AJ130" s="238"/>
      <c r="AK130" s="242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</row>
    <row r="131" spans="1:67" s="241" customFormat="1" ht="28.5" customHeight="1">
      <c r="A131" s="238"/>
      <c r="B131" s="239" t="s">
        <v>176</v>
      </c>
      <c r="C131" s="240"/>
      <c r="D131" s="244">
        <f>D127/10</f>
        <v>42</v>
      </c>
      <c r="E131" s="244">
        <f aca="true" t="shared" si="25" ref="E131:AE131">E127/10</f>
        <v>70</v>
      </c>
      <c r="F131" s="244">
        <f t="shared" si="25"/>
        <v>7</v>
      </c>
      <c r="G131" s="244">
        <f t="shared" si="25"/>
        <v>17.5</v>
      </c>
      <c r="H131" s="244">
        <f t="shared" si="25"/>
        <v>7</v>
      </c>
      <c r="I131" s="244">
        <f t="shared" si="25"/>
        <v>65.8</v>
      </c>
      <c r="J131" s="244">
        <f t="shared" si="25"/>
        <v>112</v>
      </c>
      <c r="K131" s="244">
        <f t="shared" si="25"/>
        <v>64.75</v>
      </c>
      <c r="L131" s="244">
        <f t="shared" si="25"/>
        <v>7</v>
      </c>
      <c r="M131" s="244">
        <f t="shared" si="25"/>
        <v>70</v>
      </c>
      <c r="N131" s="244">
        <f t="shared" si="25"/>
        <v>27.3</v>
      </c>
      <c r="O131" s="244">
        <f t="shared" si="25"/>
        <v>6.860000000000001</v>
      </c>
      <c r="P131" s="244">
        <f t="shared" si="25"/>
        <v>18.549999999999997</v>
      </c>
      <c r="Q131" s="244">
        <f t="shared" si="25"/>
        <v>26.95</v>
      </c>
      <c r="R131" s="244">
        <f t="shared" si="25"/>
        <v>105</v>
      </c>
      <c r="S131" s="244">
        <f t="shared" si="25"/>
        <v>62.999999999999986</v>
      </c>
      <c r="T131" s="244">
        <f t="shared" si="25"/>
        <v>21</v>
      </c>
      <c r="U131" s="244">
        <f t="shared" si="25"/>
        <v>4.13</v>
      </c>
      <c r="V131" s="244">
        <f t="shared" si="25"/>
        <v>3.5</v>
      </c>
      <c r="W131" s="244">
        <f t="shared" si="25"/>
        <v>12.25</v>
      </c>
      <c r="X131" s="244">
        <f t="shared" si="25"/>
        <v>6.3</v>
      </c>
      <c r="Y131" s="244">
        <f t="shared" si="25"/>
        <v>14</v>
      </c>
      <c r="Z131" s="244">
        <f t="shared" si="25"/>
        <v>15.749999999999996</v>
      </c>
      <c r="AA131" s="244">
        <f t="shared" si="25"/>
        <v>5.25</v>
      </c>
      <c r="AB131" s="244">
        <f t="shared" si="25"/>
        <v>0.13999999999999999</v>
      </c>
      <c r="AC131" s="244">
        <f t="shared" si="25"/>
        <v>0.42000000000000004</v>
      </c>
      <c r="AD131" s="244">
        <f t="shared" si="25"/>
        <v>0.7</v>
      </c>
      <c r="AE131" s="244">
        <f t="shared" si="25"/>
        <v>2.4499999999999997</v>
      </c>
      <c r="AJ131" s="238"/>
      <c r="AK131" s="242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</row>
    <row r="132" spans="1:68" s="52" customFormat="1" ht="15" customHeight="1">
      <c r="A132" s="129"/>
      <c r="B132" s="130" t="s">
        <v>16</v>
      </c>
      <c r="C132" s="130"/>
      <c r="D132" s="255">
        <f aca="true" t="shared" si="26" ref="D132:AD132">-(100-(D126*100/D127))</f>
        <v>0</v>
      </c>
      <c r="E132" s="255">
        <f t="shared" si="26"/>
        <v>0</v>
      </c>
      <c r="F132" s="255">
        <f t="shared" si="26"/>
        <v>0</v>
      </c>
      <c r="G132" s="255">
        <f t="shared" si="26"/>
        <v>-0.004015444015450953</v>
      </c>
      <c r="H132" s="255">
        <f t="shared" si="26"/>
        <v>0</v>
      </c>
      <c r="I132" s="255">
        <f t="shared" si="26"/>
        <v>0</v>
      </c>
      <c r="J132" s="255">
        <f t="shared" si="26"/>
        <v>-0.003049450549454491</v>
      </c>
      <c r="K132" s="255">
        <f t="shared" si="26"/>
        <v>0</v>
      </c>
      <c r="L132" s="255">
        <f t="shared" si="26"/>
        <v>0</v>
      </c>
      <c r="M132" s="255">
        <f t="shared" si="26"/>
        <v>0</v>
      </c>
      <c r="N132" s="255">
        <v>0</v>
      </c>
      <c r="O132" s="255">
        <f t="shared" si="26"/>
        <v>-2.842170943040401E-14</v>
      </c>
      <c r="P132" s="255">
        <f t="shared" si="26"/>
        <v>1.4210854715202004E-14</v>
      </c>
      <c r="Q132" s="255">
        <f t="shared" si="26"/>
        <v>0</v>
      </c>
      <c r="R132" s="255">
        <f t="shared" si="26"/>
        <v>-0.0010204081632565476</v>
      </c>
      <c r="S132" s="255">
        <f t="shared" si="26"/>
        <v>1.4210854715202004E-14</v>
      </c>
      <c r="T132" s="255">
        <f t="shared" si="26"/>
        <v>0</v>
      </c>
      <c r="U132" s="255">
        <f t="shared" si="26"/>
        <v>0</v>
      </c>
      <c r="V132" s="255">
        <f t="shared" si="26"/>
        <v>0</v>
      </c>
      <c r="W132" s="255">
        <v>0</v>
      </c>
      <c r="X132" s="255">
        <f t="shared" si="26"/>
        <v>0.00264550264549257</v>
      </c>
      <c r="Y132" s="255">
        <f t="shared" si="26"/>
        <v>2.842170943040401E-14</v>
      </c>
      <c r="Z132" s="255">
        <f t="shared" si="26"/>
        <v>1.4210854715202004E-14</v>
      </c>
      <c r="AA132" s="255">
        <f t="shared" si="26"/>
        <v>0</v>
      </c>
      <c r="AB132" s="255">
        <f t="shared" si="26"/>
        <v>0</v>
      </c>
      <c r="AC132" s="255">
        <f t="shared" si="26"/>
        <v>0</v>
      </c>
      <c r="AD132" s="255">
        <f t="shared" si="26"/>
        <v>0</v>
      </c>
      <c r="AE132" s="255">
        <f>-(100-(AE126*100/AE127))</f>
        <v>1.4210854715202004E-14</v>
      </c>
      <c r="AF132" s="49"/>
      <c r="AJ132" s="129"/>
      <c r="AK132" s="130" t="s">
        <v>16</v>
      </c>
      <c r="AL132" s="130"/>
      <c r="AM132" s="131">
        <f aca="true" t="shared" si="27" ref="AM132:BO132">-(100-(AM126*100/AM127))</f>
        <v>0</v>
      </c>
      <c r="AN132" s="131">
        <f t="shared" si="27"/>
        <v>-0.8380952380952351</v>
      </c>
      <c r="AO132" s="131">
        <f t="shared" si="27"/>
        <v>-3.4666666666666686</v>
      </c>
      <c r="AP132" s="131">
        <f t="shared" si="27"/>
        <v>-0.3809523809523654</v>
      </c>
      <c r="AQ132" s="131">
        <f t="shared" si="27"/>
        <v>4.761904761904759</v>
      </c>
      <c r="AR132" s="131">
        <f t="shared" si="27"/>
        <v>2.294832826747694</v>
      </c>
      <c r="AS132" s="131">
        <f t="shared" si="27"/>
        <v>4.158163265306129</v>
      </c>
      <c r="AT132" s="131">
        <f t="shared" si="27"/>
        <v>-4.247104247104247</v>
      </c>
      <c r="AU132" s="131">
        <f t="shared" si="27"/>
        <v>-0.952380952380949</v>
      </c>
      <c r="AV132" s="131">
        <f t="shared" si="27"/>
        <v>0</v>
      </c>
      <c r="AW132" s="131">
        <f t="shared" si="27"/>
        <v>2.040816326530617</v>
      </c>
      <c r="AX132" s="131">
        <f t="shared" si="27"/>
        <v>4.761904761904759</v>
      </c>
      <c r="AY132" s="131">
        <f t="shared" si="27"/>
        <v>-1.4693877551020478</v>
      </c>
      <c r="AZ132" s="131">
        <f t="shared" si="27"/>
        <v>1.2315270935960712</v>
      </c>
      <c r="BA132" s="131">
        <f t="shared" si="27"/>
        <v>-4.4952380952380935</v>
      </c>
      <c r="BB132" s="131">
        <f t="shared" si="27"/>
        <v>2.857142857142861</v>
      </c>
      <c r="BC132" s="131">
        <f t="shared" si="27"/>
        <v>0</v>
      </c>
      <c r="BD132" s="131">
        <f t="shared" si="27"/>
        <v>2.9154518950437023</v>
      </c>
      <c r="BE132" s="131">
        <f t="shared" si="27"/>
        <v>0.7142857142857082</v>
      </c>
      <c r="BF132" s="131">
        <f t="shared" si="27"/>
        <v>0</v>
      </c>
      <c r="BG132" s="131">
        <f t="shared" si="27"/>
        <v>4.19047619047619</v>
      </c>
      <c r="BH132" s="131">
        <f t="shared" si="27"/>
        <v>0.857142857142847</v>
      </c>
      <c r="BI132" s="131">
        <f t="shared" si="27"/>
        <v>-3.0714285714285836</v>
      </c>
      <c r="BJ132" s="131">
        <f t="shared" si="27"/>
        <v>0</v>
      </c>
      <c r="BK132" s="131">
        <f t="shared" si="27"/>
        <v>0</v>
      </c>
      <c r="BL132" s="131">
        <f t="shared" si="27"/>
        <v>-4.761904761904759</v>
      </c>
      <c r="BM132" s="131">
        <f t="shared" si="27"/>
        <v>-71.42857142857143</v>
      </c>
      <c r="BN132" s="131">
        <f t="shared" si="27"/>
        <v>-100</v>
      </c>
      <c r="BO132" s="131">
        <f t="shared" si="27"/>
        <v>-85.71428571428571</v>
      </c>
      <c r="BP132" s="49"/>
    </row>
    <row r="136" spans="2:43" ht="10.5" customHeight="1">
      <c r="B136" s="271" t="s">
        <v>17</v>
      </c>
      <c r="C136" s="95"/>
      <c r="D136" s="256"/>
      <c r="E136" s="256"/>
      <c r="F136" s="256"/>
      <c r="G136" s="256"/>
      <c r="H136" s="248" t="s">
        <v>90</v>
      </c>
      <c r="AK136" s="271" t="s">
        <v>17</v>
      </c>
      <c r="AL136" s="95"/>
      <c r="AM136" s="132"/>
      <c r="AN136" s="132"/>
      <c r="AO136" s="132"/>
      <c r="AP136" s="132"/>
      <c r="AQ136" s="106" t="s">
        <v>90</v>
      </c>
    </row>
    <row r="137" spans="2:44" ht="60.75" customHeight="1">
      <c r="B137" s="271"/>
      <c r="C137" s="228" t="s">
        <v>36</v>
      </c>
      <c r="D137" s="256"/>
      <c r="E137" s="256"/>
      <c r="F137" s="257" t="s">
        <v>48</v>
      </c>
      <c r="I137" s="248" t="s">
        <v>61</v>
      </c>
      <c r="AK137" s="271"/>
      <c r="AL137" s="95" t="s">
        <v>36</v>
      </c>
      <c r="AM137" s="132"/>
      <c r="AN137" s="132"/>
      <c r="AO137" s="189" t="s">
        <v>48</v>
      </c>
      <c r="AR137" s="106" t="s">
        <v>61</v>
      </c>
    </row>
    <row r="138" spans="2:44" ht="32.25" customHeight="1">
      <c r="B138" s="271"/>
      <c r="C138" s="228" t="s">
        <v>174</v>
      </c>
      <c r="D138" s="256"/>
      <c r="E138" s="256" t="s">
        <v>46</v>
      </c>
      <c r="F138" s="258" t="s">
        <v>45</v>
      </c>
      <c r="H138" s="256" t="s">
        <v>46</v>
      </c>
      <c r="I138" s="256" t="s">
        <v>45</v>
      </c>
      <c r="AK138" s="271"/>
      <c r="AL138" s="95" t="s">
        <v>35</v>
      </c>
      <c r="AM138" s="132"/>
      <c r="AN138" s="132" t="s">
        <v>46</v>
      </c>
      <c r="AO138" s="190" t="s">
        <v>45</v>
      </c>
      <c r="AQ138" s="132" t="s">
        <v>46</v>
      </c>
      <c r="AR138" s="132" t="s">
        <v>45</v>
      </c>
    </row>
    <row r="139" spans="2:44" ht="10.5" customHeight="1">
      <c r="B139" s="133" t="s">
        <v>34</v>
      </c>
      <c r="C139" s="193">
        <v>120</v>
      </c>
      <c r="D139" s="256"/>
      <c r="E139" s="256">
        <f aca="true" t="shared" si="28" ref="E139:E167">C139*25/100</f>
        <v>30</v>
      </c>
      <c r="F139" s="258">
        <f aca="true" t="shared" si="29" ref="F139:F167">C139*0.35</f>
        <v>42</v>
      </c>
      <c r="H139" s="248">
        <f>E139*10</f>
        <v>300</v>
      </c>
      <c r="I139" s="248">
        <f>F139*10</f>
        <v>420</v>
      </c>
      <c r="AK139" s="192" t="s">
        <v>34</v>
      </c>
      <c r="AL139" s="95">
        <v>80</v>
      </c>
      <c r="AM139" s="132"/>
      <c r="AN139" s="132">
        <f aca="true" t="shared" si="30" ref="AN139:AN167">AL139*25/100</f>
        <v>20</v>
      </c>
      <c r="AO139" s="190">
        <f aca="true" t="shared" si="31" ref="AO139:AO167">AL139*0.35</f>
        <v>28</v>
      </c>
      <c r="AQ139" s="106">
        <f>AN139*10</f>
        <v>200</v>
      </c>
      <c r="AR139" s="106">
        <f>AO139*10</f>
        <v>280</v>
      </c>
    </row>
    <row r="140" spans="2:44" ht="10.5" customHeight="1">
      <c r="B140" s="133" t="s">
        <v>18</v>
      </c>
      <c r="C140" s="193">
        <v>200</v>
      </c>
      <c r="D140" s="256"/>
      <c r="E140" s="256">
        <f t="shared" si="28"/>
        <v>50</v>
      </c>
      <c r="F140" s="258">
        <f t="shared" si="29"/>
        <v>70</v>
      </c>
      <c r="H140" s="248">
        <f aca="true" t="shared" si="32" ref="H140:I167">E140*10</f>
        <v>500</v>
      </c>
      <c r="I140" s="248">
        <f t="shared" si="32"/>
        <v>700</v>
      </c>
      <c r="AK140" s="192" t="s">
        <v>18</v>
      </c>
      <c r="AL140" s="95">
        <v>150</v>
      </c>
      <c r="AM140" s="132"/>
      <c r="AN140" s="132">
        <f t="shared" si="30"/>
        <v>37.5</v>
      </c>
      <c r="AO140" s="190">
        <f t="shared" si="31"/>
        <v>52.5</v>
      </c>
      <c r="AQ140" s="106">
        <f aca="true" t="shared" si="33" ref="AQ140:AQ167">AN140*10</f>
        <v>375</v>
      </c>
      <c r="AR140" s="106">
        <f aca="true" t="shared" si="34" ref="AR140:AR167">AO140*10</f>
        <v>525</v>
      </c>
    </row>
    <row r="141" spans="2:44" ht="10.5" customHeight="1">
      <c r="B141" s="133" t="s">
        <v>19</v>
      </c>
      <c r="C141" s="193">
        <v>20</v>
      </c>
      <c r="D141" s="256"/>
      <c r="E141" s="256">
        <f t="shared" si="28"/>
        <v>5</v>
      </c>
      <c r="F141" s="258">
        <f t="shared" si="29"/>
        <v>7</v>
      </c>
      <c r="H141" s="248">
        <f t="shared" si="32"/>
        <v>50</v>
      </c>
      <c r="I141" s="248">
        <f t="shared" si="32"/>
        <v>70</v>
      </c>
      <c r="AK141" s="192" t="s">
        <v>19</v>
      </c>
      <c r="AL141" s="95">
        <v>15</v>
      </c>
      <c r="AM141" s="132"/>
      <c r="AN141" s="132">
        <f t="shared" si="30"/>
        <v>3.75</v>
      </c>
      <c r="AO141" s="190">
        <f t="shared" si="31"/>
        <v>5.25</v>
      </c>
      <c r="AQ141" s="106">
        <f t="shared" si="33"/>
        <v>37.5</v>
      </c>
      <c r="AR141" s="106">
        <f t="shared" si="34"/>
        <v>52.5</v>
      </c>
    </row>
    <row r="142" spans="2:44" ht="10.5" customHeight="1">
      <c r="B142" s="133" t="s">
        <v>20</v>
      </c>
      <c r="C142" s="193">
        <v>50</v>
      </c>
      <c r="D142" s="256"/>
      <c r="E142" s="256">
        <f t="shared" si="28"/>
        <v>12.5</v>
      </c>
      <c r="F142" s="258">
        <f t="shared" si="29"/>
        <v>17.5</v>
      </c>
      <c r="H142" s="248">
        <f t="shared" si="32"/>
        <v>125</v>
      </c>
      <c r="I142" s="248">
        <f t="shared" si="32"/>
        <v>175</v>
      </c>
      <c r="AK142" s="192" t="s">
        <v>20</v>
      </c>
      <c r="AL142" s="95">
        <v>45</v>
      </c>
      <c r="AM142" s="132"/>
      <c r="AN142" s="132">
        <f t="shared" si="30"/>
        <v>11.25</v>
      </c>
      <c r="AO142" s="190">
        <f t="shared" si="31"/>
        <v>15.749999999999998</v>
      </c>
      <c r="AQ142" s="106">
        <f t="shared" si="33"/>
        <v>112.5</v>
      </c>
      <c r="AR142" s="106">
        <f t="shared" si="34"/>
        <v>157.49999999999997</v>
      </c>
    </row>
    <row r="143" spans="2:44" ht="10.5" customHeight="1">
      <c r="B143" s="133" t="s">
        <v>21</v>
      </c>
      <c r="C143" s="193">
        <v>20</v>
      </c>
      <c r="D143" s="256"/>
      <c r="E143" s="256">
        <f t="shared" si="28"/>
        <v>5</v>
      </c>
      <c r="F143" s="258">
        <f t="shared" si="29"/>
        <v>7</v>
      </c>
      <c r="H143" s="248">
        <f t="shared" si="32"/>
        <v>50</v>
      </c>
      <c r="I143" s="248">
        <f t="shared" si="32"/>
        <v>70</v>
      </c>
      <c r="AK143" s="192" t="s">
        <v>21</v>
      </c>
      <c r="AL143" s="95">
        <v>15</v>
      </c>
      <c r="AM143" s="132"/>
      <c r="AN143" s="132">
        <f t="shared" si="30"/>
        <v>3.75</v>
      </c>
      <c r="AO143" s="190">
        <f t="shared" si="31"/>
        <v>5.25</v>
      </c>
      <c r="AQ143" s="106">
        <f t="shared" si="33"/>
        <v>37.5</v>
      </c>
      <c r="AR143" s="106">
        <f t="shared" si="34"/>
        <v>52.5</v>
      </c>
    </row>
    <row r="144" spans="2:44" ht="10.5" customHeight="1">
      <c r="B144" s="133" t="s">
        <v>22</v>
      </c>
      <c r="C144" s="193">
        <v>188</v>
      </c>
      <c r="D144" s="256"/>
      <c r="E144" s="256">
        <f t="shared" si="28"/>
        <v>47</v>
      </c>
      <c r="F144" s="258">
        <f t="shared" si="29"/>
        <v>65.8</v>
      </c>
      <c r="H144" s="248">
        <f t="shared" si="32"/>
        <v>470</v>
      </c>
      <c r="I144" s="248">
        <f t="shared" si="32"/>
        <v>658</v>
      </c>
      <c r="AK144" s="192" t="s">
        <v>22</v>
      </c>
      <c r="AL144" s="95">
        <v>188</v>
      </c>
      <c r="AM144" s="132"/>
      <c r="AN144" s="132">
        <f t="shared" si="30"/>
        <v>47</v>
      </c>
      <c r="AO144" s="190">
        <f t="shared" si="31"/>
        <v>65.8</v>
      </c>
      <c r="AQ144" s="106">
        <f t="shared" si="33"/>
        <v>470</v>
      </c>
      <c r="AR144" s="106">
        <f t="shared" si="34"/>
        <v>658</v>
      </c>
    </row>
    <row r="145" spans="2:44" ht="10.5" customHeight="1">
      <c r="B145" s="133" t="s">
        <v>91</v>
      </c>
      <c r="C145" s="193">
        <v>320</v>
      </c>
      <c r="D145" s="256"/>
      <c r="E145" s="256">
        <f t="shared" si="28"/>
        <v>80</v>
      </c>
      <c r="F145" s="258">
        <f t="shared" si="29"/>
        <v>112</v>
      </c>
      <c r="H145" s="248">
        <f t="shared" si="32"/>
        <v>800</v>
      </c>
      <c r="I145" s="248">
        <f t="shared" si="32"/>
        <v>1120</v>
      </c>
      <c r="AK145" s="192" t="s">
        <v>91</v>
      </c>
      <c r="AL145" s="95">
        <v>280</v>
      </c>
      <c r="AM145" s="132"/>
      <c r="AN145" s="132">
        <f t="shared" si="30"/>
        <v>70</v>
      </c>
      <c r="AO145" s="190">
        <f t="shared" si="31"/>
        <v>98</v>
      </c>
      <c r="AQ145" s="106">
        <f t="shared" si="33"/>
        <v>700</v>
      </c>
      <c r="AR145" s="106">
        <f t="shared" si="34"/>
        <v>980</v>
      </c>
    </row>
    <row r="146" spans="2:44" ht="10.5" customHeight="1">
      <c r="B146" s="133" t="s">
        <v>92</v>
      </c>
      <c r="C146" s="193">
        <v>185</v>
      </c>
      <c r="D146" s="256"/>
      <c r="E146" s="256">
        <f t="shared" si="28"/>
        <v>46.25</v>
      </c>
      <c r="F146" s="258">
        <f t="shared" si="29"/>
        <v>64.75</v>
      </c>
      <c r="H146" s="248">
        <f t="shared" si="32"/>
        <v>462.5</v>
      </c>
      <c r="I146" s="248">
        <f t="shared" si="32"/>
        <v>647.5</v>
      </c>
      <c r="AK146" s="192" t="s">
        <v>92</v>
      </c>
      <c r="AL146" s="95">
        <v>185</v>
      </c>
      <c r="AM146" s="132"/>
      <c r="AN146" s="132">
        <f t="shared" si="30"/>
        <v>46.25</v>
      </c>
      <c r="AO146" s="190">
        <f t="shared" si="31"/>
        <v>64.75</v>
      </c>
      <c r="AQ146" s="106">
        <f t="shared" si="33"/>
        <v>462.5</v>
      </c>
      <c r="AR146" s="106">
        <f t="shared" si="34"/>
        <v>647.5</v>
      </c>
    </row>
    <row r="147" spans="2:44" ht="10.5" customHeight="1">
      <c r="B147" s="133" t="s">
        <v>93</v>
      </c>
      <c r="C147" s="193">
        <v>20</v>
      </c>
      <c r="D147" s="256"/>
      <c r="E147" s="256">
        <f t="shared" si="28"/>
        <v>5</v>
      </c>
      <c r="F147" s="258">
        <f t="shared" si="29"/>
        <v>7</v>
      </c>
      <c r="H147" s="248">
        <f t="shared" si="32"/>
        <v>50</v>
      </c>
      <c r="I147" s="248">
        <f t="shared" si="32"/>
        <v>70</v>
      </c>
      <c r="AK147" s="192" t="s">
        <v>93</v>
      </c>
      <c r="AL147" s="95">
        <v>15</v>
      </c>
      <c r="AM147" s="132"/>
      <c r="AN147" s="132">
        <f t="shared" si="30"/>
        <v>3.75</v>
      </c>
      <c r="AO147" s="190">
        <f t="shared" si="31"/>
        <v>5.25</v>
      </c>
      <c r="AQ147" s="106">
        <f t="shared" si="33"/>
        <v>37.5</v>
      </c>
      <c r="AR147" s="106">
        <f t="shared" si="34"/>
        <v>52.5</v>
      </c>
    </row>
    <row r="148" spans="2:44" ht="10.5" customHeight="1">
      <c r="B148" s="133" t="s">
        <v>38</v>
      </c>
      <c r="C148" s="193">
        <v>200</v>
      </c>
      <c r="D148" s="256"/>
      <c r="E148" s="256">
        <f t="shared" si="28"/>
        <v>50</v>
      </c>
      <c r="F148" s="258">
        <f t="shared" si="29"/>
        <v>70</v>
      </c>
      <c r="H148" s="248">
        <f t="shared" si="32"/>
        <v>500</v>
      </c>
      <c r="I148" s="248">
        <f t="shared" si="32"/>
        <v>700</v>
      </c>
      <c r="AK148" s="192" t="s">
        <v>38</v>
      </c>
      <c r="AL148" s="95">
        <v>200</v>
      </c>
      <c r="AM148" s="132"/>
      <c r="AN148" s="132">
        <f t="shared" si="30"/>
        <v>50</v>
      </c>
      <c r="AO148" s="190">
        <f t="shared" si="31"/>
        <v>70</v>
      </c>
      <c r="AQ148" s="106">
        <f t="shared" si="33"/>
        <v>500</v>
      </c>
      <c r="AR148" s="106">
        <f t="shared" si="34"/>
        <v>700</v>
      </c>
    </row>
    <row r="149" spans="2:44" ht="10.5" customHeight="1">
      <c r="B149" s="133" t="s">
        <v>94</v>
      </c>
      <c r="C149" s="193">
        <v>78</v>
      </c>
      <c r="D149" s="256"/>
      <c r="E149" s="256">
        <f t="shared" si="28"/>
        <v>19.5</v>
      </c>
      <c r="F149" s="258">
        <f t="shared" si="29"/>
        <v>27.299999999999997</v>
      </c>
      <c r="H149" s="248">
        <f t="shared" si="32"/>
        <v>195</v>
      </c>
      <c r="I149" s="248">
        <f t="shared" si="32"/>
        <v>273</v>
      </c>
      <c r="AK149" s="192" t="s">
        <v>94</v>
      </c>
      <c r="AL149" s="95">
        <v>70</v>
      </c>
      <c r="AM149" s="132"/>
      <c r="AN149" s="132">
        <f t="shared" si="30"/>
        <v>17.5</v>
      </c>
      <c r="AO149" s="190">
        <f t="shared" si="31"/>
        <v>24.5</v>
      </c>
      <c r="AQ149" s="106">
        <f t="shared" si="33"/>
        <v>175</v>
      </c>
      <c r="AR149" s="106">
        <f t="shared" si="34"/>
        <v>245</v>
      </c>
    </row>
    <row r="150" spans="2:44" ht="10.5" customHeight="1">
      <c r="B150" s="133" t="s">
        <v>97</v>
      </c>
      <c r="C150" s="193">
        <v>19.6</v>
      </c>
      <c r="D150" s="256"/>
      <c r="E150" s="256">
        <f t="shared" si="28"/>
        <v>4.9</v>
      </c>
      <c r="F150" s="258">
        <f t="shared" si="29"/>
        <v>6.86</v>
      </c>
      <c r="H150" s="248">
        <f t="shared" si="32"/>
        <v>49</v>
      </c>
      <c r="I150" s="248">
        <f t="shared" si="32"/>
        <v>68.60000000000001</v>
      </c>
      <c r="AK150" s="192" t="s">
        <v>97</v>
      </c>
      <c r="AL150" s="95">
        <v>15</v>
      </c>
      <c r="AM150" s="132"/>
      <c r="AN150" s="132">
        <f t="shared" si="30"/>
        <v>3.75</v>
      </c>
      <c r="AO150" s="190">
        <f t="shared" si="31"/>
        <v>5.25</v>
      </c>
      <c r="AQ150" s="106">
        <f t="shared" si="33"/>
        <v>37.5</v>
      </c>
      <c r="AR150" s="106">
        <f t="shared" si="34"/>
        <v>52.5</v>
      </c>
    </row>
    <row r="151" spans="2:44" ht="10.5" customHeight="1">
      <c r="B151" s="133" t="s">
        <v>95</v>
      </c>
      <c r="C151" s="193">
        <v>53</v>
      </c>
      <c r="D151" s="256"/>
      <c r="E151" s="256">
        <f t="shared" si="28"/>
        <v>13.25</v>
      </c>
      <c r="F151" s="258">
        <f t="shared" si="29"/>
        <v>18.549999999999997</v>
      </c>
      <c r="H151" s="248">
        <f t="shared" si="32"/>
        <v>132.5</v>
      </c>
      <c r="I151" s="248">
        <f t="shared" si="32"/>
        <v>185.49999999999997</v>
      </c>
      <c r="AK151" s="192" t="s">
        <v>95</v>
      </c>
      <c r="AL151" s="95">
        <v>35</v>
      </c>
      <c r="AM151" s="132"/>
      <c r="AN151" s="132">
        <f t="shared" si="30"/>
        <v>8.75</v>
      </c>
      <c r="AO151" s="190">
        <f t="shared" si="31"/>
        <v>12.25</v>
      </c>
      <c r="AQ151" s="106">
        <f t="shared" si="33"/>
        <v>87.5</v>
      </c>
      <c r="AR151" s="106">
        <f t="shared" si="34"/>
        <v>122.5</v>
      </c>
    </row>
    <row r="152" spans="2:44" ht="10.5" customHeight="1">
      <c r="B152" s="133" t="s">
        <v>96</v>
      </c>
      <c r="C152" s="193">
        <v>77</v>
      </c>
      <c r="D152" s="256"/>
      <c r="E152" s="256">
        <f t="shared" si="28"/>
        <v>19.25</v>
      </c>
      <c r="F152" s="258">
        <f t="shared" si="29"/>
        <v>26.95</v>
      </c>
      <c r="H152" s="248">
        <f t="shared" si="32"/>
        <v>192.5</v>
      </c>
      <c r="I152" s="248">
        <f t="shared" si="32"/>
        <v>269.5</v>
      </c>
      <c r="AK152" s="192" t="s">
        <v>96</v>
      </c>
      <c r="AL152" s="95">
        <v>58</v>
      </c>
      <c r="AM152" s="132"/>
      <c r="AN152" s="132">
        <f t="shared" si="30"/>
        <v>14.5</v>
      </c>
      <c r="AO152" s="190">
        <f t="shared" si="31"/>
        <v>20.299999999999997</v>
      </c>
      <c r="AQ152" s="106">
        <f t="shared" si="33"/>
        <v>145</v>
      </c>
      <c r="AR152" s="106">
        <f t="shared" si="34"/>
        <v>202.99999999999997</v>
      </c>
    </row>
    <row r="153" spans="2:44" ht="10.5" customHeight="1">
      <c r="B153" s="133" t="s">
        <v>39</v>
      </c>
      <c r="C153" s="193">
        <v>300</v>
      </c>
      <c r="D153" s="256"/>
      <c r="E153" s="256">
        <f t="shared" si="28"/>
        <v>75</v>
      </c>
      <c r="F153" s="258">
        <f t="shared" si="29"/>
        <v>105</v>
      </c>
      <c r="H153" s="248">
        <f t="shared" si="32"/>
        <v>750</v>
      </c>
      <c r="I153" s="248">
        <f t="shared" si="32"/>
        <v>1050</v>
      </c>
      <c r="AK153" s="192" t="s">
        <v>39</v>
      </c>
      <c r="AL153" s="95">
        <v>300</v>
      </c>
      <c r="AM153" s="132"/>
      <c r="AN153" s="132">
        <f t="shared" si="30"/>
        <v>75</v>
      </c>
      <c r="AO153" s="190">
        <f t="shared" si="31"/>
        <v>105</v>
      </c>
      <c r="AQ153" s="106">
        <f t="shared" si="33"/>
        <v>750</v>
      </c>
      <c r="AR153" s="106">
        <f t="shared" si="34"/>
        <v>1050</v>
      </c>
    </row>
    <row r="154" spans="2:44" ht="10.5" customHeight="1">
      <c r="B154" s="133" t="s">
        <v>40</v>
      </c>
      <c r="C154" s="193">
        <v>180</v>
      </c>
      <c r="D154" s="256"/>
      <c r="E154" s="256">
        <f t="shared" si="28"/>
        <v>45</v>
      </c>
      <c r="F154" s="258">
        <f t="shared" si="29"/>
        <v>62.99999999999999</v>
      </c>
      <c r="H154" s="248">
        <f t="shared" si="32"/>
        <v>450</v>
      </c>
      <c r="I154" s="248">
        <f t="shared" si="32"/>
        <v>629.9999999999999</v>
      </c>
      <c r="AK154" s="192" t="s">
        <v>40</v>
      </c>
      <c r="AL154" s="95">
        <v>150</v>
      </c>
      <c r="AM154" s="132"/>
      <c r="AN154" s="132">
        <f t="shared" si="30"/>
        <v>37.5</v>
      </c>
      <c r="AO154" s="190">
        <f t="shared" si="31"/>
        <v>52.5</v>
      </c>
      <c r="AQ154" s="106">
        <f t="shared" si="33"/>
        <v>375</v>
      </c>
      <c r="AR154" s="106">
        <f t="shared" si="34"/>
        <v>525</v>
      </c>
    </row>
    <row r="155" spans="2:44" ht="10.5" customHeight="1">
      <c r="B155" s="133" t="s">
        <v>47</v>
      </c>
      <c r="C155" s="193">
        <v>60</v>
      </c>
      <c r="D155" s="256"/>
      <c r="E155" s="256">
        <f t="shared" si="28"/>
        <v>15</v>
      </c>
      <c r="F155" s="258">
        <f t="shared" si="29"/>
        <v>21</v>
      </c>
      <c r="H155" s="248">
        <f t="shared" si="32"/>
        <v>150</v>
      </c>
      <c r="I155" s="248">
        <f t="shared" si="32"/>
        <v>210</v>
      </c>
      <c r="AK155" s="192" t="s">
        <v>47</v>
      </c>
      <c r="AL155" s="95">
        <v>50</v>
      </c>
      <c r="AM155" s="132"/>
      <c r="AN155" s="132">
        <f t="shared" si="30"/>
        <v>12.5</v>
      </c>
      <c r="AO155" s="190">
        <f t="shared" si="31"/>
        <v>17.5</v>
      </c>
      <c r="AQ155" s="106">
        <f t="shared" si="33"/>
        <v>125</v>
      </c>
      <c r="AR155" s="106">
        <f t="shared" si="34"/>
        <v>175</v>
      </c>
    </row>
    <row r="156" spans="2:44" ht="10.5" customHeight="1">
      <c r="B156" s="133" t="s">
        <v>23</v>
      </c>
      <c r="C156" s="193">
        <v>11.8</v>
      </c>
      <c r="D156" s="256"/>
      <c r="E156" s="256">
        <f t="shared" si="28"/>
        <v>2.95</v>
      </c>
      <c r="F156" s="258">
        <f t="shared" si="29"/>
        <v>4.13</v>
      </c>
      <c r="H156" s="248">
        <f t="shared" si="32"/>
        <v>29.5</v>
      </c>
      <c r="I156" s="248">
        <f t="shared" si="32"/>
        <v>41.3</v>
      </c>
      <c r="AK156" s="192" t="s">
        <v>23</v>
      </c>
      <c r="AL156" s="95">
        <v>9.8</v>
      </c>
      <c r="AM156" s="132"/>
      <c r="AN156" s="132">
        <f t="shared" si="30"/>
        <v>2.45</v>
      </c>
      <c r="AO156" s="190">
        <f t="shared" si="31"/>
        <v>3.43</v>
      </c>
      <c r="AQ156" s="106">
        <f t="shared" si="33"/>
        <v>24.5</v>
      </c>
      <c r="AR156" s="106">
        <f t="shared" si="34"/>
        <v>34.300000000000004</v>
      </c>
    </row>
    <row r="157" spans="2:44" ht="10.5" customHeight="1">
      <c r="B157" s="133" t="s">
        <v>29</v>
      </c>
      <c r="C157" s="193">
        <v>10</v>
      </c>
      <c r="D157" s="256"/>
      <c r="E157" s="256">
        <f t="shared" si="28"/>
        <v>2.5</v>
      </c>
      <c r="F157" s="258">
        <f t="shared" si="29"/>
        <v>3.5</v>
      </c>
      <c r="H157" s="248">
        <f t="shared" si="32"/>
        <v>25</v>
      </c>
      <c r="I157" s="248">
        <f t="shared" si="32"/>
        <v>35</v>
      </c>
      <c r="AK157" s="192" t="s">
        <v>29</v>
      </c>
      <c r="AL157" s="95">
        <v>10</v>
      </c>
      <c r="AM157" s="132"/>
      <c r="AN157" s="132">
        <f t="shared" si="30"/>
        <v>2.5</v>
      </c>
      <c r="AO157" s="190">
        <f t="shared" si="31"/>
        <v>3.5</v>
      </c>
      <c r="AQ157" s="106">
        <f t="shared" si="33"/>
        <v>25</v>
      </c>
      <c r="AR157" s="106">
        <f t="shared" si="34"/>
        <v>35</v>
      </c>
    </row>
    <row r="158" spans="2:44" ht="10.5" customHeight="1">
      <c r="B158" s="133" t="s">
        <v>24</v>
      </c>
      <c r="C158" s="193">
        <v>35</v>
      </c>
      <c r="D158" s="256"/>
      <c r="E158" s="256">
        <f t="shared" si="28"/>
        <v>8.75</v>
      </c>
      <c r="F158" s="258">
        <f t="shared" si="29"/>
        <v>12.25</v>
      </c>
      <c r="H158" s="248">
        <f t="shared" si="32"/>
        <v>87.5</v>
      </c>
      <c r="I158" s="248">
        <f t="shared" si="32"/>
        <v>122.5</v>
      </c>
      <c r="AK158" s="192" t="s">
        <v>24</v>
      </c>
      <c r="AL158" s="95">
        <v>30</v>
      </c>
      <c r="AM158" s="132"/>
      <c r="AN158" s="132">
        <f t="shared" si="30"/>
        <v>7.5</v>
      </c>
      <c r="AO158" s="190">
        <f t="shared" si="31"/>
        <v>10.5</v>
      </c>
      <c r="AQ158" s="106">
        <f t="shared" si="33"/>
        <v>75</v>
      </c>
      <c r="AR158" s="106">
        <f t="shared" si="34"/>
        <v>105</v>
      </c>
    </row>
    <row r="159" spans="2:44" ht="10.5" customHeight="1">
      <c r="B159" s="133" t="s">
        <v>25</v>
      </c>
      <c r="C159" s="193">
        <v>18</v>
      </c>
      <c r="D159" s="256"/>
      <c r="E159" s="256">
        <f t="shared" si="28"/>
        <v>4.5</v>
      </c>
      <c r="F159" s="258">
        <f t="shared" si="29"/>
        <v>6.3</v>
      </c>
      <c r="H159" s="248">
        <f t="shared" si="32"/>
        <v>45</v>
      </c>
      <c r="I159" s="248">
        <f t="shared" si="32"/>
        <v>63</v>
      </c>
      <c r="AK159" s="192" t="s">
        <v>25</v>
      </c>
      <c r="AL159" s="95">
        <v>15</v>
      </c>
      <c r="AM159" s="132"/>
      <c r="AN159" s="132">
        <f t="shared" si="30"/>
        <v>3.75</v>
      </c>
      <c r="AO159" s="190">
        <f t="shared" si="31"/>
        <v>5.25</v>
      </c>
      <c r="AQ159" s="106">
        <f t="shared" si="33"/>
        <v>37.5</v>
      </c>
      <c r="AR159" s="106">
        <f t="shared" si="34"/>
        <v>52.5</v>
      </c>
    </row>
    <row r="160" spans="2:44" ht="10.5" customHeight="1">
      <c r="B160" s="133" t="s">
        <v>50</v>
      </c>
      <c r="C160" s="193">
        <v>40</v>
      </c>
      <c r="D160" s="256"/>
      <c r="E160" s="256">
        <f t="shared" si="28"/>
        <v>10</v>
      </c>
      <c r="F160" s="258">
        <f t="shared" si="29"/>
        <v>14</v>
      </c>
      <c r="H160" s="248">
        <f t="shared" si="32"/>
        <v>100</v>
      </c>
      <c r="I160" s="248">
        <f t="shared" si="32"/>
        <v>140</v>
      </c>
      <c r="AK160" s="192" t="s">
        <v>50</v>
      </c>
      <c r="AL160" s="95">
        <v>40</v>
      </c>
      <c r="AM160" s="132"/>
      <c r="AN160" s="132">
        <f t="shared" si="30"/>
        <v>10</v>
      </c>
      <c r="AO160" s="190">
        <f t="shared" si="31"/>
        <v>14</v>
      </c>
      <c r="AQ160" s="106">
        <f t="shared" si="33"/>
        <v>100</v>
      </c>
      <c r="AR160" s="106">
        <f t="shared" si="34"/>
        <v>140</v>
      </c>
    </row>
    <row r="161" spans="2:44" ht="10.5" customHeight="1">
      <c r="B161" s="133" t="s">
        <v>26</v>
      </c>
      <c r="C161" s="193">
        <v>45</v>
      </c>
      <c r="D161" s="256"/>
      <c r="E161" s="256">
        <f t="shared" si="28"/>
        <v>11.25</v>
      </c>
      <c r="F161" s="258">
        <f t="shared" si="29"/>
        <v>15.749999999999998</v>
      </c>
      <c r="H161" s="248">
        <f t="shared" si="32"/>
        <v>112.5</v>
      </c>
      <c r="I161" s="248">
        <f t="shared" si="32"/>
        <v>157.49999999999997</v>
      </c>
      <c r="AK161" s="192" t="s">
        <v>26</v>
      </c>
      <c r="AL161" s="95">
        <v>40</v>
      </c>
      <c r="AM161" s="132"/>
      <c r="AN161" s="132">
        <f t="shared" si="30"/>
        <v>10</v>
      </c>
      <c r="AO161" s="190">
        <f t="shared" si="31"/>
        <v>14</v>
      </c>
      <c r="AQ161" s="106">
        <f t="shared" si="33"/>
        <v>100</v>
      </c>
      <c r="AR161" s="106">
        <f t="shared" si="34"/>
        <v>140</v>
      </c>
    </row>
    <row r="162" spans="2:44" ht="10.5" customHeight="1">
      <c r="B162" s="133" t="s">
        <v>27</v>
      </c>
      <c r="C162" s="193">
        <v>15</v>
      </c>
      <c r="D162" s="256"/>
      <c r="E162" s="256">
        <f t="shared" si="28"/>
        <v>3.75</v>
      </c>
      <c r="F162" s="258">
        <f t="shared" si="29"/>
        <v>5.25</v>
      </c>
      <c r="H162" s="248">
        <f t="shared" si="32"/>
        <v>37.5</v>
      </c>
      <c r="I162" s="248">
        <f t="shared" si="32"/>
        <v>52.5</v>
      </c>
      <c r="AK162" s="192" t="s">
        <v>27</v>
      </c>
      <c r="AL162" s="95">
        <v>10</v>
      </c>
      <c r="AM162" s="132"/>
      <c r="AN162" s="132">
        <f t="shared" si="30"/>
        <v>2.5</v>
      </c>
      <c r="AO162" s="190">
        <f t="shared" si="31"/>
        <v>3.5</v>
      </c>
      <c r="AQ162" s="106">
        <f t="shared" si="33"/>
        <v>25</v>
      </c>
      <c r="AR162" s="106">
        <f t="shared" si="34"/>
        <v>35</v>
      </c>
    </row>
    <row r="163" spans="2:44" ht="10.5" customHeight="1">
      <c r="B163" s="133" t="s">
        <v>10</v>
      </c>
      <c r="C163" s="193">
        <v>0.4</v>
      </c>
      <c r="D163" s="256"/>
      <c r="E163" s="256">
        <f t="shared" si="28"/>
        <v>0.1</v>
      </c>
      <c r="F163" s="258">
        <f t="shared" si="29"/>
        <v>0.13999999999999999</v>
      </c>
      <c r="H163" s="248">
        <f t="shared" si="32"/>
        <v>1</v>
      </c>
      <c r="I163" s="248">
        <f t="shared" si="32"/>
        <v>1.4</v>
      </c>
      <c r="AK163" s="192" t="s">
        <v>10</v>
      </c>
      <c r="AL163" s="95">
        <v>0.4</v>
      </c>
      <c r="AM163" s="132"/>
      <c r="AN163" s="132">
        <f t="shared" si="30"/>
        <v>0.1</v>
      </c>
      <c r="AO163" s="190">
        <f t="shared" si="31"/>
        <v>0.13999999999999999</v>
      </c>
      <c r="AQ163" s="106">
        <f t="shared" si="33"/>
        <v>1</v>
      </c>
      <c r="AR163" s="106">
        <f t="shared" si="34"/>
        <v>1.4</v>
      </c>
    </row>
    <row r="164" spans="2:44" ht="10.5" customHeight="1">
      <c r="B164" s="133" t="s">
        <v>41</v>
      </c>
      <c r="C164" s="193">
        <v>1.2</v>
      </c>
      <c r="D164" s="256"/>
      <c r="E164" s="256">
        <f t="shared" si="28"/>
        <v>0.3</v>
      </c>
      <c r="F164" s="258">
        <f t="shared" si="29"/>
        <v>0.42</v>
      </c>
      <c r="H164" s="248">
        <f t="shared" si="32"/>
        <v>3</v>
      </c>
      <c r="I164" s="248">
        <f t="shared" si="32"/>
        <v>4.2</v>
      </c>
      <c r="AK164" s="192" t="s">
        <v>41</v>
      </c>
      <c r="AL164" s="95">
        <v>1.2</v>
      </c>
      <c r="AM164" s="132"/>
      <c r="AN164" s="132">
        <f t="shared" si="30"/>
        <v>0.3</v>
      </c>
      <c r="AO164" s="190">
        <f t="shared" si="31"/>
        <v>0.42</v>
      </c>
      <c r="AQ164" s="106">
        <f t="shared" si="33"/>
        <v>3</v>
      </c>
      <c r="AR164" s="106">
        <f t="shared" si="34"/>
        <v>4.2</v>
      </c>
    </row>
    <row r="165" spans="2:44" ht="10.5" customHeight="1">
      <c r="B165" s="133" t="s">
        <v>28</v>
      </c>
      <c r="C165" s="193">
        <v>2</v>
      </c>
      <c r="D165" s="256"/>
      <c r="E165" s="256">
        <f t="shared" si="28"/>
        <v>0.5</v>
      </c>
      <c r="F165" s="258">
        <f t="shared" si="29"/>
        <v>0.7</v>
      </c>
      <c r="H165" s="248">
        <f t="shared" si="32"/>
        <v>5</v>
      </c>
      <c r="I165" s="248">
        <f t="shared" si="32"/>
        <v>7</v>
      </c>
      <c r="AK165" s="192" t="s">
        <v>28</v>
      </c>
      <c r="AL165" s="95">
        <v>1</v>
      </c>
      <c r="AM165" s="132"/>
      <c r="AN165" s="132">
        <f t="shared" si="30"/>
        <v>0.25</v>
      </c>
      <c r="AO165" s="190">
        <f t="shared" si="31"/>
        <v>0.35</v>
      </c>
      <c r="AQ165" s="106">
        <f t="shared" si="33"/>
        <v>2.5</v>
      </c>
      <c r="AR165" s="106">
        <f t="shared" si="34"/>
        <v>3.5</v>
      </c>
    </row>
    <row r="166" spans="1:67" ht="10.5" customHeight="1">
      <c r="A166" s="134"/>
      <c r="B166" s="135" t="s">
        <v>43</v>
      </c>
      <c r="C166" s="193">
        <v>7</v>
      </c>
      <c r="D166" s="256"/>
      <c r="E166" s="256">
        <f t="shared" si="28"/>
        <v>1.75</v>
      </c>
      <c r="F166" s="258">
        <f t="shared" si="29"/>
        <v>2.4499999999999997</v>
      </c>
      <c r="G166" s="254"/>
      <c r="H166" s="248">
        <f t="shared" si="32"/>
        <v>17.5</v>
      </c>
      <c r="I166" s="248">
        <f t="shared" si="32"/>
        <v>24.499999999999996</v>
      </c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J166" s="134"/>
      <c r="AK166" s="135" t="s">
        <v>43</v>
      </c>
      <c r="AL166" s="136">
        <v>3</v>
      </c>
      <c r="AM166" s="132"/>
      <c r="AN166" s="132">
        <f t="shared" si="30"/>
        <v>0.75</v>
      </c>
      <c r="AO166" s="190">
        <f t="shared" si="31"/>
        <v>1.0499999999999998</v>
      </c>
      <c r="AP166" s="126"/>
      <c r="AQ166" s="106">
        <f t="shared" si="33"/>
        <v>7.5</v>
      </c>
      <c r="AR166" s="106">
        <f t="shared" si="34"/>
        <v>10.499999999999998</v>
      </c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</row>
    <row r="167" spans="2:44" ht="10.5" customHeight="1">
      <c r="B167" s="95" t="s">
        <v>44</v>
      </c>
      <c r="C167" s="95"/>
      <c r="D167" s="259"/>
      <c r="E167" s="259">
        <f t="shared" si="28"/>
        <v>0</v>
      </c>
      <c r="F167" s="257">
        <f t="shared" si="29"/>
        <v>0</v>
      </c>
      <c r="H167" s="248">
        <f t="shared" si="32"/>
        <v>0</v>
      </c>
      <c r="I167" s="248">
        <f t="shared" si="32"/>
        <v>0</v>
      </c>
      <c r="AK167" s="95" t="s">
        <v>44</v>
      </c>
      <c r="AL167" s="95">
        <v>2</v>
      </c>
      <c r="AM167" s="95"/>
      <c r="AN167" s="95">
        <f t="shared" si="30"/>
        <v>0.5</v>
      </c>
      <c r="AO167" s="189">
        <f t="shared" si="31"/>
        <v>0.7</v>
      </c>
      <c r="AQ167" s="106">
        <f t="shared" si="33"/>
        <v>5</v>
      </c>
      <c r="AR167" s="106">
        <f t="shared" si="34"/>
        <v>7</v>
      </c>
    </row>
    <row r="168" spans="1:68" s="5" customFormat="1" ht="10.5" customHeight="1">
      <c r="A168" s="112"/>
      <c r="B168" s="137"/>
      <c r="C168" s="137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J168" s="112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64"/>
    </row>
    <row r="169" spans="1:68" s="5" customFormat="1" ht="10.5" customHeight="1">
      <c r="A169" s="112"/>
      <c r="B169" s="137"/>
      <c r="C169" s="137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J169" s="112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64"/>
    </row>
    <row r="170" spans="1:68" s="5" customFormat="1" ht="10.5" customHeight="1">
      <c r="A170" s="112"/>
      <c r="B170" s="137"/>
      <c r="C170" s="137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J170" s="112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64"/>
    </row>
    <row r="171" spans="1:68" s="5" customFormat="1" ht="10.5" customHeight="1">
      <c r="A171" s="112"/>
      <c r="B171" s="137"/>
      <c r="C171" s="137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J171" s="112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64"/>
    </row>
    <row r="172" spans="1:68" s="5" customFormat="1" ht="10.5" customHeight="1">
      <c r="A172" s="112"/>
      <c r="B172" s="137"/>
      <c r="C172" s="137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J172" s="112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64"/>
    </row>
    <row r="173" spans="1:68" s="5" customFormat="1" ht="10.5" customHeight="1">
      <c r="A173" s="112"/>
      <c r="B173" s="137"/>
      <c r="C173" s="137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J173" s="112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64"/>
    </row>
    <row r="174" spans="1:68" s="5" customFormat="1" ht="10.5" customHeight="1">
      <c r="A174" s="112"/>
      <c r="B174" s="137"/>
      <c r="C174" s="137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J174" s="112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64"/>
    </row>
    <row r="175" spans="1:68" s="5" customFormat="1" ht="10.5" customHeight="1">
      <c r="A175" s="112"/>
      <c r="B175" s="137"/>
      <c r="C175" s="137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J175" s="112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64"/>
    </row>
    <row r="176" spans="1:68" s="5" customFormat="1" ht="10.5" customHeight="1">
      <c r="A176" s="112"/>
      <c r="B176" s="137"/>
      <c r="C176" s="137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J176" s="112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64"/>
    </row>
    <row r="177" spans="1:68" s="5" customFormat="1" ht="10.5" customHeight="1">
      <c r="A177" s="112"/>
      <c r="B177" s="137"/>
      <c r="C177" s="137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J177" s="112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64"/>
    </row>
    <row r="178" spans="1:68" s="5" customFormat="1" ht="10.5" customHeight="1">
      <c r="A178" s="112"/>
      <c r="B178" s="137"/>
      <c r="C178" s="137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J178" s="112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64"/>
    </row>
    <row r="179" spans="1:68" s="5" customFormat="1" ht="10.5" customHeight="1">
      <c r="A179" s="112"/>
      <c r="B179" s="137"/>
      <c r="C179" s="137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J179" s="112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64"/>
    </row>
    <row r="180" spans="1:68" s="5" customFormat="1" ht="10.5" customHeight="1">
      <c r="A180" s="112"/>
      <c r="B180" s="137"/>
      <c r="C180" s="137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J180" s="112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64"/>
    </row>
    <row r="181" spans="1:68" s="5" customFormat="1" ht="10.5" customHeight="1">
      <c r="A181" s="112"/>
      <c r="B181" s="137"/>
      <c r="C181" s="137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J181" s="112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64"/>
    </row>
    <row r="182" spans="1:68" s="5" customFormat="1" ht="10.5" customHeight="1">
      <c r="A182" s="112"/>
      <c r="B182" s="137"/>
      <c r="C182" s="137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J182" s="112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64"/>
    </row>
    <row r="183" spans="1:68" s="5" customFormat="1" ht="10.5" customHeight="1">
      <c r="A183" s="112"/>
      <c r="B183" s="137"/>
      <c r="C183" s="137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J183" s="112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64"/>
    </row>
    <row r="184" spans="1:68" s="5" customFormat="1" ht="10.5" customHeight="1">
      <c r="A184" s="112"/>
      <c r="B184" s="137"/>
      <c r="C184" s="137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J184" s="112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64"/>
    </row>
    <row r="185" spans="1:68" s="5" customFormat="1" ht="10.5" customHeight="1">
      <c r="A185" s="112"/>
      <c r="B185" s="137"/>
      <c r="C185" s="137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J185" s="112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64"/>
    </row>
    <row r="186" spans="1:68" s="5" customFormat="1" ht="10.5" customHeight="1">
      <c r="A186" s="112"/>
      <c r="B186" s="137"/>
      <c r="C186" s="137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  <c r="AJ186" s="112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64"/>
    </row>
    <row r="187" spans="1:68" s="5" customFormat="1" ht="10.5" customHeight="1">
      <c r="A187" s="112"/>
      <c r="B187" s="137"/>
      <c r="C187" s="137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J187" s="112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64"/>
    </row>
    <row r="188" spans="1:68" s="5" customFormat="1" ht="10.5" customHeight="1">
      <c r="A188" s="112"/>
      <c r="B188" s="137"/>
      <c r="C188" s="137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J188" s="112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64"/>
    </row>
    <row r="189" spans="1:68" s="5" customFormat="1" ht="10.5" customHeight="1">
      <c r="A189" s="112"/>
      <c r="B189" s="137"/>
      <c r="C189" s="137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J189" s="112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64"/>
    </row>
    <row r="190" spans="1:68" s="5" customFormat="1" ht="10.5" customHeight="1">
      <c r="A190" s="112"/>
      <c r="B190" s="137"/>
      <c r="C190" s="137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J190" s="112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64"/>
    </row>
    <row r="191" spans="1:68" s="5" customFormat="1" ht="10.5" customHeight="1">
      <c r="A191" s="112"/>
      <c r="B191" s="137"/>
      <c r="C191" s="137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J191" s="112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64"/>
    </row>
    <row r="192" spans="1:68" s="5" customFormat="1" ht="10.5" customHeight="1">
      <c r="A192" s="112"/>
      <c r="B192" s="137"/>
      <c r="C192" s="137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J192" s="112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64"/>
    </row>
    <row r="193" spans="1:68" s="5" customFormat="1" ht="10.5" customHeight="1">
      <c r="A193" s="112"/>
      <c r="B193" s="137"/>
      <c r="C193" s="137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J193" s="112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64"/>
    </row>
    <row r="194" spans="1:68" s="5" customFormat="1" ht="10.5" customHeight="1">
      <c r="A194" s="112"/>
      <c r="B194" s="137"/>
      <c r="C194" s="137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J194" s="112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64"/>
    </row>
    <row r="195" spans="1:68" s="5" customFormat="1" ht="10.5" customHeight="1">
      <c r="A195" s="112"/>
      <c r="B195" s="137"/>
      <c r="C195" s="137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J195" s="112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64"/>
    </row>
    <row r="196" spans="1:68" s="5" customFormat="1" ht="10.5" customHeight="1">
      <c r="A196" s="112"/>
      <c r="B196" s="137"/>
      <c r="C196" s="137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J196" s="112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64"/>
    </row>
    <row r="197" spans="1:68" s="5" customFormat="1" ht="10.5" customHeight="1">
      <c r="A197" s="112"/>
      <c r="B197" s="137"/>
      <c r="C197" s="137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J197" s="112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64"/>
    </row>
    <row r="198" spans="1:68" s="5" customFormat="1" ht="10.5" customHeight="1">
      <c r="A198" s="112"/>
      <c r="B198" s="137"/>
      <c r="C198" s="137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J198" s="112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64"/>
    </row>
    <row r="199" spans="1:68" s="5" customFormat="1" ht="10.5" customHeight="1">
      <c r="A199" s="112"/>
      <c r="B199" s="137"/>
      <c r="C199" s="137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  <c r="AJ199" s="112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64"/>
    </row>
    <row r="200" spans="1:68" s="5" customFormat="1" ht="10.5" customHeight="1">
      <c r="A200" s="112"/>
      <c r="B200" s="137"/>
      <c r="C200" s="137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J200" s="112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64"/>
    </row>
    <row r="201" spans="1:68" s="5" customFormat="1" ht="10.5" customHeight="1">
      <c r="A201" s="112"/>
      <c r="B201" s="137"/>
      <c r="C201" s="137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J201" s="112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64"/>
    </row>
    <row r="202" spans="1:68" s="5" customFormat="1" ht="10.5" customHeight="1">
      <c r="A202" s="112"/>
      <c r="B202" s="137"/>
      <c r="C202" s="137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J202" s="112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64"/>
    </row>
    <row r="203" spans="1:68" s="5" customFormat="1" ht="10.5" customHeight="1">
      <c r="A203" s="112"/>
      <c r="B203" s="137"/>
      <c r="C203" s="137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J203" s="112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64"/>
    </row>
    <row r="204" spans="1:68" s="5" customFormat="1" ht="10.5" customHeight="1">
      <c r="A204" s="112"/>
      <c r="B204" s="137"/>
      <c r="C204" s="137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J204" s="112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64"/>
    </row>
    <row r="205" spans="1:68" s="5" customFormat="1" ht="10.5" customHeight="1">
      <c r="A205" s="112"/>
      <c r="B205" s="137"/>
      <c r="C205" s="137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J205" s="112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64"/>
    </row>
    <row r="206" spans="1:68" s="5" customFormat="1" ht="10.5" customHeight="1">
      <c r="A206" s="112"/>
      <c r="B206" s="137"/>
      <c r="C206" s="137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J206" s="112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64"/>
    </row>
    <row r="207" spans="1:68" s="5" customFormat="1" ht="10.5" customHeight="1">
      <c r="A207" s="112"/>
      <c r="B207" s="137"/>
      <c r="C207" s="137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J207" s="112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64"/>
    </row>
    <row r="208" spans="1:68" s="5" customFormat="1" ht="10.5" customHeight="1">
      <c r="A208" s="112"/>
      <c r="B208" s="137"/>
      <c r="C208" s="137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J208" s="112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64"/>
    </row>
    <row r="209" spans="1:68" s="5" customFormat="1" ht="10.5" customHeight="1">
      <c r="A209" s="112"/>
      <c r="B209" s="137"/>
      <c r="C209" s="137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J209" s="112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64"/>
    </row>
    <row r="210" spans="1:68" s="5" customFormat="1" ht="10.5" customHeight="1">
      <c r="A210" s="112"/>
      <c r="B210" s="137"/>
      <c r="C210" s="137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J210" s="112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64"/>
    </row>
    <row r="211" spans="1:68" s="5" customFormat="1" ht="10.5" customHeight="1">
      <c r="A211" s="112"/>
      <c r="B211" s="137"/>
      <c r="C211" s="137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J211" s="112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64"/>
    </row>
    <row r="212" spans="1:68" s="5" customFormat="1" ht="10.5" customHeight="1">
      <c r="A212" s="112"/>
      <c r="B212" s="137"/>
      <c r="C212" s="137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J212" s="112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64"/>
    </row>
    <row r="213" spans="1:68" s="5" customFormat="1" ht="10.5" customHeight="1">
      <c r="A213" s="112"/>
      <c r="B213" s="137"/>
      <c r="C213" s="137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J213" s="112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64"/>
    </row>
    <row r="214" spans="1:68" s="5" customFormat="1" ht="10.5" customHeight="1">
      <c r="A214" s="112"/>
      <c r="B214" s="137"/>
      <c r="C214" s="137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J214" s="112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64"/>
    </row>
    <row r="215" spans="1:68" s="5" customFormat="1" ht="10.5" customHeight="1">
      <c r="A215" s="112"/>
      <c r="B215" s="137"/>
      <c r="C215" s="137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  <c r="AJ215" s="112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64"/>
    </row>
    <row r="216" spans="1:68" s="5" customFormat="1" ht="10.5" customHeight="1">
      <c r="A216" s="112"/>
      <c r="B216" s="137"/>
      <c r="C216" s="137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J216" s="112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64"/>
    </row>
    <row r="217" spans="1:68" s="5" customFormat="1" ht="10.5" customHeight="1">
      <c r="A217" s="112"/>
      <c r="B217" s="137"/>
      <c r="C217" s="137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J217" s="112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64"/>
    </row>
    <row r="218" spans="1:68" s="5" customFormat="1" ht="10.5" customHeight="1">
      <c r="A218" s="112"/>
      <c r="B218" s="137"/>
      <c r="C218" s="137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J218" s="112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64"/>
    </row>
    <row r="219" spans="1:68" s="5" customFormat="1" ht="10.5" customHeight="1">
      <c r="A219" s="112"/>
      <c r="B219" s="137"/>
      <c r="C219" s="137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J219" s="112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64"/>
    </row>
    <row r="220" spans="1:68" s="5" customFormat="1" ht="10.5" customHeight="1">
      <c r="A220" s="112"/>
      <c r="B220" s="137"/>
      <c r="C220" s="137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J220" s="112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64"/>
    </row>
    <row r="221" spans="1:68" s="5" customFormat="1" ht="10.5" customHeight="1">
      <c r="A221" s="112"/>
      <c r="B221" s="137"/>
      <c r="C221" s="137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J221" s="112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64"/>
    </row>
    <row r="222" spans="1:68" s="5" customFormat="1" ht="10.5" customHeight="1">
      <c r="A222" s="112"/>
      <c r="B222" s="137"/>
      <c r="C222" s="137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J222" s="112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64"/>
    </row>
    <row r="223" spans="1:68" s="5" customFormat="1" ht="10.5" customHeight="1">
      <c r="A223" s="112"/>
      <c r="B223" s="137"/>
      <c r="C223" s="137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J223" s="112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64"/>
    </row>
    <row r="224" spans="1:68" s="5" customFormat="1" ht="10.5" customHeight="1">
      <c r="A224" s="112"/>
      <c r="B224" s="137"/>
      <c r="C224" s="137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J224" s="112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64"/>
    </row>
    <row r="225" spans="1:68" s="5" customFormat="1" ht="10.5" customHeight="1">
      <c r="A225" s="112"/>
      <c r="B225" s="137"/>
      <c r="C225" s="137"/>
      <c r="D225" s="260"/>
      <c r="E225" s="260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0"/>
      <c r="AE225" s="260"/>
      <c r="AJ225" s="112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64"/>
    </row>
    <row r="226" spans="1:68" s="5" customFormat="1" ht="10.5" customHeight="1">
      <c r="A226" s="112"/>
      <c r="B226" s="137"/>
      <c r="C226" s="137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J226" s="112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64"/>
    </row>
    <row r="227" spans="1:68" s="5" customFormat="1" ht="10.5" customHeight="1">
      <c r="A227" s="112"/>
      <c r="B227" s="137"/>
      <c r="C227" s="137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0"/>
      <c r="AD227" s="260"/>
      <c r="AE227" s="260"/>
      <c r="AJ227" s="112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64"/>
    </row>
    <row r="228" spans="1:68" s="5" customFormat="1" ht="10.5" customHeight="1">
      <c r="A228" s="112"/>
      <c r="B228" s="137"/>
      <c r="C228" s="137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0"/>
      <c r="AE228" s="260"/>
      <c r="AJ228" s="112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64"/>
    </row>
    <row r="229" spans="1:68" s="5" customFormat="1" ht="10.5" customHeight="1">
      <c r="A229" s="112"/>
      <c r="B229" s="137"/>
      <c r="C229" s="137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  <c r="AJ229" s="112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64"/>
    </row>
    <row r="230" spans="1:68" s="5" customFormat="1" ht="10.5" customHeight="1">
      <c r="A230" s="112"/>
      <c r="B230" s="137"/>
      <c r="C230" s="137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J230" s="112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64"/>
    </row>
    <row r="231" spans="1:68" s="5" customFormat="1" ht="10.5" customHeight="1">
      <c r="A231" s="112"/>
      <c r="B231" s="137"/>
      <c r="C231" s="137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0"/>
      <c r="AD231" s="260"/>
      <c r="AE231" s="260"/>
      <c r="AJ231" s="112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64"/>
    </row>
    <row r="232" spans="1:68" s="5" customFormat="1" ht="10.5" customHeight="1">
      <c r="A232" s="112"/>
      <c r="B232" s="137"/>
      <c r="C232" s="137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0"/>
      <c r="AD232" s="260"/>
      <c r="AE232" s="260"/>
      <c r="AJ232" s="112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64"/>
    </row>
    <row r="233" spans="1:68" s="5" customFormat="1" ht="10.5" customHeight="1">
      <c r="A233" s="112"/>
      <c r="B233" s="137"/>
      <c r="C233" s="137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  <c r="AJ233" s="112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64"/>
    </row>
    <row r="234" spans="1:68" s="5" customFormat="1" ht="10.5" customHeight="1">
      <c r="A234" s="112"/>
      <c r="B234" s="137"/>
      <c r="C234" s="137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J234" s="112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64"/>
    </row>
    <row r="235" spans="1:68" s="5" customFormat="1" ht="10.5" customHeight="1">
      <c r="A235" s="112"/>
      <c r="B235" s="137"/>
      <c r="C235" s="137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J235" s="112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64"/>
    </row>
    <row r="236" spans="1:68" s="5" customFormat="1" ht="10.5" customHeight="1">
      <c r="A236" s="112"/>
      <c r="B236" s="137"/>
      <c r="C236" s="137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0"/>
      <c r="AD236" s="260"/>
      <c r="AE236" s="260"/>
      <c r="AJ236" s="112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64"/>
    </row>
    <row r="237" spans="1:68" s="5" customFormat="1" ht="10.5" customHeight="1">
      <c r="A237" s="112"/>
      <c r="B237" s="137"/>
      <c r="C237" s="137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J237" s="112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64"/>
    </row>
    <row r="238" spans="1:68" s="5" customFormat="1" ht="10.5" customHeight="1">
      <c r="A238" s="112"/>
      <c r="B238" s="137"/>
      <c r="C238" s="137"/>
      <c r="D238" s="260"/>
      <c r="E238" s="260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  <c r="Z238" s="260"/>
      <c r="AA238" s="260"/>
      <c r="AB238" s="260"/>
      <c r="AC238" s="260"/>
      <c r="AD238" s="260"/>
      <c r="AE238" s="260"/>
      <c r="AJ238" s="112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64"/>
    </row>
    <row r="239" spans="1:68" s="5" customFormat="1" ht="10.5" customHeight="1">
      <c r="A239" s="112"/>
      <c r="B239" s="137"/>
      <c r="C239" s="137"/>
      <c r="D239" s="260"/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0"/>
      <c r="AD239" s="260"/>
      <c r="AE239" s="260"/>
      <c r="AJ239" s="112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64"/>
    </row>
    <row r="240" spans="1:68" s="5" customFormat="1" ht="10.5" customHeight="1">
      <c r="A240" s="112"/>
      <c r="B240" s="137"/>
      <c r="C240" s="137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  <c r="AJ240" s="112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64"/>
    </row>
    <row r="241" spans="1:68" s="5" customFormat="1" ht="10.5" customHeight="1">
      <c r="A241" s="112"/>
      <c r="B241" s="137"/>
      <c r="C241" s="137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J241" s="112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64"/>
    </row>
    <row r="242" spans="1:68" s="5" customFormat="1" ht="10.5" customHeight="1">
      <c r="A242" s="112"/>
      <c r="B242" s="137"/>
      <c r="C242" s="137"/>
      <c r="D242" s="260"/>
      <c r="E242" s="260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  <c r="Z242" s="260"/>
      <c r="AA242" s="260"/>
      <c r="AB242" s="260"/>
      <c r="AC242" s="260"/>
      <c r="AD242" s="260"/>
      <c r="AE242" s="260"/>
      <c r="AJ242" s="112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64"/>
    </row>
    <row r="243" spans="1:68" s="5" customFormat="1" ht="10.5" customHeight="1">
      <c r="A243" s="112"/>
      <c r="B243" s="137"/>
      <c r="C243" s="137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0"/>
      <c r="AD243" s="260"/>
      <c r="AE243" s="260"/>
      <c r="AJ243" s="112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64"/>
    </row>
    <row r="244" spans="1:68" s="5" customFormat="1" ht="10.5" customHeight="1">
      <c r="A244" s="112"/>
      <c r="B244" s="137"/>
      <c r="C244" s="137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  <c r="AJ244" s="112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64"/>
    </row>
    <row r="245" spans="1:68" s="5" customFormat="1" ht="10.5" customHeight="1">
      <c r="A245" s="112"/>
      <c r="B245" s="137"/>
      <c r="C245" s="137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0"/>
      <c r="AE245" s="260"/>
      <c r="AJ245" s="112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64"/>
    </row>
    <row r="246" spans="1:68" s="5" customFormat="1" ht="10.5" customHeight="1">
      <c r="A246" s="112"/>
      <c r="B246" s="137"/>
      <c r="C246" s="137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  <c r="Z246" s="260"/>
      <c r="AA246" s="260"/>
      <c r="AB246" s="260"/>
      <c r="AC246" s="260"/>
      <c r="AD246" s="260"/>
      <c r="AE246" s="260"/>
      <c r="AJ246" s="112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64"/>
    </row>
    <row r="247" spans="1:68" s="5" customFormat="1" ht="10.5" customHeight="1">
      <c r="A247" s="112"/>
      <c r="B247" s="137"/>
      <c r="C247" s="137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0"/>
      <c r="AD247" s="260"/>
      <c r="AE247" s="260"/>
      <c r="AJ247" s="112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64"/>
    </row>
    <row r="248" spans="1:68" s="5" customFormat="1" ht="10.5" customHeight="1">
      <c r="A248" s="112"/>
      <c r="B248" s="137"/>
      <c r="C248" s="137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0"/>
      <c r="AD248" s="260"/>
      <c r="AE248" s="260"/>
      <c r="AJ248" s="112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64"/>
    </row>
    <row r="249" spans="1:68" s="5" customFormat="1" ht="10.5" customHeight="1">
      <c r="A249" s="112"/>
      <c r="B249" s="137"/>
      <c r="C249" s="137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0"/>
      <c r="AB249" s="260"/>
      <c r="AC249" s="260"/>
      <c r="AD249" s="260"/>
      <c r="AE249" s="260"/>
      <c r="AJ249" s="112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64"/>
    </row>
    <row r="250" spans="1:68" s="5" customFormat="1" ht="10.5" customHeight="1">
      <c r="A250" s="112"/>
      <c r="B250" s="137"/>
      <c r="C250" s="137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0"/>
      <c r="AD250" s="260"/>
      <c r="AE250" s="260"/>
      <c r="AJ250" s="112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64"/>
    </row>
    <row r="251" spans="1:68" s="5" customFormat="1" ht="10.5" customHeight="1">
      <c r="A251" s="112"/>
      <c r="B251" s="137"/>
      <c r="C251" s="137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0"/>
      <c r="AD251" s="260"/>
      <c r="AE251" s="260"/>
      <c r="AJ251" s="112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64"/>
    </row>
    <row r="252" spans="1:68" s="5" customFormat="1" ht="10.5" customHeight="1">
      <c r="A252" s="112"/>
      <c r="B252" s="137"/>
      <c r="C252" s="137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  <c r="Z252" s="260"/>
      <c r="AA252" s="260"/>
      <c r="AB252" s="260"/>
      <c r="AC252" s="260"/>
      <c r="AD252" s="260"/>
      <c r="AE252" s="260"/>
      <c r="AJ252" s="112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64"/>
    </row>
    <row r="253" spans="1:68" s="5" customFormat="1" ht="10.5" customHeight="1">
      <c r="A253" s="112"/>
      <c r="B253" s="137"/>
      <c r="C253" s="137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  <c r="Z253" s="260"/>
      <c r="AA253" s="260"/>
      <c r="AB253" s="260"/>
      <c r="AC253" s="260"/>
      <c r="AD253" s="260"/>
      <c r="AE253" s="260"/>
      <c r="AJ253" s="112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64"/>
    </row>
    <row r="254" spans="1:68" s="5" customFormat="1" ht="10.5" customHeight="1">
      <c r="A254" s="112"/>
      <c r="B254" s="137"/>
      <c r="C254" s="137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  <c r="Z254" s="260"/>
      <c r="AA254" s="260"/>
      <c r="AB254" s="260"/>
      <c r="AC254" s="260"/>
      <c r="AD254" s="260"/>
      <c r="AE254" s="260"/>
      <c r="AJ254" s="112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64"/>
    </row>
    <row r="255" spans="1:68" s="5" customFormat="1" ht="10.5" customHeight="1">
      <c r="A255" s="112"/>
      <c r="B255" s="137"/>
      <c r="C255" s="137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0"/>
      <c r="AD255" s="260"/>
      <c r="AE255" s="260"/>
      <c r="AJ255" s="112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64"/>
    </row>
    <row r="256" spans="1:68" s="5" customFormat="1" ht="10.5" customHeight="1">
      <c r="A256" s="112"/>
      <c r="B256" s="137"/>
      <c r="C256" s="137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0"/>
      <c r="AD256" s="260"/>
      <c r="AE256" s="260"/>
      <c r="AJ256" s="112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64"/>
    </row>
    <row r="257" spans="1:68" s="5" customFormat="1" ht="10.5" customHeight="1">
      <c r="A257" s="112"/>
      <c r="B257" s="137"/>
      <c r="C257" s="137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J257" s="112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64"/>
    </row>
    <row r="258" spans="1:68" s="5" customFormat="1" ht="10.5" customHeight="1">
      <c r="A258" s="112"/>
      <c r="B258" s="137"/>
      <c r="C258" s="137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J258" s="112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64"/>
    </row>
    <row r="259" spans="1:68" s="5" customFormat="1" ht="10.5" customHeight="1">
      <c r="A259" s="112"/>
      <c r="B259" s="137"/>
      <c r="C259" s="137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J259" s="112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64"/>
    </row>
    <row r="260" spans="1:68" s="5" customFormat="1" ht="10.5" customHeight="1">
      <c r="A260" s="112"/>
      <c r="B260" s="137"/>
      <c r="C260" s="137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J260" s="112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64"/>
    </row>
    <row r="261" spans="1:68" s="5" customFormat="1" ht="10.5" customHeight="1">
      <c r="A261" s="112"/>
      <c r="B261" s="137"/>
      <c r="C261" s="137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J261" s="112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64"/>
    </row>
    <row r="262" spans="1:68" s="5" customFormat="1" ht="10.5" customHeight="1">
      <c r="A262" s="112"/>
      <c r="B262" s="137"/>
      <c r="C262" s="137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J262" s="112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64"/>
    </row>
    <row r="263" spans="1:68" s="5" customFormat="1" ht="10.5" customHeight="1">
      <c r="A263" s="112"/>
      <c r="B263" s="137"/>
      <c r="C263" s="137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J263" s="112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64"/>
    </row>
    <row r="264" spans="1:68" s="5" customFormat="1" ht="10.5" customHeight="1">
      <c r="A264" s="112"/>
      <c r="B264" s="137"/>
      <c r="C264" s="137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J264" s="112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64"/>
    </row>
    <row r="265" spans="1:68" s="5" customFormat="1" ht="10.5" customHeight="1">
      <c r="A265" s="112"/>
      <c r="B265" s="137"/>
      <c r="C265" s="137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0"/>
      <c r="AC265" s="260"/>
      <c r="AD265" s="260"/>
      <c r="AE265" s="260"/>
      <c r="AJ265" s="112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64"/>
    </row>
    <row r="266" spans="1:68" s="5" customFormat="1" ht="10.5" customHeight="1">
      <c r="A266" s="112"/>
      <c r="B266" s="137"/>
      <c r="C266" s="137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0"/>
      <c r="AD266" s="260"/>
      <c r="AE266" s="260"/>
      <c r="AJ266" s="112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64"/>
    </row>
    <row r="267" spans="1:68" s="5" customFormat="1" ht="10.5" customHeight="1">
      <c r="A267" s="112"/>
      <c r="B267" s="137"/>
      <c r="C267" s="137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  <c r="AA267" s="260"/>
      <c r="AB267" s="260"/>
      <c r="AC267" s="260"/>
      <c r="AD267" s="260"/>
      <c r="AE267" s="260"/>
      <c r="AJ267" s="112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64"/>
    </row>
    <row r="268" spans="1:68" s="5" customFormat="1" ht="10.5" customHeight="1">
      <c r="A268" s="112"/>
      <c r="B268" s="137"/>
      <c r="C268" s="137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260"/>
      <c r="AD268" s="260"/>
      <c r="AE268" s="260"/>
      <c r="AJ268" s="112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64"/>
    </row>
    <row r="269" spans="1:68" s="5" customFormat="1" ht="10.5" customHeight="1">
      <c r="A269" s="112"/>
      <c r="B269" s="137"/>
      <c r="C269" s="137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  <c r="AJ269" s="112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64"/>
    </row>
    <row r="270" spans="1:68" s="5" customFormat="1" ht="10.5" customHeight="1">
      <c r="A270" s="112"/>
      <c r="B270" s="137"/>
      <c r="C270" s="137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0"/>
      <c r="AD270" s="260"/>
      <c r="AE270" s="260"/>
      <c r="AJ270" s="112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64"/>
    </row>
    <row r="271" spans="1:68" s="5" customFormat="1" ht="10.5" customHeight="1">
      <c r="A271" s="112"/>
      <c r="B271" s="137"/>
      <c r="C271" s="137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J271" s="112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64"/>
    </row>
    <row r="272" spans="1:68" s="5" customFormat="1" ht="10.5" customHeight="1">
      <c r="A272" s="112"/>
      <c r="B272" s="137"/>
      <c r="C272" s="137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J272" s="112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64"/>
    </row>
    <row r="273" spans="1:68" s="5" customFormat="1" ht="10.5" customHeight="1">
      <c r="A273" s="112"/>
      <c r="B273" s="137"/>
      <c r="C273" s="137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J273" s="112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64"/>
    </row>
    <row r="274" spans="1:68" s="5" customFormat="1" ht="10.5" customHeight="1">
      <c r="A274" s="112"/>
      <c r="B274" s="137"/>
      <c r="C274" s="137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J274" s="112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64"/>
    </row>
    <row r="275" spans="1:68" s="5" customFormat="1" ht="10.5" customHeight="1">
      <c r="A275" s="112"/>
      <c r="B275" s="137"/>
      <c r="C275" s="137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J275" s="112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64"/>
    </row>
    <row r="276" spans="1:68" s="5" customFormat="1" ht="10.5" customHeight="1">
      <c r="A276" s="112"/>
      <c r="B276" s="137"/>
      <c r="C276" s="137"/>
      <c r="D276" s="260"/>
      <c r="E276" s="260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J276" s="112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64"/>
    </row>
    <row r="277" spans="1:68" s="5" customFormat="1" ht="10.5" customHeight="1">
      <c r="A277" s="112"/>
      <c r="B277" s="137"/>
      <c r="C277" s="137"/>
      <c r="D277" s="260"/>
      <c r="E277" s="260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J277" s="112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64"/>
    </row>
    <row r="278" spans="1:68" s="5" customFormat="1" ht="10.5" customHeight="1">
      <c r="A278" s="112"/>
      <c r="B278" s="137"/>
      <c r="C278" s="137"/>
      <c r="D278" s="260"/>
      <c r="E278" s="260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J278" s="112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64"/>
    </row>
    <row r="279" spans="1:68" s="5" customFormat="1" ht="10.5" customHeight="1">
      <c r="A279" s="112"/>
      <c r="B279" s="137"/>
      <c r="C279" s="137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J279" s="112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64"/>
    </row>
    <row r="280" spans="1:68" s="5" customFormat="1" ht="10.5" customHeight="1">
      <c r="A280" s="112"/>
      <c r="B280" s="137"/>
      <c r="C280" s="137"/>
      <c r="D280" s="260"/>
      <c r="E280" s="260"/>
      <c r="F280" s="260"/>
      <c r="G280" s="260"/>
      <c r="H280" s="260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J280" s="112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64"/>
    </row>
    <row r="281" spans="1:68" s="5" customFormat="1" ht="10.5" customHeight="1">
      <c r="A281" s="112"/>
      <c r="B281" s="137"/>
      <c r="C281" s="137"/>
      <c r="D281" s="260"/>
      <c r="E281" s="260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J281" s="112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64"/>
    </row>
    <row r="282" spans="1:68" s="5" customFormat="1" ht="10.5" customHeight="1">
      <c r="A282" s="112"/>
      <c r="B282" s="137"/>
      <c r="C282" s="137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J282" s="112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64"/>
    </row>
    <row r="283" spans="1:68" s="5" customFormat="1" ht="10.5" customHeight="1">
      <c r="A283" s="112"/>
      <c r="B283" s="137"/>
      <c r="C283" s="137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J283" s="112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64"/>
    </row>
    <row r="284" spans="1:68" s="5" customFormat="1" ht="10.5" customHeight="1">
      <c r="A284" s="112"/>
      <c r="B284" s="137"/>
      <c r="C284" s="137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J284" s="112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64"/>
    </row>
    <row r="285" spans="1:68" s="5" customFormat="1" ht="10.5" customHeight="1">
      <c r="A285" s="112"/>
      <c r="B285" s="137"/>
      <c r="C285" s="137"/>
      <c r="D285" s="260"/>
      <c r="E285" s="260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J285" s="112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64"/>
    </row>
    <row r="286" spans="1:68" s="5" customFormat="1" ht="10.5" customHeight="1">
      <c r="A286" s="112"/>
      <c r="B286" s="137"/>
      <c r="C286" s="137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J286" s="112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64"/>
    </row>
    <row r="287" spans="1:68" s="5" customFormat="1" ht="10.5" customHeight="1">
      <c r="A287" s="112"/>
      <c r="B287" s="137"/>
      <c r="C287" s="137"/>
      <c r="D287" s="260"/>
      <c r="E287" s="260"/>
      <c r="F287" s="260"/>
      <c r="G287" s="260"/>
      <c r="H287" s="260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J287" s="112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64"/>
    </row>
    <row r="288" spans="1:68" s="5" customFormat="1" ht="10.5" customHeight="1">
      <c r="A288" s="112"/>
      <c r="B288" s="137"/>
      <c r="C288" s="137"/>
      <c r="D288" s="260"/>
      <c r="E288" s="260"/>
      <c r="F288" s="260"/>
      <c r="G288" s="260"/>
      <c r="H288" s="260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J288" s="112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64"/>
    </row>
    <row r="289" spans="1:68" s="5" customFormat="1" ht="10.5" customHeight="1">
      <c r="A289" s="112"/>
      <c r="B289" s="137"/>
      <c r="C289" s="137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J289" s="112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64"/>
    </row>
    <row r="290" spans="1:68" s="5" customFormat="1" ht="10.5" customHeight="1">
      <c r="A290" s="112"/>
      <c r="B290" s="137"/>
      <c r="C290" s="137"/>
      <c r="D290" s="260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J290" s="112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64"/>
    </row>
    <row r="291" spans="1:68" s="5" customFormat="1" ht="10.5" customHeight="1">
      <c r="A291" s="112"/>
      <c r="B291" s="137"/>
      <c r="C291" s="137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J291" s="112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64"/>
    </row>
    <row r="292" spans="1:68" s="5" customFormat="1" ht="10.5" customHeight="1">
      <c r="A292" s="112"/>
      <c r="B292" s="137"/>
      <c r="C292" s="137"/>
      <c r="D292" s="260"/>
      <c r="E292" s="260"/>
      <c r="F292" s="260"/>
      <c r="G292" s="260"/>
      <c r="H292" s="260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J292" s="112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64"/>
    </row>
    <row r="293" spans="1:68" s="5" customFormat="1" ht="10.5" customHeight="1">
      <c r="A293" s="112"/>
      <c r="B293" s="137"/>
      <c r="C293" s="137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J293" s="112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64"/>
    </row>
    <row r="294" spans="1:68" s="5" customFormat="1" ht="10.5" customHeight="1">
      <c r="A294" s="112"/>
      <c r="B294" s="137"/>
      <c r="C294" s="137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J294" s="112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64"/>
    </row>
    <row r="295" spans="1:68" s="5" customFormat="1" ht="10.5" customHeight="1">
      <c r="A295" s="112"/>
      <c r="B295" s="137"/>
      <c r="C295" s="137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J295" s="112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64"/>
    </row>
    <row r="296" spans="1:68" s="5" customFormat="1" ht="10.5" customHeight="1">
      <c r="A296" s="112"/>
      <c r="B296" s="137"/>
      <c r="C296" s="137"/>
      <c r="D296" s="260"/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J296" s="112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64"/>
    </row>
    <row r="297" spans="1:68" s="5" customFormat="1" ht="10.5" customHeight="1">
      <c r="A297" s="112"/>
      <c r="B297" s="137"/>
      <c r="C297" s="137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J297" s="112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64"/>
    </row>
    <row r="298" spans="1:68" s="5" customFormat="1" ht="10.5" customHeight="1">
      <c r="A298" s="112"/>
      <c r="B298" s="137"/>
      <c r="C298" s="137"/>
      <c r="D298" s="260"/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J298" s="112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64"/>
    </row>
    <row r="299" spans="1:68" s="5" customFormat="1" ht="10.5" customHeight="1">
      <c r="A299" s="112"/>
      <c r="B299" s="137"/>
      <c r="C299" s="137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J299" s="112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64"/>
    </row>
    <row r="300" spans="1:68" s="5" customFormat="1" ht="10.5" customHeight="1">
      <c r="A300" s="112"/>
      <c r="B300" s="137"/>
      <c r="C300" s="137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J300" s="112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64"/>
    </row>
    <row r="301" spans="1:68" s="5" customFormat="1" ht="10.5" customHeight="1">
      <c r="A301" s="112"/>
      <c r="B301" s="137"/>
      <c r="C301" s="137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J301" s="112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64"/>
    </row>
    <row r="302" spans="1:68" s="5" customFormat="1" ht="10.5" customHeight="1">
      <c r="A302" s="112"/>
      <c r="B302" s="137"/>
      <c r="C302" s="137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J302" s="112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64"/>
    </row>
    <row r="303" spans="1:68" s="5" customFormat="1" ht="10.5" customHeight="1">
      <c r="A303" s="112"/>
      <c r="B303" s="137"/>
      <c r="C303" s="137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J303" s="112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64"/>
    </row>
    <row r="304" spans="1:68" s="5" customFormat="1" ht="10.5" customHeight="1">
      <c r="A304" s="112"/>
      <c r="B304" s="137"/>
      <c r="C304" s="137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J304" s="112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64"/>
    </row>
    <row r="305" spans="1:68" s="5" customFormat="1" ht="10.5" customHeight="1">
      <c r="A305" s="112"/>
      <c r="B305" s="137"/>
      <c r="C305" s="137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J305" s="112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64"/>
    </row>
    <row r="306" spans="1:68" s="5" customFormat="1" ht="10.5" customHeight="1">
      <c r="A306" s="112"/>
      <c r="B306" s="137"/>
      <c r="C306" s="137"/>
      <c r="D306" s="260"/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J306" s="112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64"/>
    </row>
    <row r="307" spans="1:68" s="5" customFormat="1" ht="10.5" customHeight="1">
      <c r="A307" s="112"/>
      <c r="B307" s="137"/>
      <c r="C307" s="137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J307" s="112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64"/>
    </row>
    <row r="308" spans="1:68" s="5" customFormat="1" ht="10.5" customHeight="1">
      <c r="A308" s="112"/>
      <c r="B308" s="137"/>
      <c r="C308" s="137"/>
      <c r="D308" s="260"/>
      <c r="E308" s="260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J308" s="112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64"/>
    </row>
    <row r="309" spans="1:68" s="5" customFormat="1" ht="10.5" customHeight="1">
      <c r="A309" s="112"/>
      <c r="B309" s="137"/>
      <c r="C309" s="137"/>
      <c r="D309" s="260"/>
      <c r="E309" s="260"/>
      <c r="F309" s="260"/>
      <c r="G309" s="260"/>
      <c r="H309" s="260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J309" s="112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64"/>
    </row>
    <row r="310" spans="1:68" s="5" customFormat="1" ht="10.5" customHeight="1">
      <c r="A310" s="112"/>
      <c r="B310" s="137"/>
      <c r="C310" s="137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J310" s="112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64"/>
    </row>
    <row r="311" spans="1:68" s="5" customFormat="1" ht="10.5" customHeight="1">
      <c r="A311" s="112"/>
      <c r="B311" s="137"/>
      <c r="C311" s="137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J311" s="112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64"/>
    </row>
    <row r="312" spans="1:68" s="5" customFormat="1" ht="10.5" customHeight="1">
      <c r="A312" s="112"/>
      <c r="B312" s="137"/>
      <c r="C312" s="137"/>
      <c r="D312" s="260"/>
      <c r="E312" s="260"/>
      <c r="F312" s="260"/>
      <c r="G312" s="260"/>
      <c r="H312" s="260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J312" s="112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64"/>
    </row>
    <row r="313" spans="1:68" s="5" customFormat="1" ht="10.5" customHeight="1">
      <c r="A313" s="112"/>
      <c r="B313" s="137"/>
      <c r="C313" s="137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J313" s="112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64"/>
    </row>
    <row r="314" spans="1:68" s="5" customFormat="1" ht="10.5" customHeight="1">
      <c r="A314" s="112"/>
      <c r="B314" s="137"/>
      <c r="C314" s="137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J314" s="112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64"/>
    </row>
    <row r="315" spans="1:68" s="5" customFormat="1" ht="10.5" customHeight="1">
      <c r="A315" s="112"/>
      <c r="B315" s="137"/>
      <c r="C315" s="137"/>
      <c r="D315" s="260"/>
      <c r="E315" s="260"/>
      <c r="F315" s="260"/>
      <c r="G315" s="260"/>
      <c r="H315" s="260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J315" s="112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64"/>
    </row>
    <row r="316" spans="1:68" s="5" customFormat="1" ht="10.5" customHeight="1">
      <c r="A316" s="112"/>
      <c r="B316" s="137"/>
      <c r="C316" s="137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J316" s="112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64"/>
    </row>
    <row r="317" spans="1:68" s="5" customFormat="1" ht="10.5" customHeight="1">
      <c r="A317" s="112"/>
      <c r="B317" s="137"/>
      <c r="C317" s="137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J317" s="112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64"/>
    </row>
    <row r="318" spans="1:68" s="5" customFormat="1" ht="10.5" customHeight="1">
      <c r="A318" s="112"/>
      <c r="B318" s="137"/>
      <c r="C318" s="137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J318" s="112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64"/>
    </row>
    <row r="319" spans="1:68" s="5" customFormat="1" ht="10.5" customHeight="1">
      <c r="A319" s="112"/>
      <c r="B319" s="137"/>
      <c r="C319" s="137"/>
      <c r="D319" s="260"/>
      <c r="E319" s="260"/>
      <c r="F319" s="260"/>
      <c r="G319" s="260"/>
      <c r="H319" s="260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J319" s="112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64"/>
    </row>
    <row r="320" spans="1:68" s="5" customFormat="1" ht="10.5" customHeight="1">
      <c r="A320" s="112"/>
      <c r="B320" s="137"/>
      <c r="C320" s="137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J320" s="112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64"/>
    </row>
    <row r="321" spans="1:68" s="5" customFormat="1" ht="10.5" customHeight="1">
      <c r="A321" s="112"/>
      <c r="B321" s="137"/>
      <c r="C321" s="137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J321" s="112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64"/>
    </row>
    <row r="322" spans="1:68" s="5" customFormat="1" ht="10.5" customHeight="1">
      <c r="A322" s="112"/>
      <c r="B322" s="137"/>
      <c r="C322" s="137"/>
      <c r="D322" s="260"/>
      <c r="E322" s="260"/>
      <c r="F322" s="260"/>
      <c r="G322" s="260"/>
      <c r="H322" s="260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J322" s="112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64"/>
    </row>
    <row r="323" spans="1:68" s="5" customFormat="1" ht="10.5" customHeight="1">
      <c r="A323" s="112"/>
      <c r="B323" s="137"/>
      <c r="C323" s="137"/>
      <c r="D323" s="260"/>
      <c r="E323" s="260"/>
      <c r="F323" s="260"/>
      <c r="G323" s="260"/>
      <c r="H323" s="260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J323" s="112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64"/>
    </row>
    <row r="324" spans="1:68" s="5" customFormat="1" ht="10.5" customHeight="1">
      <c r="A324" s="112"/>
      <c r="B324" s="137"/>
      <c r="C324" s="137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J324" s="112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64"/>
    </row>
    <row r="325" spans="1:68" s="5" customFormat="1" ht="10.5" customHeight="1">
      <c r="A325" s="112"/>
      <c r="B325" s="137"/>
      <c r="C325" s="137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J325" s="112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64"/>
    </row>
    <row r="326" spans="1:68" s="5" customFormat="1" ht="10.5" customHeight="1">
      <c r="A326" s="112"/>
      <c r="B326" s="137"/>
      <c r="C326" s="137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J326" s="112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64"/>
    </row>
    <row r="327" spans="1:68" s="5" customFormat="1" ht="10.5" customHeight="1">
      <c r="A327" s="112"/>
      <c r="B327" s="137"/>
      <c r="C327" s="137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J327" s="112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64"/>
    </row>
    <row r="328" spans="1:68" s="5" customFormat="1" ht="10.5" customHeight="1">
      <c r="A328" s="112"/>
      <c r="B328" s="137"/>
      <c r="C328" s="137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J328" s="112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64"/>
    </row>
    <row r="329" spans="1:68" s="5" customFormat="1" ht="10.5" customHeight="1">
      <c r="A329" s="112"/>
      <c r="B329" s="137"/>
      <c r="C329" s="137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J329" s="112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64"/>
    </row>
    <row r="330" spans="1:68" s="5" customFormat="1" ht="10.5" customHeight="1">
      <c r="A330" s="112"/>
      <c r="B330" s="137"/>
      <c r="C330" s="137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J330" s="112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64"/>
    </row>
    <row r="331" spans="1:68" s="5" customFormat="1" ht="10.5" customHeight="1">
      <c r="A331" s="112"/>
      <c r="B331" s="137"/>
      <c r="C331" s="137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J331" s="112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64"/>
    </row>
    <row r="332" spans="1:68" s="5" customFormat="1" ht="10.5" customHeight="1">
      <c r="A332" s="112"/>
      <c r="B332" s="137"/>
      <c r="C332" s="137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J332" s="112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64"/>
    </row>
    <row r="333" spans="1:68" s="5" customFormat="1" ht="10.5" customHeight="1">
      <c r="A333" s="112"/>
      <c r="B333" s="137"/>
      <c r="C333" s="137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J333" s="112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64"/>
    </row>
    <row r="334" spans="1:68" s="5" customFormat="1" ht="10.5" customHeight="1">
      <c r="A334" s="112"/>
      <c r="B334" s="137"/>
      <c r="C334" s="137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J334" s="112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64"/>
    </row>
    <row r="335" spans="1:68" s="5" customFormat="1" ht="10.5" customHeight="1">
      <c r="A335" s="112"/>
      <c r="B335" s="137"/>
      <c r="C335" s="137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J335" s="112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64"/>
    </row>
    <row r="336" spans="1:68" s="5" customFormat="1" ht="10.5" customHeight="1">
      <c r="A336" s="112"/>
      <c r="B336" s="137"/>
      <c r="C336" s="137"/>
      <c r="D336" s="260"/>
      <c r="E336" s="260"/>
      <c r="F336" s="260"/>
      <c r="G336" s="260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J336" s="112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64"/>
    </row>
    <row r="337" spans="1:68" s="5" customFormat="1" ht="10.5" customHeight="1">
      <c r="A337" s="112"/>
      <c r="B337" s="137"/>
      <c r="C337" s="137"/>
      <c r="D337" s="260"/>
      <c r="E337" s="260"/>
      <c r="F337" s="260"/>
      <c r="G337" s="260"/>
      <c r="H337" s="260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J337" s="112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64"/>
    </row>
    <row r="338" spans="1:68" s="5" customFormat="1" ht="10.5" customHeight="1">
      <c r="A338" s="112"/>
      <c r="B338" s="137"/>
      <c r="C338" s="137"/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J338" s="112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64"/>
    </row>
    <row r="339" spans="1:68" s="5" customFormat="1" ht="10.5" customHeight="1">
      <c r="A339" s="112"/>
      <c r="B339" s="137"/>
      <c r="C339" s="137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J339" s="112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64"/>
    </row>
    <row r="340" spans="1:68" s="5" customFormat="1" ht="10.5" customHeight="1">
      <c r="A340" s="112"/>
      <c r="B340" s="137"/>
      <c r="C340" s="137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J340" s="112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64"/>
    </row>
    <row r="341" spans="1:68" s="5" customFormat="1" ht="10.5" customHeight="1">
      <c r="A341" s="112"/>
      <c r="B341" s="137"/>
      <c r="C341" s="137"/>
      <c r="D341" s="260"/>
      <c r="E341" s="260"/>
      <c r="F341" s="260"/>
      <c r="G341" s="260"/>
      <c r="H341" s="260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J341" s="112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64"/>
    </row>
    <row r="342" spans="1:68" s="5" customFormat="1" ht="10.5" customHeight="1">
      <c r="A342" s="112"/>
      <c r="B342" s="137"/>
      <c r="C342" s="137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J342" s="112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64"/>
    </row>
    <row r="343" spans="1:68" s="5" customFormat="1" ht="10.5" customHeight="1">
      <c r="A343" s="112"/>
      <c r="B343" s="137"/>
      <c r="C343" s="137"/>
      <c r="D343" s="260"/>
      <c r="E343" s="260"/>
      <c r="F343" s="260"/>
      <c r="G343" s="260"/>
      <c r="H343" s="260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J343" s="112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64"/>
    </row>
    <row r="344" spans="1:68" s="5" customFormat="1" ht="10.5" customHeight="1">
      <c r="A344" s="112"/>
      <c r="B344" s="137"/>
      <c r="C344" s="137"/>
      <c r="D344" s="260"/>
      <c r="E344" s="260"/>
      <c r="F344" s="260"/>
      <c r="G344" s="260"/>
      <c r="H344" s="260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J344" s="112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64"/>
    </row>
    <row r="345" spans="1:68" s="5" customFormat="1" ht="10.5" customHeight="1">
      <c r="A345" s="112"/>
      <c r="B345" s="137"/>
      <c r="C345" s="137"/>
      <c r="D345" s="260"/>
      <c r="E345" s="260"/>
      <c r="F345" s="260"/>
      <c r="G345" s="260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J345" s="112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64"/>
    </row>
    <row r="346" spans="1:68" s="5" customFormat="1" ht="10.5" customHeight="1">
      <c r="A346" s="112"/>
      <c r="B346" s="137"/>
      <c r="C346" s="137"/>
      <c r="D346" s="260"/>
      <c r="E346" s="260"/>
      <c r="F346" s="260"/>
      <c r="G346" s="260"/>
      <c r="H346" s="260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J346" s="112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64"/>
    </row>
    <row r="347" spans="1:68" s="5" customFormat="1" ht="10.5" customHeight="1">
      <c r="A347" s="112"/>
      <c r="B347" s="137"/>
      <c r="C347" s="137"/>
      <c r="D347" s="260"/>
      <c r="E347" s="260"/>
      <c r="F347" s="260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J347" s="112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64"/>
    </row>
    <row r="348" spans="1:68" s="5" customFormat="1" ht="10.5" customHeight="1">
      <c r="A348" s="112"/>
      <c r="B348" s="137"/>
      <c r="C348" s="137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J348" s="112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64"/>
    </row>
    <row r="349" spans="1:68" s="5" customFormat="1" ht="10.5" customHeight="1">
      <c r="A349" s="112"/>
      <c r="B349" s="137"/>
      <c r="C349" s="137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J349" s="112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64"/>
    </row>
    <row r="350" spans="1:68" s="5" customFormat="1" ht="10.5" customHeight="1">
      <c r="A350" s="112"/>
      <c r="B350" s="137"/>
      <c r="C350" s="137"/>
      <c r="D350" s="260"/>
      <c r="E350" s="260"/>
      <c r="F350" s="260"/>
      <c r="G350" s="260"/>
      <c r="H350" s="260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J350" s="112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64"/>
    </row>
    <row r="351" spans="1:68" s="5" customFormat="1" ht="10.5" customHeight="1">
      <c r="A351" s="112"/>
      <c r="B351" s="137"/>
      <c r="C351" s="137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J351" s="112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64"/>
    </row>
    <row r="352" spans="1:68" s="5" customFormat="1" ht="10.5" customHeight="1">
      <c r="A352" s="112"/>
      <c r="B352" s="137"/>
      <c r="C352" s="137"/>
      <c r="D352" s="260"/>
      <c r="E352" s="260"/>
      <c r="F352" s="260"/>
      <c r="G352" s="260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J352" s="112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64"/>
    </row>
    <row r="353" spans="1:68" s="5" customFormat="1" ht="10.5" customHeight="1">
      <c r="A353" s="112"/>
      <c r="B353" s="137"/>
      <c r="C353" s="137"/>
      <c r="D353" s="260"/>
      <c r="E353" s="260"/>
      <c r="F353" s="260"/>
      <c r="G353" s="260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J353" s="112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64"/>
    </row>
    <row r="354" spans="1:68" s="5" customFormat="1" ht="10.5" customHeight="1">
      <c r="A354" s="112"/>
      <c r="B354" s="137"/>
      <c r="C354" s="137"/>
      <c r="D354" s="260"/>
      <c r="E354" s="260"/>
      <c r="F354" s="260"/>
      <c r="G354" s="260"/>
      <c r="H354" s="260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J354" s="112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64"/>
    </row>
    <row r="355" spans="1:68" s="5" customFormat="1" ht="10.5" customHeight="1">
      <c r="A355" s="112"/>
      <c r="B355" s="137"/>
      <c r="C355" s="137"/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J355" s="112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64"/>
    </row>
    <row r="356" spans="1:68" s="5" customFormat="1" ht="10.5" customHeight="1">
      <c r="A356" s="112"/>
      <c r="B356" s="137"/>
      <c r="C356" s="137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J356" s="112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64"/>
    </row>
    <row r="357" spans="1:68" s="5" customFormat="1" ht="10.5" customHeight="1">
      <c r="A357" s="112"/>
      <c r="B357" s="137"/>
      <c r="C357" s="137"/>
      <c r="D357" s="260"/>
      <c r="E357" s="260"/>
      <c r="F357" s="260"/>
      <c r="G357" s="260"/>
      <c r="H357" s="260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J357" s="112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64"/>
    </row>
    <row r="358" spans="1:68" s="5" customFormat="1" ht="10.5" customHeight="1">
      <c r="A358" s="112"/>
      <c r="B358" s="137"/>
      <c r="C358" s="137"/>
      <c r="D358" s="260"/>
      <c r="E358" s="260"/>
      <c r="F358" s="260"/>
      <c r="G358" s="260"/>
      <c r="H358" s="260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J358" s="112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64"/>
    </row>
    <row r="359" spans="1:68" s="5" customFormat="1" ht="10.5" customHeight="1">
      <c r="A359" s="112"/>
      <c r="B359" s="137"/>
      <c r="C359" s="137"/>
      <c r="D359" s="260"/>
      <c r="E359" s="260"/>
      <c r="F359" s="260"/>
      <c r="G359" s="260"/>
      <c r="H359" s="260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J359" s="112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64"/>
    </row>
    <row r="360" spans="1:68" s="5" customFormat="1" ht="10.5" customHeight="1">
      <c r="A360" s="112"/>
      <c r="B360" s="137"/>
      <c r="C360" s="137"/>
      <c r="D360" s="260"/>
      <c r="E360" s="260"/>
      <c r="F360" s="260"/>
      <c r="G360" s="260"/>
      <c r="H360" s="260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J360" s="112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64"/>
    </row>
    <row r="361" spans="1:68" s="5" customFormat="1" ht="10.5" customHeight="1">
      <c r="A361" s="112"/>
      <c r="B361" s="137"/>
      <c r="C361" s="137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J361" s="112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64"/>
    </row>
    <row r="362" spans="1:68" s="5" customFormat="1" ht="10.5" customHeight="1">
      <c r="A362" s="112"/>
      <c r="B362" s="137"/>
      <c r="C362" s="137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J362" s="112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64"/>
    </row>
    <row r="363" spans="1:68" s="5" customFormat="1" ht="10.5" customHeight="1">
      <c r="A363" s="112"/>
      <c r="B363" s="137"/>
      <c r="C363" s="137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J363" s="112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64"/>
    </row>
    <row r="364" spans="1:68" s="5" customFormat="1" ht="10.5" customHeight="1">
      <c r="A364" s="112"/>
      <c r="B364" s="137"/>
      <c r="C364" s="137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J364" s="112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64"/>
    </row>
    <row r="365" spans="1:68" s="5" customFormat="1" ht="10.5" customHeight="1">
      <c r="A365" s="112"/>
      <c r="B365" s="137"/>
      <c r="C365" s="137"/>
      <c r="D365" s="260"/>
      <c r="E365" s="260"/>
      <c r="F365" s="260"/>
      <c r="G365" s="260"/>
      <c r="H365" s="260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J365" s="112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64"/>
    </row>
    <row r="366" spans="1:68" s="5" customFormat="1" ht="10.5" customHeight="1">
      <c r="A366" s="112"/>
      <c r="B366" s="137"/>
      <c r="C366" s="137"/>
      <c r="D366" s="260"/>
      <c r="E366" s="260"/>
      <c r="F366" s="260"/>
      <c r="G366" s="260"/>
      <c r="H366" s="260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J366" s="112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64"/>
    </row>
    <row r="367" spans="1:68" s="5" customFormat="1" ht="10.5" customHeight="1">
      <c r="A367" s="112"/>
      <c r="B367" s="137"/>
      <c r="C367" s="137"/>
      <c r="D367" s="260"/>
      <c r="E367" s="260"/>
      <c r="F367" s="260"/>
      <c r="G367" s="260"/>
      <c r="H367" s="260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J367" s="112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64"/>
    </row>
    <row r="368" spans="1:68" s="5" customFormat="1" ht="10.5" customHeight="1">
      <c r="A368" s="112"/>
      <c r="B368" s="137"/>
      <c r="C368" s="137"/>
      <c r="D368" s="260"/>
      <c r="E368" s="260"/>
      <c r="F368" s="260"/>
      <c r="G368" s="260"/>
      <c r="H368" s="260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J368" s="112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64"/>
    </row>
    <row r="369" spans="1:68" s="5" customFormat="1" ht="10.5" customHeight="1">
      <c r="A369" s="112"/>
      <c r="B369" s="137"/>
      <c r="C369" s="137"/>
      <c r="D369" s="260"/>
      <c r="E369" s="260"/>
      <c r="F369" s="260"/>
      <c r="G369" s="260"/>
      <c r="H369" s="260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J369" s="112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64"/>
    </row>
    <row r="370" spans="1:68" s="5" customFormat="1" ht="10.5" customHeight="1">
      <c r="A370" s="112"/>
      <c r="B370" s="137"/>
      <c r="C370" s="137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J370" s="112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64"/>
    </row>
    <row r="371" spans="1:68" s="5" customFormat="1" ht="10.5" customHeight="1">
      <c r="A371" s="112"/>
      <c r="B371" s="137"/>
      <c r="C371" s="137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J371" s="112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64"/>
    </row>
    <row r="372" spans="1:68" s="5" customFormat="1" ht="10.5" customHeight="1">
      <c r="A372" s="112"/>
      <c r="B372" s="137"/>
      <c r="C372" s="137"/>
      <c r="D372" s="260"/>
      <c r="E372" s="260"/>
      <c r="F372" s="260"/>
      <c r="G372" s="260"/>
      <c r="H372" s="260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J372" s="112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64"/>
    </row>
    <row r="373" spans="1:68" s="5" customFormat="1" ht="10.5" customHeight="1">
      <c r="A373" s="112"/>
      <c r="B373" s="137"/>
      <c r="C373" s="137"/>
      <c r="D373" s="260"/>
      <c r="E373" s="260"/>
      <c r="F373" s="260"/>
      <c r="G373" s="260"/>
      <c r="H373" s="260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J373" s="112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64"/>
    </row>
    <row r="374" spans="1:68" s="5" customFormat="1" ht="10.5" customHeight="1">
      <c r="A374" s="112"/>
      <c r="B374" s="137"/>
      <c r="C374" s="137"/>
      <c r="D374" s="260"/>
      <c r="E374" s="260"/>
      <c r="F374" s="260"/>
      <c r="G374" s="260"/>
      <c r="H374" s="260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J374" s="112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64"/>
    </row>
    <row r="375" spans="1:68" s="5" customFormat="1" ht="10.5" customHeight="1">
      <c r="A375" s="112"/>
      <c r="B375" s="137"/>
      <c r="C375" s="137"/>
      <c r="D375" s="260"/>
      <c r="E375" s="260"/>
      <c r="F375" s="260"/>
      <c r="G375" s="260"/>
      <c r="H375" s="260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J375" s="112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64"/>
    </row>
    <row r="376" spans="1:68" s="5" customFormat="1" ht="10.5" customHeight="1">
      <c r="A376" s="112"/>
      <c r="B376" s="137"/>
      <c r="C376" s="137"/>
      <c r="D376" s="260"/>
      <c r="E376" s="260"/>
      <c r="F376" s="260"/>
      <c r="G376" s="260"/>
      <c r="H376" s="260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J376" s="112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64"/>
    </row>
    <row r="377" spans="1:68" s="5" customFormat="1" ht="10.5" customHeight="1">
      <c r="A377" s="112"/>
      <c r="B377" s="137"/>
      <c r="C377" s="137"/>
      <c r="D377" s="260"/>
      <c r="E377" s="260"/>
      <c r="F377" s="260"/>
      <c r="G377" s="260"/>
      <c r="H377" s="260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J377" s="112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64"/>
    </row>
    <row r="378" spans="1:68" s="5" customFormat="1" ht="10.5" customHeight="1">
      <c r="A378" s="112"/>
      <c r="B378" s="137"/>
      <c r="C378" s="137"/>
      <c r="D378" s="260"/>
      <c r="E378" s="260"/>
      <c r="F378" s="260"/>
      <c r="G378" s="260"/>
      <c r="H378" s="260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J378" s="112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64"/>
    </row>
    <row r="379" spans="1:68" s="5" customFormat="1" ht="10.5" customHeight="1">
      <c r="A379" s="112"/>
      <c r="B379" s="137"/>
      <c r="C379" s="137"/>
      <c r="D379" s="260"/>
      <c r="E379" s="260"/>
      <c r="F379" s="260"/>
      <c r="G379" s="260"/>
      <c r="H379" s="260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J379" s="112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64"/>
    </row>
    <row r="380" spans="1:68" s="5" customFormat="1" ht="10.5" customHeight="1">
      <c r="A380" s="112"/>
      <c r="B380" s="137"/>
      <c r="C380" s="137"/>
      <c r="D380" s="260"/>
      <c r="E380" s="260"/>
      <c r="F380" s="260"/>
      <c r="G380" s="260"/>
      <c r="H380" s="260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J380" s="112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64"/>
    </row>
    <row r="381" spans="1:68" s="5" customFormat="1" ht="10.5" customHeight="1">
      <c r="A381" s="112"/>
      <c r="B381" s="137"/>
      <c r="C381" s="137"/>
      <c r="D381" s="260"/>
      <c r="E381" s="260"/>
      <c r="F381" s="260"/>
      <c r="G381" s="260"/>
      <c r="H381" s="260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J381" s="112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64"/>
    </row>
    <row r="382" spans="1:68" s="5" customFormat="1" ht="10.5" customHeight="1">
      <c r="A382" s="112"/>
      <c r="B382" s="137"/>
      <c r="C382" s="137"/>
      <c r="D382" s="260"/>
      <c r="E382" s="260"/>
      <c r="F382" s="260"/>
      <c r="G382" s="260"/>
      <c r="H382" s="260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J382" s="112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64"/>
    </row>
    <row r="383" spans="1:68" s="5" customFormat="1" ht="10.5" customHeight="1">
      <c r="A383" s="112"/>
      <c r="B383" s="137"/>
      <c r="C383" s="137"/>
      <c r="D383" s="260"/>
      <c r="E383" s="260"/>
      <c r="F383" s="260"/>
      <c r="G383" s="260"/>
      <c r="H383" s="260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J383" s="112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64"/>
    </row>
    <row r="384" spans="1:68" s="5" customFormat="1" ht="10.5" customHeight="1">
      <c r="A384" s="112"/>
      <c r="B384" s="137"/>
      <c r="C384" s="137"/>
      <c r="D384" s="260"/>
      <c r="E384" s="260"/>
      <c r="F384" s="260"/>
      <c r="G384" s="260"/>
      <c r="H384" s="260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J384" s="112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64"/>
    </row>
    <row r="385" spans="1:68" s="5" customFormat="1" ht="10.5" customHeight="1">
      <c r="A385" s="112"/>
      <c r="B385" s="137"/>
      <c r="C385" s="137"/>
      <c r="D385" s="260"/>
      <c r="E385" s="260"/>
      <c r="F385" s="260"/>
      <c r="G385" s="260"/>
      <c r="H385" s="260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J385" s="112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64"/>
    </row>
    <row r="386" spans="1:68" s="5" customFormat="1" ht="10.5" customHeight="1">
      <c r="A386" s="112"/>
      <c r="B386" s="137"/>
      <c r="C386" s="137"/>
      <c r="D386" s="260"/>
      <c r="E386" s="260"/>
      <c r="F386" s="260"/>
      <c r="G386" s="260"/>
      <c r="H386" s="260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J386" s="112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64"/>
    </row>
    <row r="387" spans="1:68" s="5" customFormat="1" ht="10.5" customHeight="1">
      <c r="A387" s="112"/>
      <c r="B387" s="137"/>
      <c r="C387" s="137"/>
      <c r="D387" s="260"/>
      <c r="E387" s="260"/>
      <c r="F387" s="260"/>
      <c r="G387" s="260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J387" s="112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64"/>
    </row>
    <row r="388" spans="1:68" s="5" customFormat="1" ht="10.5" customHeight="1">
      <c r="A388" s="112"/>
      <c r="B388" s="137"/>
      <c r="C388" s="137"/>
      <c r="D388" s="260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J388" s="112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64"/>
    </row>
    <row r="389" spans="1:68" s="5" customFormat="1" ht="10.5" customHeight="1">
      <c r="A389" s="112"/>
      <c r="B389" s="137"/>
      <c r="C389" s="137"/>
      <c r="D389" s="260"/>
      <c r="E389" s="260"/>
      <c r="F389" s="260"/>
      <c r="G389" s="260"/>
      <c r="H389" s="260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J389" s="112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64"/>
    </row>
    <row r="390" spans="1:68" s="5" customFormat="1" ht="10.5" customHeight="1">
      <c r="A390" s="112"/>
      <c r="B390" s="137"/>
      <c r="C390" s="137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J390" s="112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64"/>
    </row>
    <row r="391" spans="1:68" s="5" customFormat="1" ht="10.5" customHeight="1">
      <c r="A391" s="112"/>
      <c r="B391" s="137"/>
      <c r="C391" s="137"/>
      <c r="D391" s="260"/>
      <c r="E391" s="260"/>
      <c r="F391" s="260"/>
      <c r="G391" s="260"/>
      <c r="H391" s="260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J391" s="112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64"/>
    </row>
    <row r="392" spans="1:68" s="5" customFormat="1" ht="10.5" customHeight="1">
      <c r="A392" s="112"/>
      <c r="B392" s="137"/>
      <c r="C392" s="137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J392" s="112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64"/>
    </row>
    <row r="393" spans="1:68" s="5" customFormat="1" ht="10.5" customHeight="1">
      <c r="A393" s="112"/>
      <c r="B393" s="137"/>
      <c r="C393" s="137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J393" s="112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64"/>
    </row>
    <row r="394" spans="1:68" s="5" customFormat="1" ht="10.5" customHeight="1">
      <c r="A394" s="112"/>
      <c r="B394" s="137"/>
      <c r="C394" s="137"/>
      <c r="D394" s="260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J394" s="112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64"/>
    </row>
    <row r="395" spans="1:68" s="5" customFormat="1" ht="10.5" customHeight="1">
      <c r="A395" s="112"/>
      <c r="B395" s="137"/>
      <c r="C395" s="137"/>
      <c r="D395" s="260"/>
      <c r="E395" s="260"/>
      <c r="F395" s="260"/>
      <c r="G395" s="260"/>
      <c r="H395" s="260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J395" s="112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64"/>
    </row>
    <row r="396" spans="1:68" s="5" customFormat="1" ht="10.5" customHeight="1">
      <c r="A396" s="112"/>
      <c r="B396" s="137"/>
      <c r="C396" s="137"/>
      <c r="D396" s="260"/>
      <c r="E396" s="260"/>
      <c r="F396" s="260"/>
      <c r="G396" s="260"/>
      <c r="H396" s="260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J396" s="112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64"/>
    </row>
    <row r="397" spans="1:68" s="5" customFormat="1" ht="10.5" customHeight="1">
      <c r="A397" s="112"/>
      <c r="B397" s="137"/>
      <c r="C397" s="137"/>
      <c r="D397" s="260"/>
      <c r="E397" s="260"/>
      <c r="F397" s="260"/>
      <c r="G397" s="260"/>
      <c r="H397" s="260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J397" s="112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64"/>
    </row>
    <row r="398" spans="1:68" s="5" customFormat="1" ht="10.5" customHeight="1">
      <c r="A398" s="112"/>
      <c r="B398" s="137"/>
      <c r="C398" s="137"/>
      <c r="D398" s="260"/>
      <c r="E398" s="260"/>
      <c r="F398" s="260"/>
      <c r="G398" s="260"/>
      <c r="H398" s="260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J398" s="112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64"/>
    </row>
    <row r="399" spans="1:68" s="5" customFormat="1" ht="10.5" customHeight="1">
      <c r="A399" s="112"/>
      <c r="B399" s="137"/>
      <c r="C399" s="137"/>
      <c r="D399" s="260"/>
      <c r="E399" s="260"/>
      <c r="F399" s="260"/>
      <c r="G399" s="260"/>
      <c r="H399" s="260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J399" s="112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64"/>
    </row>
    <row r="400" spans="1:68" s="5" customFormat="1" ht="10.5" customHeight="1">
      <c r="A400" s="112"/>
      <c r="B400" s="137"/>
      <c r="C400" s="137"/>
      <c r="D400" s="260"/>
      <c r="E400" s="260"/>
      <c r="F400" s="260"/>
      <c r="G400" s="260"/>
      <c r="H400" s="260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J400" s="112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64"/>
    </row>
    <row r="401" spans="1:68" s="5" customFormat="1" ht="10.5" customHeight="1">
      <c r="A401" s="112"/>
      <c r="B401" s="137"/>
      <c r="C401" s="137"/>
      <c r="D401" s="260"/>
      <c r="E401" s="260"/>
      <c r="F401" s="260"/>
      <c r="G401" s="260"/>
      <c r="H401" s="260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J401" s="112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64"/>
    </row>
    <row r="402" spans="1:68" s="5" customFormat="1" ht="10.5" customHeight="1">
      <c r="A402" s="112"/>
      <c r="B402" s="137"/>
      <c r="C402" s="137"/>
      <c r="D402" s="260"/>
      <c r="E402" s="260"/>
      <c r="F402" s="260"/>
      <c r="G402" s="260"/>
      <c r="H402" s="260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J402" s="112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64"/>
    </row>
    <row r="403" spans="1:68" s="5" customFormat="1" ht="10.5" customHeight="1">
      <c r="A403" s="112"/>
      <c r="B403" s="137"/>
      <c r="C403" s="137"/>
      <c r="D403" s="260"/>
      <c r="E403" s="260"/>
      <c r="F403" s="260"/>
      <c r="G403" s="260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J403" s="112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64"/>
    </row>
    <row r="404" spans="1:68" s="5" customFormat="1" ht="10.5" customHeight="1">
      <c r="A404" s="112"/>
      <c r="B404" s="137"/>
      <c r="C404" s="137"/>
      <c r="D404" s="260"/>
      <c r="E404" s="260"/>
      <c r="F404" s="260"/>
      <c r="G404" s="260"/>
      <c r="H404" s="260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J404" s="112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64"/>
    </row>
    <row r="405" spans="1:68" s="5" customFormat="1" ht="10.5" customHeight="1">
      <c r="A405" s="112"/>
      <c r="B405" s="137"/>
      <c r="C405" s="137"/>
      <c r="D405" s="260"/>
      <c r="E405" s="260"/>
      <c r="F405" s="260"/>
      <c r="G405" s="260"/>
      <c r="H405" s="260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J405" s="112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64"/>
    </row>
    <row r="406" spans="1:68" s="5" customFormat="1" ht="10.5" customHeight="1">
      <c r="A406" s="112"/>
      <c r="B406" s="137"/>
      <c r="C406" s="137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J406" s="112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64"/>
    </row>
    <row r="407" spans="1:68" s="5" customFormat="1" ht="10.5" customHeight="1">
      <c r="A407" s="112"/>
      <c r="B407" s="137"/>
      <c r="C407" s="137"/>
      <c r="D407" s="260"/>
      <c r="E407" s="260"/>
      <c r="F407" s="260"/>
      <c r="G407" s="260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  <c r="Z407" s="260"/>
      <c r="AA407" s="260"/>
      <c r="AB407" s="260"/>
      <c r="AC407" s="260"/>
      <c r="AD407" s="260"/>
      <c r="AE407" s="260"/>
      <c r="AJ407" s="112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64"/>
    </row>
    <row r="408" spans="1:68" s="5" customFormat="1" ht="10.5" customHeight="1">
      <c r="A408" s="112"/>
      <c r="B408" s="137"/>
      <c r="C408" s="137"/>
      <c r="D408" s="260"/>
      <c r="E408" s="260"/>
      <c r="F408" s="260"/>
      <c r="G408" s="260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  <c r="Z408" s="260"/>
      <c r="AA408" s="260"/>
      <c r="AB408" s="260"/>
      <c r="AC408" s="260"/>
      <c r="AD408" s="260"/>
      <c r="AE408" s="260"/>
      <c r="AJ408" s="112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64"/>
    </row>
    <row r="409" spans="1:68" s="5" customFormat="1" ht="10.5" customHeight="1">
      <c r="A409" s="112"/>
      <c r="B409" s="137"/>
      <c r="C409" s="137"/>
      <c r="D409" s="260"/>
      <c r="E409" s="260"/>
      <c r="F409" s="260"/>
      <c r="G409" s="260"/>
      <c r="H409" s="260"/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  <c r="Z409" s="260"/>
      <c r="AA409" s="260"/>
      <c r="AB409" s="260"/>
      <c r="AC409" s="260"/>
      <c r="AD409" s="260"/>
      <c r="AE409" s="260"/>
      <c r="AJ409" s="112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64"/>
    </row>
    <row r="410" spans="1:68" s="5" customFormat="1" ht="10.5" customHeight="1">
      <c r="A410" s="112"/>
      <c r="B410" s="137"/>
      <c r="C410" s="137"/>
      <c r="D410" s="260"/>
      <c r="E410" s="260"/>
      <c r="F410" s="260"/>
      <c r="G410" s="260"/>
      <c r="H410" s="260"/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  <c r="Z410" s="260"/>
      <c r="AA410" s="260"/>
      <c r="AB410" s="260"/>
      <c r="AC410" s="260"/>
      <c r="AD410" s="260"/>
      <c r="AE410" s="260"/>
      <c r="AJ410" s="112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64"/>
    </row>
    <row r="411" spans="1:68" s="5" customFormat="1" ht="10.5" customHeight="1">
      <c r="A411" s="112"/>
      <c r="B411" s="137"/>
      <c r="C411" s="137"/>
      <c r="D411" s="260"/>
      <c r="E411" s="260"/>
      <c r="F411" s="260"/>
      <c r="G411" s="260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J411" s="112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64"/>
    </row>
    <row r="412" spans="1:68" s="5" customFormat="1" ht="10.5" customHeight="1">
      <c r="A412" s="112"/>
      <c r="B412" s="137"/>
      <c r="C412" s="137"/>
      <c r="D412" s="260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J412" s="112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64"/>
    </row>
    <row r="413" spans="1:68" s="5" customFormat="1" ht="10.5" customHeight="1">
      <c r="A413" s="112"/>
      <c r="B413" s="137"/>
      <c r="C413" s="137"/>
      <c r="D413" s="260"/>
      <c r="E413" s="260"/>
      <c r="F413" s="260"/>
      <c r="G413" s="260"/>
      <c r="H413" s="260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J413" s="112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64"/>
    </row>
    <row r="414" spans="1:68" s="5" customFormat="1" ht="10.5" customHeight="1">
      <c r="A414" s="112"/>
      <c r="B414" s="137"/>
      <c r="C414" s="137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J414" s="112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64"/>
    </row>
    <row r="415" spans="1:68" s="5" customFormat="1" ht="10.5" customHeight="1">
      <c r="A415" s="112"/>
      <c r="B415" s="137"/>
      <c r="C415" s="137"/>
      <c r="D415" s="260"/>
      <c r="E415" s="260"/>
      <c r="F415" s="260"/>
      <c r="G415" s="260"/>
      <c r="H415" s="260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J415" s="112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64"/>
    </row>
    <row r="416" spans="1:68" s="5" customFormat="1" ht="10.5" customHeight="1">
      <c r="A416" s="112"/>
      <c r="B416" s="137"/>
      <c r="C416" s="137"/>
      <c r="D416" s="260"/>
      <c r="E416" s="260"/>
      <c r="F416" s="260"/>
      <c r="G416" s="260"/>
      <c r="H416" s="260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J416" s="112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64"/>
    </row>
    <row r="417" spans="1:68" s="5" customFormat="1" ht="10.5" customHeight="1">
      <c r="A417" s="112"/>
      <c r="B417" s="137"/>
      <c r="C417" s="137"/>
      <c r="D417" s="260"/>
      <c r="E417" s="260"/>
      <c r="F417" s="260"/>
      <c r="G417" s="260"/>
      <c r="H417" s="260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J417" s="112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64"/>
    </row>
    <row r="418" spans="1:68" s="5" customFormat="1" ht="10.5" customHeight="1">
      <c r="A418" s="112"/>
      <c r="B418" s="137"/>
      <c r="C418" s="137"/>
      <c r="D418" s="260"/>
      <c r="E418" s="260"/>
      <c r="F418" s="260"/>
      <c r="G418" s="260"/>
      <c r="H418" s="260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J418" s="112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64"/>
    </row>
    <row r="419" spans="1:68" s="5" customFormat="1" ht="10.5" customHeight="1">
      <c r="A419" s="112"/>
      <c r="B419" s="137"/>
      <c r="C419" s="137"/>
      <c r="D419" s="260"/>
      <c r="E419" s="260"/>
      <c r="F419" s="260"/>
      <c r="G419" s="260"/>
      <c r="H419" s="260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J419" s="112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64"/>
    </row>
    <row r="420" spans="1:68" s="5" customFormat="1" ht="10.5" customHeight="1">
      <c r="A420" s="112"/>
      <c r="B420" s="137"/>
      <c r="C420" s="137"/>
      <c r="D420" s="260"/>
      <c r="E420" s="260"/>
      <c r="F420" s="260"/>
      <c r="G420" s="260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J420" s="112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64"/>
    </row>
    <row r="421" spans="1:68" s="5" customFormat="1" ht="10.5" customHeight="1">
      <c r="A421" s="112"/>
      <c r="B421" s="137"/>
      <c r="C421" s="137"/>
      <c r="D421" s="260"/>
      <c r="E421" s="260"/>
      <c r="F421" s="260"/>
      <c r="G421" s="260"/>
      <c r="H421" s="260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J421" s="112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64"/>
    </row>
    <row r="422" spans="1:68" s="5" customFormat="1" ht="10.5" customHeight="1">
      <c r="A422" s="112"/>
      <c r="B422" s="137"/>
      <c r="C422" s="137"/>
      <c r="D422" s="260"/>
      <c r="E422" s="260"/>
      <c r="F422" s="260"/>
      <c r="G422" s="260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J422" s="112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64"/>
    </row>
    <row r="423" spans="1:68" s="5" customFormat="1" ht="10.5" customHeight="1">
      <c r="A423" s="112"/>
      <c r="B423" s="137"/>
      <c r="C423" s="137"/>
      <c r="D423" s="260"/>
      <c r="E423" s="260"/>
      <c r="F423" s="260"/>
      <c r="G423" s="260"/>
      <c r="H423" s="260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J423" s="112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64"/>
    </row>
    <row r="424" spans="1:68" s="5" customFormat="1" ht="10.5" customHeight="1">
      <c r="A424" s="112"/>
      <c r="B424" s="137"/>
      <c r="C424" s="137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J424" s="112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64"/>
    </row>
    <row r="425" spans="1:68" s="5" customFormat="1" ht="10.5" customHeight="1">
      <c r="A425" s="112"/>
      <c r="B425" s="137"/>
      <c r="C425" s="137"/>
      <c r="D425" s="260"/>
      <c r="E425" s="260"/>
      <c r="F425" s="260"/>
      <c r="G425" s="260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J425" s="112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64"/>
    </row>
    <row r="426" spans="1:68" s="5" customFormat="1" ht="10.5" customHeight="1">
      <c r="A426" s="112"/>
      <c r="B426" s="137"/>
      <c r="C426" s="137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J426" s="112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64"/>
    </row>
    <row r="427" spans="1:68" s="5" customFormat="1" ht="10.5" customHeight="1">
      <c r="A427" s="112"/>
      <c r="B427" s="137"/>
      <c r="C427" s="137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J427" s="112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64"/>
    </row>
    <row r="428" spans="1:68" s="5" customFormat="1" ht="10.5" customHeight="1">
      <c r="A428" s="112"/>
      <c r="B428" s="137"/>
      <c r="C428" s="137"/>
      <c r="D428" s="260"/>
      <c r="E428" s="260"/>
      <c r="F428" s="260"/>
      <c r="G428" s="260"/>
      <c r="H428" s="260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J428" s="112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64"/>
    </row>
    <row r="429" spans="1:68" s="5" customFormat="1" ht="10.5" customHeight="1">
      <c r="A429" s="112"/>
      <c r="B429" s="137"/>
      <c r="C429" s="137"/>
      <c r="D429" s="260"/>
      <c r="E429" s="260"/>
      <c r="F429" s="260"/>
      <c r="G429" s="260"/>
      <c r="H429" s="260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J429" s="112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64"/>
    </row>
    <row r="430" spans="1:68" s="5" customFormat="1" ht="10.5" customHeight="1">
      <c r="A430" s="112"/>
      <c r="B430" s="137"/>
      <c r="C430" s="137"/>
      <c r="D430" s="260"/>
      <c r="E430" s="260"/>
      <c r="F430" s="260"/>
      <c r="G430" s="260"/>
      <c r="H430" s="260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J430" s="112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64"/>
    </row>
    <row r="431" spans="1:68" s="5" customFormat="1" ht="10.5" customHeight="1">
      <c r="A431" s="112"/>
      <c r="B431" s="137"/>
      <c r="C431" s="137"/>
      <c r="D431" s="260"/>
      <c r="E431" s="260"/>
      <c r="F431" s="260"/>
      <c r="G431" s="260"/>
      <c r="H431" s="260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J431" s="112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64"/>
    </row>
    <row r="432" spans="1:68" s="5" customFormat="1" ht="10.5" customHeight="1">
      <c r="A432" s="112"/>
      <c r="B432" s="137"/>
      <c r="C432" s="137"/>
      <c r="D432" s="260"/>
      <c r="E432" s="260"/>
      <c r="F432" s="260"/>
      <c r="G432" s="260"/>
      <c r="H432" s="260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  <c r="AJ432" s="112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64"/>
    </row>
    <row r="433" spans="1:68" s="5" customFormat="1" ht="10.5" customHeight="1">
      <c r="A433" s="112"/>
      <c r="B433" s="137"/>
      <c r="C433" s="137"/>
      <c r="D433" s="260"/>
      <c r="E433" s="260"/>
      <c r="F433" s="260"/>
      <c r="G433" s="260"/>
      <c r="H433" s="260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  <c r="AJ433" s="112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64"/>
    </row>
    <row r="434" spans="1:68" s="5" customFormat="1" ht="10.5" customHeight="1">
      <c r="A434" s="112"/>
      <c r="B434" s="137"/>
      <c r="C434" s="137"/>
      <c r="D434" s="260"/>
      <c r="E434" s="260"/>
      <c r="F434" s="260"/>
      <c r="G434" s="260"/>
      <c r="H434" s="260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J434" s="112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64"/>
    </row>
    <row r="435" spans="1:68" s="5" customFormat="1" ht="10.5" customHeight="1">
      <c r="A435" s="112"/>
      <c r="B435" s="137"/>
      <c r="C435" s="137"/>
      <c r="D435" s="260"/>
      <c r="E435" s="260"/>
      <c r="F435" s="260"/>
      <c r="G435" s="260"/>
      <c r="H435" s="260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J435" s="112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64"/>
    </row>
    <row r="436" spans="1:68" s="5" customFormat="1" ht="10.5" customHeight="1">
      <c r="A436" s="112"/>
      <c r="B436" s="137"/>
      <c r="C436" s="137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J436" s="112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64"/>
    </row>
    <row r="437" spans="1:68" s="5" customFormat="1" ht="10.5" customHeight="1">
      <c r="A437" s="112"/>
      <c r="B437" s="137"/>
      <c r="C437" s="137"/>
      <c r="D437" s="260"/>
      <c r="E437" s="260"/>
      <c r="F437" s="260"/>
      <c r="G437" s="260"/>
      <c r="H437" s="260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J437" s="112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64"/>
    </row>
    <row r="438" spans="1:68" s="5" customFormat="1" ht="10.5" customHeight="1">
      <c r="A438" s="112"/>
      <c r="B438" s="137"/>
      <c r="C438" s="137"/>
      <c r="D438" s="260"/>
      <c r="E438" s="260"/>
      <c r="F438" s="260"/>
      <c r="G438" s="260"/>
      <c r="H438" s="260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J438" s="112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64"/>
    </row>
    <row r="439" spans="1:68" s="5" customFormat="1" ht="10.5" customHeight="1">
      <c r="A439" s="112"/>
      <c r="B439" s="137"/>
      <c r="C439" s="137"/>
      <c r="D439" s="260"/>
      <c r="E439" s="260"/>
      <c r="F439" s="260"/>
      <c r="G439" s="260"/>
      <c r="H439" s="260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J439" s="112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64"/>
    </row>
    <row r="440" spans="1:68" s="5" customFormat="1" ht="10.5" customHeight="1">
      <c r="A440" s="112"/>
      <c r="B440" s="137"/>
      <c r="C440" s="137"/>
      <c r="D440" s="260"/>
      <c r="E440" s="260"/>
      <c r="F440" s="260"/>
      <c r="G440" s="260"/>
      <c r="H440" s="260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J440" s="112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64"/>
    </row>
    <row r="441" spans="1:68" s="5" customFormat="1" ht="10.5" customHeight="1">
      <c r="A441" s="112"/>
      <c r="B441" s="137"/>
      <c r="C441" s="137"/>
      <c r="D441" s="260"/>
      <c r="E441" s="260"/>
      <c r="F441" s="260"/>
      <c r="G441" s="260"/>
      <c r="H441" s="260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J441" s="112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64"/>
    </row>
    <row r="442" spans="1:68" s="5" customFormat="1" ht="10.5" customHeight="1">
      <c r="A442" s="112"/>
      <c r="B442" s="137"/>
      <c r="C442" s="137"/>
      <c r="D442" s="260"/>
      <c r="E442" s="260"/>
      <c r="F442" s="260"/>
      <c r="G442" s="260"/>
      <c r="H442" s="260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J442" s="112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64"/>
    </row>
    <row r="443" spans="1:68" s="5" customFormat="1" ht="10.5" customHeight="1">
      <c r="A443" s="112"/>
      <c r="B443" s="137"/>
      <c r="C443" s="137"/>
      <c r="D443" s="260"/>
      <c r="E443" s="260"/>
      <c r="F443" s="260"/>
      <c r="G443" s="260"/>
      <c r="H443" s="260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J443" s="112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64"/>
    </row>
    <row r="444" spans="1:68" s="5" customFormat="1" ht="10.5" customHeight="1">
      <c r="A444" s="112"/>
      <c r="B444" s="137"/>
      <c r="C444" s="137"/>
      <c r="D444" s="260"/>
      <c r="E444" s="260"/>
      <c r="F444" s="260"/>
      <c r="G444" s="260"/>
      <c r="H444" s="260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J444" s="112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64"/>
    </row>
    <row r="445" spans="1:68" s="5" customFormat="1" ht="10.5" customHeight="1">
      <c r="A445" s="112"/>
      <c r="B445" s="137"/>
      <c r="C445" s="137"/>
      <c r="D445" s="260"/>
      <c r="E445" s="260"/>
      <c r="F445" s="260"/>
      <c r="G445" s="260"/>
      <c r="H445" s="260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J445" s="112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64"/>
    </row>
    <row r="446" spans="1:68" s="5" customFormat="1" ht="10.5" customHeight="1">
      <c r="A446" s="112"/>
      <c r="B446" s="137"/>
      <c r="C446" s="137"/>
      <c r="D446" s="260"/>
      <c r="E446" s="260"/>
      <c r="F446" s="260"/>
      <c r="G446" s="260"/>
      <c r="H446" s="260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J446" s="112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64"/>
    </row>
    <row r="447" spans="1:68" s="5" customFormat="1" ht="10.5" customHeight="1">
      <c r="A447" s="112"/>
      <c r="B447" s="137"/>
      <c r="C447" s="137"/>
      <c r="D447" s="260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J447" s="112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64"/>
    </row>
    <row r="448" spans="1:68" s="5" customFormat="1" ht="10.5" customHeight="1">
      <c r="A448" s="112"/>
      <c r="B448" s="137"/>
      <c r="C448" s="137"/>
      <c r="D448" s="260"/>
      <c r="E448" s="260"/>
      <c r="F448" s="260"/>
      <c r="G448" s="260"/>
      <c r="H448" s="260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J448" s="112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64"/>
    </row>
    <row r="449" spans="1:68" s="5" customFormat="1" ht="10.5" customHeight="1">
      <c r="A449" s="112"/>
      <c r="B449" s="137"/>
      <c r="C449" s="137"/>
      <c r="D449" s="260"/>
      <c r="E449" s="260"/>
      <c r="F449" s="260"/>
      <c r="G449" s="260"/>
      <c r="H449" s="260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J449" s="112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64"/>
    </row>
    <row r="450" spans="1:68" s="5" customFormat="1" ht="10.5" customHeight="1">
      <c r="A450" s="112"/>
      <c r="B450" s="137"/>
      <c r="C450" s="137"/>
      <c r="D450" s="260"/>
      <c r="E450" s="260"/>
      <c r="F450" s="260"/>
      <c r="G450" s="260"/>
      <c r="H450" s="260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J450" s="112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64"/>
    </row>
    <row r="451" spans="1:68" s="5" customFormat="1" ht="10.5" customHeight="1">
      <c r="A451" s="112"/>
      <c r="B451" s="137"/>
      <c r="C451" s="137"/>
      <c r="D451" s="260"/>
      <c r="E451" s="260"/>
      <c r="F451" s="260"/>
      <c r="G451" s="260"/>
      <c r="H451" s="260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J451" s="112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64"/>
    </row>
    <row r="452" spans="1:68" s="5" customFormat="1" ht="10.5" customHeight="1">
      <c r="A452" s="112"/>
      <c r="B452" s="137"/>
      <c r="C452" s="137"/>
      <c r="D452" s="260"/>
      <c r="E452" s="260"/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J452" s="112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64"/>
    </row>
    <row r="453" spans="1:68" s="5" customFormat="1" ht="10.5" customHeight="1">
      <c r="A453" s="112"/>
      <c r="B453" s="137"/>
      <c r="C453" s="137"/>
      <c r="D453" s="260"/>
      <c r="E453" s="260"/>
      <c r="F453" s="260"/>
      <c r="G453" s="260"/>
      <c r="H453" s="260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J453" s="112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64"/>
    </row>
    <row r="454" spans="1:68" s="5" customFormat="1" ht="10.5" customHeight="1">
      <c r="A454" s="112"/>
      <c r="B454" s="137"/>
      <c r="C454" s="137"/>
      <c r="D454" s="260"/>
      <c r="E454" s="260"/>
      <c r="F454" s="260"/>
      <c r="G454" s="260"/>
      <c r="H454" s="260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J454" s="112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64"/>
    </row>
    <row r="455" spans="1:68" s="5" customFormat="1" ht="10.5" customHeight="1">
      <c r="A455" s="112"/>
      <c r="B455" s="137"/>
      <c r="C455" s="137"/>
      <c r="D455" s="260"/>
      <c r="E455" s="260"/>
      <c r="F455" s="260"/>
      <c r="G455" s="260"/>
      <c r="H455" s="260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J455" s="112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64"/>
    </row>
    <row r="456" spans="1:68" s="5" customFormat="1" ht="10.5" customHeight="1">
      <c r="A456" s="112"/>
      <c r="B456" s="137"/>
      <c r="C456" s="137"/>
      <c r="D456" s="260"/>
      <c r="E456" s="260"/>
      <c r="F456" s="260"/>
      <c r="G456" s="260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J456" s="112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64"/>
    </row>
    <row r="457" spans="1:68" s="5" customFormat="1" ht="10.5" customHeight="1">
      <c r="A457" s="112"/>
      <c r="B457" s="137"/>
      <c r="C457" s="137"/>
      <c r="D457" s="260"/>
      <c r="E457" s="260"/>
      <c r="F457" s="260"/>
      <c r="G457" s="260"/>
      <c r="H457" s="260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J457" s="112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64"/>
    </row>
    <row r="458" spans="1:68" s="5" customFormat="1" ht="10.5" customHeight="1">
      <c r="A458" s="112"/>
      <c r="B458" s="137"/>
      <c r="C458" s="137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J458" s="112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64"/>
    </row>
    <row r="459" spans="1:68" s="5" customFormat="1" ht="10.5" customHeight="1">
      <c r="A459" s="112"/>
      <c r="B459" s="137"/>
      <c r="C459" s="137"/>
      <c r="D459" s="260"/>
      <c r="E459" s="260"/>
      <c r="F459" s="260"/>
      <c r="G459" s="260"/>
      <c r="H459" s="260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J459" s="112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64"/>
    </row>
    <row r="460" spans="1:68" s="5" customFormat="1" ht="10.5" customHeight="1">
      <c r="A460" s="112"/>
      <c r="B460" s="137"/>
      <c r="C460" s="137"/>
      <c r="D460" s="260"/>
      <c r="E460" s="260"/>
      <c r="F460" s="260"/>
      <c r="G460" s="260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J460" s="112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64"/>
    </row>
    <row r="461" spans="1:68" s="5" customFormat="1" ht="10.5" customHeight="1">
      <c r="A461" s="112"/>
      <c r="B461" s="137"/>
      <c r="C461" s="137"/>
      <c r="D461" s="260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J461" s="112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64"/>
    </row>
    <row r="462" spans="1:68" s="5" customFormat="1" ht="10.5" customHeight="1">
      <c r="A462" s="112"/>
      <c r="B462" s="137"/>
      <c r="C462" s="137"/>
      <c r="D462" s="260"/>
      <c r="E462" s="260"/>
      <c r="F462" s="260"/>
      <c r="G462" s="260"/>
      <c r="H462" s="260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J462" s="112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64"/>
    </row>
    <row r="463" spans="1:68" s="5" customFormat="1" ht="10.5" customHeight="1">
      <c r="A463" s="112"/>
      <c r="B463" s="137"/>
      <c r="C463" s="137"/>
      <c r="D463" s="260"/>
      <c r="E463" s="260"/>
      <c r="F463" s="260"/>
      <c r="G463" s="260"/>
      <c r="H463" s="260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J463" s="112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64"/>
    </row>
    <row r="464" spans="1:68" s="5" customFormat="1" ht="10.5" customHeight="1">
      <c r="A464" s="112"/>
      <c r="B464" s="137"/>
      <c r="C464" s="137"/>
      <c r="D464" s="260"/>
      <c r="E464" s="260"/>
      <c r="F464" s="260"/>
      <c r="G464" s="260"/>
      <c r="H464" s="260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J464" s="112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64"/>
    </row>
    <row r="465" spans="1:68" s="5" customFormat="1" ht="10.5" customHeight="1">
      <c r="A465" s="112"/>
      <c r="B465" s="137"/>
      <c r="C465" s="137"/>
      <c r="D465" s="260"/>
      <c r="E465" s="260"/>
      <c r="F465" s="260"/>
      <c r="G465" s="260"/>
      <c r="H465" s="260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J465" s="112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64"/>
    </row>
    <row r="466" spans="1:68" s="5" customFormat="1" ht="10.5" customHeight="1">
      <c r="A466" s="112"/>
      <c r="B466" s="137"/>
      <c r="C466" s="137"/>
      <c r="D466" s="260"/>
      <c r="E466" s="260"/>
      <c r="F466" s="260"/>
      <c r="G466" s="260"/>
      <c r="H466" s="260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J466" s="112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64"/>
    </row>
    <row r="467" spans="1:68" s="5" customFormat="1" ht="10.5" customHeight="1">
      <c r="A467" s="112"/>
      <c r="B467" s="137"/>
      <c r="C467" s="137"/>
      <c r="D467" s="260"/>
      <c r="E467" s="260"/>
      <c r="F467" s="260"/>
      <c r="G467" s="260"/>
      <c r="H467" s="260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J467" s="112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64"/>
    </row>
    <row r="468" spans="1:68" s="5" customFormat="1" ht="10.5" customHeight="1">
      <c r="A468" s="112"/>
      <c r="B468" s="137"/>
      <c r="C468" s="137"/>
      <c r="D468" s="260"/>
      <c r="E468" s="260"/>
      <c r="F468" s="260"/>
      <c r="G468" s="260"/>
      <c r="H468" s="260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J468" s="112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64"/>
    </row>
    <row r="469" spans="1:68" s="5" customFormat="1" ht="10.5" customHeight="1">
      <c r="A469" s="112"/>
      <c r="B469" s="137"/>
      <c r="C469" s="137"/>
      <c r="D469" s="260"/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J469" s="112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64"/>
    </row>
    <row r="470" spans="1:68" s="5" customFormat="1" ht="10.5" customHeight="1">
      <c r="A470" s="112"/>
      <c r="B470" s="137"/>
      <c r="C470" s="137"/>
      <c r="D470" s="260"/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J470" s="112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64"/>
    </row>
    <row r="471" spans="1:68" s="5" customFormat="1" ht="10.5" customHeight="1">
      <c r="A471" s="112"/>
      <c r="B471" s="137"/>
      <c r="C471" s="137"/>
      <c r="D471" s="260"/>
      <c r="E471" s="260"/>
      <c r="F471" s="260"/>
      <c r="G471" s="260"/>
      <c r="H471" s="260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J471" s="112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64"/>
    </row>
    <row r="472" spans="1:68" s="5" customFormat="1" ht="10.5" customHeight="1">
      <c r="A472" s="112"/>
      <c r="B472" s="137"/>
      <c r="C472" s="137"/>
      <c r="D472" s="260"/>
      <c r="E472" s="260"/>
      <c r="F472" s="260"/>
      <c r="G472" s="260"/>
      <c r="H472" s="260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J472" s="112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64"/>
    </row>
    <row r="473" spans="1:68" s="5" customFormat="1" ht="10.5" customHeight="1">
      <c r="A473" s="112"/>
      <c r="B473" s="137"/>
      <c r="C473" s="137"/>
      <c r="D473" s="260"/>
      <c r="E473" s="260"/>
      <c r="F473" s="260"/>
      <c r="G473" s="260"/>
      <c r="H473" s="260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J473" s="112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64"/>
    </row>
    <row r="474" spans="1:68" s="5" customFormat="1" ht="10.5" customHeight="1">
      <c r="A474" s="112"/>
      <c r="B474" s="137"/>
      <c r="C474" s="137"/>
      <c r="D474" s="260"/>
      <c r="E474" s="260"/>
      <c r="F474" s="260"/>
      <c r="G474" s="260"/>
      <c r="H474" s="260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J474" s="112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64"/>
    </row>
    <row r="475" spans="1:68" s="5" customFormat="1" ht="10.5" customHeight="1">
      <c r="A475" s="112"/>
      <c r="B475" s="137"/>
      <c r="C475" s="137"/>
      <c r="D475" s="260"/>
      <c r="E475" s="260"/>
      <c r="F475" s="260"/>
      <c r="G475" s="260"/>
      <c r="H475" s="260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J475" s="112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64"/>
    </row>
    <row r="476" spans="1:68" s="5" customFormat="1" ht="10.5" customHeight="1">
      <c r="A476" s="112"/>
      <c r="B476" s="137"/>
      <c r="C476" s="137"/>
      <c r="D476" s="260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J476" s="112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64"/>
    </row>
    <row r="477" spans="1:68" s="5" customFormat="1" ht="10.5" customHeight="1">
      <c r="A477" s="112"/>
      <c r="B477" s="137"/>
      <c r="C477" s="137"/>
      <c r="D477" s="260"/>
      <c r="E477" s="260"/>
      <c r="F477" s="260"/>
      <c r="G477" s="260"/>
      <c r="H477" s="260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J477" s="112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64"/>
    </row>
    <row r="478" spans="1:68" s="5" customFormat="1" ht="10.5" customHeight="1">
      <c r="A478" s="112"/>
      <c r="B478" s="137"/>
      <c r="C478" s="137"/>
      <c r="D478" s="260"/>
      <c r="E478" s="260"/>
      <c r="F478" s="260"/>
      <c r="G478" s="260"/>
      <c r="H478" s="260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J478" s="112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64"/>
    </row>
    <row r="479" spans="1:68" s="5" customFormat="1" ht="10.5" customHeight="1">
      <c r="A479" s="112"/>
      <c r="B479" s="137"/>
      <c r="C479" s="137"/>
      <c r="D479" s="260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J479" s="112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64"/>
    </row>
    <row r="480" spans="1:68" s="5" customFormat="1" ht="10.5" customHeight="1">
      <c r="A480" s="112"/>
      <c r="B480" s="137"/>
      <c r="C480" s="137"/>
      <c r="D480" s="260"/>
      <c r="E480" s="260"/>
      <c r="F480" s="260"/>
      <c r="G480" s="260"/>
      <c r="H480" s="260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J480" s="112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64"/>
    </row>
    <row r="481" spans="1:68" s="5" customFormat="1" ht="10.5" customHeight="1">
      <c r="A481" s="112"/>
      <c r="B481" s="137"/>
      <c r="C481" s="137"/>
      <c r="D481" s="260"/>
      <c r="E481" s="260"/>
      <c r="F481" s="260"/>
      <c r="G481" s="260"/>
      <c r="H481" s="260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J481" s="112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64"/>
    </row>
    <row r="482" spans="1:68" s="5" customFormat="1" ht="10.5" customHeight="1">
      <c r="A482" s="112"/>
      <c r="B482" s="137"/>
      <c r="C482" s="137"/>
      <c r="D482" s="260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J482" s="112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64"/>
    </row>
    <row r="483" spans="1:68" s="5" customFormat="1" ht="10.5" customHeight="1">
      <c r="A483" s="112"/>
      <c r="B483" s="137"/>
      <c r="C483" s="137"/>
      <c r="D483" s="260"/>
      <c r="E483" s="260"/>
      <c r="F483" s="260"/>
      <c r="G483" s="260"/>
      <c r="H483" s="260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J483" s="112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64"/>
    </row>
    <row r="484" spans="1:68" s="5" customFormat="1" ht="10.5" customHeight="1">
      <c r="A484" s="112"/>
      <c r="B484" s="137"/>
      <c r="C484" s="137"/>
      <c r="D484" s="260"/>
      <c r="E484" s="260"/>
      <c r="F484" s="260"/>
      <c r="G484" s="260"/>
      <c r="H484" s="260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J484" s="112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64"/>
    </row>
    <row r="485" spans="1:68" s="5" customFormat="1" ht="10.5" customHeight="1">
      <c r="A485" s="112"/>
      <c r="B485" s="137"/>
      <c r="C485" s="137"/>
      <c r="D485" s="26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J485" s="112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64"/>
    </row>
    <row r="486" spans="1:68" s="5" customFormat="1" ht="10.5" customHeight="1">
      <c r="A486" s="112"/>
      <c r="B486" s="137"/>
      <c r="C486" s="137"/>
      <c r="D486" s="260"/>
      <c r="E486" s="260"/>
      <c r="F486" s="260"/>
      <c r="G486" s="260"/>
      <c r="H486" s="260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J486" s="112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64"/>
    </row>
    <row r="487" spans="1:68" s="5" customFormat="1" ht="10.5" customHeight="1">
      <c r="A487" s="112"/>
      <c r="B487" s="137"/>
      <c r="C487" s="137"/>
      <c r="D487" s="260"/>
      <c r="E487" s="260"/>
      <c r="F487" s="260"/>
      <c r="G487" s="260"/>
      <c r="H487" s="260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J487" s="112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64"/>
    </row>
    <row r="488" spans="1:68" s="5" customFormat="1" ht="10.5" customHeight="1">
      <c r="A488" s="112"/>
      <c r="B488" s="137"/>
      <c r="C488" s="137"/>
      <c r="D488" s="260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J488" s="112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64"/>
    </row>
    <row r="489" spans="1:68" s="5" customFormat="1" ht="10.5" customHeight="1">
      <c r="A489" s="112"/>
      <c r="B489" s="137"/>
      <c r="C489" s="137"/>
      <c r="D489" s="260"/>
      <c r="E489" s="260"/>
      <c r="F489" s="260"/>
      <c r="G489" s="260"/>
      <c r="H489" s="260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J489" s="112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64"/>
    </row>
    <row r="490" spans="1:68" s="5" customFormat="1" ht="10.5" customHeight="1">
      <c r="A490" s="112"/>
      <c r="B490" s="137"/>
      <c r="C490" s="137"/>
      <c r="D490" s="260"/>
      <c r="E490" s="260"/>
      <c r="F490" s="260"/>
      <c r="G490" s="260"/>
      <c r="H490" s="260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J490" s="112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64"/>
    </row>
    <row r="491" spans="1:68" s="5" customFormat="1" ht="10.5" customHeight="1">
      <c r="A491" s="112"/>
      <c r="B491" s="137"/>
      <c r="C491" s="137"/>
      <c r="D491" s="260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J491" s="112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64"/>
    </row>
    <row r="492" spans="1:68" s="5" customFormat="1" ht="10.5" customHeight="1">
      <c r="A492" s="112"/>
      <c r="B492" s="137"/>
      <c r="C492" s="137"/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J492" s="112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64"/>
    </row>
    <row r="493" spans="1:68" s="5" customFormat="1" ht="10.5" customHeight="1">
      <c r="A493" s="112"/>
      <c r="B493" s="137"/>
      <c r="C493" s="137"/>
      <c r="D493" s="260"/>
      <c r="E493" s="260"/>
      <c r="F493" s="260"/>
      <c r="G493" s="260"/>
      <c r="H493" s="260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J493" s="112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64"/>
    </row>
    <row r="494" spans="1:68" s="5" customFormat="1" ht="10.5" customHeight="1">
      <c r="A494" s="112"/>
      <c r="B494" s="137"/>
      <c r="C494" s="137"/>
      <c r="D494" s="260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J494" s="112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64"/>
    </row>
    <row r="495" spans="1:68" s="5" customFormat="1" ht="10.5" customHeight="1">
      <c r="A495" s="112"/>
      <c r="B495" s="137"/>
      <c r="C495" s="137"/>
      <c r="D495" s="260"/>
      <c r="E495" s="260"/>
      <c r="F495" s="260"/>
      <c r="G495" s="260"/>
      <c r="H495" s="260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J495" s="112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64"/>
    </row>
    <row r="496" spans="1:68" s="5" customFormat="1" ht="10.5" customHeight="1">
      <c r="A496" s="112"/>
      <c r="B496" s="137"/>
      <c r="C496" s="137"/>
      <c r="D496" s="260"/>
      <c r="E496" s="260"/>
      <c r="F496" s="260"/>
      <c r="G496" s="260"/>
      <c r="H496" s="260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J496" s="112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64"/>
    </row>
    <row r="497" spans="1:68" s="5" customFormat="1" ht="10.5" customHeight="1">
      <c r="A497" s="112"/>
      <c r="B497" s="137"/>
      <c r="C497" s="137"/>
      <c r="D497" s="260"/>
      <c r="E497" s="260"/>
      <c r="F497" s="260"/>
      <c r="G497" s="260"/>
      <c r="H497" s="260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J497" s="112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64"/>
    </row>
    <row r="498" spans="1:68" s="5" customFormat="1" ht="10.5" customHeight="1">
      <c r="A498" s="112"/>
      <c r="B498" s="137"/>
      <c r="C498" s="137"/>
      <c r="D498" s="260"/>
      <c r="E498" s="260"/>
      <c r="F498" s="260"/>
      <c r="G498" s="260"/>
      <c r="H498" s="260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J498" s="112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64"/>
    </row>
    <row r="499" spans="1:68" s="5" customFormat="1" ht="10.5" customHeight="1">
      <c r="A499" s="112"/>
      <c r="B499" s="137"/>
      <c r="C499" s="137"/>
      <c r="D499" s="260"/>
      <c r="E499" s="260"/>
      <c r="F499" s="260"/>
      <c r="G499" s="260"/>
      <c r="H499" s="260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J499" s="112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64"/>
    </row>
    <row r="500" spans="1:68" s="5" customFormat="1" ht="10.5" customHeight="1">
      <c r="A500" s="112"/>
      <c r="B500" s="137"/>
      <c r="C500" s="137"/>
      <c r="D500" s="260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J500" s="112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64"/>
    </row>
    <row r="501" spans="1:68" s="5" customFormat="1" ht="10.5" customHeight="1">
      <c r="A501" s="112"/>
      <c r="B501" s="137"/>
      <c r="C501" s="137"/>
      <c r="D501" s="260"/>
      <c r="E501" s="260"/>
      <c r="F501" s="260"/>
      <c r="G501" s="260"/>
      <c r="H501" s="260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J501" s="112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64"/>
    </row>
    <row r="502" spans="1:68" s="5" customFormat="1" ht="10.5" customHeight="1">
      <c r="A502" s="112"/>
      <c r="B502" s="137"/>
      <c r="C502" s="137"/>
      <c r="D502" s="260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J502" s="112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64"/>
    </row>
    <row r="503" spans="1:68" s="5" customFormat="1" ht="10.5" customHeight="1">
      <c r="A503" s="112"/>
      <c r="B503" s="137"/>
      <c r="C503" s="137"/>
      <c r="D503" s="260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J503" s="112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64"/>
    </row>
    <row r="504" spans="1:68" s="5" customFormat="1" ht="10.5" customHeight="1">
      <c r="A504" s="112"/>
      <c r="B504" s="137"/>
      <c r="C504" s="137"/>
      <c r="D504" s="260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J504" s="112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64"/>
    </row>
    <row r="505" spans="1:68" s="5" customFormat="1" ht="10.5" customHeight="1">
      <c r="A505" s="112"/>
      <c r="B505" s="137"/>
      <c r="C505" s="137"/>
      <c r="D505" s="260"/>
      <c r="E505" s="260"/>
      <c r="F505" s="260"/>
      <c r="G505" s="260"/>
      <c r="H505" s="260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J505" s="112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64"/>
    </row>
    <row r="506" spans="1:68" s="5" customFormat="1" ht="10.5" customHeight="1">
      <c r="A506" s="112"/>
      <c r="B506" s="137"/>
      <c r="C506" s="137"/>
      <c r="D506" s="260"/>
      <c r="E506" s="260"/>
      <c r="F506" s="260"/>
      <c r="G506" s="260"/>
      <c r="H506" s="260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J506" s="112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64"/>
    </row>
    <row r="507" spans="1:68" s="5" customFormat="1" ht="10.5" customHeight="1">
      <c r="A507" s="112"/>
      <c r="B507" s="137"/>
      <c r="C507" s="137"/>
      <c r="D507" s="260"/>
      <c r="E507" s="260"/>
      <c r="F507" s="260"/>
      <c r="G507" s="260"/>
      <c r="H507" s="260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J507" s="112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64"/>
    </row>
    <row r="508" spans="1:68" s="5" customFormat="1" ht="10.5" customHeight="1">
      <c r="A508" s="112"/>
      <c r="B508" s="137"/>
      <c r="C508" s="137"/>
      <c r="D508" s="260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J508" s="112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64"/>
    </row>
    <row r="509" spans="1:68" s="5" customFormat="1" ht="10.5" customHeight="1">
      <c r="A509" s="112"/>
      <c r="B509" s="137"/>
      <c r="C509" s="137"/>
      <c r="D509" s="260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J509" s="112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64"/>
    </row>
    <row r="510" spans="1:68" s="5" customFormat="1" ht="10.5" customHeight="1">
      <c r="A510" s="112"/>
      <c r="B510" s="137"/>
      <c r="C510" s="137"/>
      <c r="D510" s="260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J510" s="112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64"/>
    </row>
    <row r="511" spans="1:68" s="5" customFormat="1" ht="10.5" customHeight="1">
      <c r="A511" s="112"/>
      <c r="B511" s="137"/>
      <c r="C511" s="137"/>
      <c r="D511" s="260"/>
      <c r="E511" s="260"/>
      <c r="F511" s="260"/>
      <c r="G511" s="260"/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J511" s="112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64"/>
    </row>
    <row r="512" spans="1:68" s="5" customFormat="1" ht="10.5" customHeight="1">
      <c r="A512" s="112"/>
      <c r="B512" s="137"/>
      <c r="C512" s="137"/>
      <c r="D512" s="260"/>
      <c r="E512" s="260"/>
      <c r="F512" s="260"/>
      <c r="G512" s="260"/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J512" s="112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64"/>
    </row>
    <row r="513" spans="1:68" s="5" customFormat="1" ht="10.5" customHeight="1">
      <c r="A513" s="112"/>
      <c r="B513" s="137"/>
      <c r="C513" s="137"/>
      <c r="D513" s="260"/>
      <c r="E513" s="260"/>
      <c r="F513" s="26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J513" s="112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64"/>
    </row>
    <row r="514" spans="1:68" s="5" customFormat="1" ht="10.5" customHeight="1">
      <c r="A514" s="112"/>
      <c r="B514" s="137"/>
      <c r="C514" s="137"/>
      <c r="D514" s="260"/>
      <c r="E514" s="260"/>
      <c r="F514" s="260"/>
      <c r="G514" s="260"/>
      <c r="H514" s="260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J514" s="112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64"/>
    </row>
    <row r="515" spans="1:68" s="5" customFormat="1" ht="10.5" customHeight="1">
      <c r="A515" s="112"/>
      <c r="B515" s="137"/>
      <c r="C515" s="137"/>
      <c r="D515" s="260"/>
      <c r="E515" s="260"/>
      <c r="F515" s="260"/>
      <c r="G515" s="260"/>
      <c r="H515" s="260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J515" s="112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64"/>
    </row>
    <row r="516" spans="1:68" s="5" customFormat="1" ht="10.5" customHeight="1">
      <c r="A516" s="112"/>
      <c r="B516" s="137"/>
      <c r="C516" s="137"/>
      <c r="D516" s="260"/>
      <c r="E516" s="260"/>
      <c r="F516" s="260"/>
      <c r="G516" s="260"/>
      <c r="H516" s="260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J516" s="112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64"/>
    </row>
    <row r="517" spans="1:68" s="5" customFormat="1" ht="10.5" customHeight="1">
      <c r="A517" s="112"/>
      <c r="B517" s="137"/>
      <c r="C517" s="137"/>
      <c r="D517" s="260"/>
      <c r="E517" s="260"/>
      <c r="F517" s="260"/>
      <c r="G517" s="260"/>
      <c r="H517" s="260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J517" s="112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64"/>
    </row>
    <row r="518" spans="1:68" s="5" customFormat="1" ht="10.5" customHeight="1">
      <c r="A518" s="112"/>
      <c r="B518" s="137"/>
      <c r="C518" s="137"/>
      <c r="D518" s="260"/>
      <c r="E518" s="260"/>
      <c r="F518" s="260"/>
      <c r="G518" s="260"/>
      <c r="H518" s="260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J518" s="112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64"/>
    </row>
    <row r="519" spans="1:68" s="5" customFormat="1" ht="10.5" customHeight="1">
      <c r="A519" s="112"/>
      <c r="B519" s="137"/>
      <c r="C519" s="137"/>
      <c r="D519" s="260"/>
      <c r="E519" s="260"/>
      <c r="F519" s="260"/>
      <c r="G519" s="260"/>
      <c r="H519" s="260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J519" s="112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64"/>
    </row>
    <row r="520" spans="1:68" s="5" customFormat="1" ht="10.5" customHeight="1">
      <c r="A520" s="112"/>
      <c r="B520" s="137"/>
      <c r="C520" s="137"/>
      <c r="D520" s="260"/>
      <c r="E520" s="260"/>
      <c r="F520" s="260"/>
      <c r="G520" s="260"/>
      <c r="H520" s="260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J520" s="112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64"/>
    </row>
    <row r="521" spans="1:68" s="5" customFormat="1" ht="10.5" customHeight="1">
      <c r="A521" s="112"/>
      <c r="B521" s="137"/>
      <c r="C521" s="137"/>
      <c r="D521" s="260"/>
      <c r="E521" s="26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J521" s="112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64"/>
    </row>
    <row r="522" spans="1:68" s="5" customFormat="1" ht="10.5" customHeight="1">
      <c r="A522" s="112"/>
      <c r="B522" s="137"/>
      <c r="C522" s="137"/>
      <c r="D522" s="260"/>
      <c r="E522" s="260"/>
      <c r="F522" s="260"/>
      <c r="G522" s="260"/>
      <c r="H522" s="260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J522" s="112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64"/>
    </row>
    <row r="523" spans="1:68" s="5" customFormat="1" ht="10.5" customHeight="1">
      <c r="A523" s="112"/>
      <c r="B523" s="137"/>
      <c r="C523" s="137"/>
      <c r="D523" s="260"/>
      <c r="E523" s="260"/>
      <c r="F523" s="260"/>
      <c r="G523" s="260"/>
      <c r="H523" s="260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J523" s="112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64"/>
    </row>
    <row r="524" spans="1:68" s="5" customFormat="1" ht="10.5" customHeight="1">
      <c r="A524" s="112"/>
      <c r="B524" s="137"/>
      <c r="C524" s="137"/>
      <c r="D524" s="260"/>
      <c r="E524" s="260"/>
      <c r="F524" s="260"/>
      <c r="G524" s="260"/>
      <c r="H524" s="260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J524" s="112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64"/>
    </row>
    <row r="525" spans="1:68" s="5" customFormat="1" ht="10.5" customHeight="1">
      <c r="A525" s="112"/>
      <c r="B525" s="137"/>
      <c r="C525" s="137"/>
      <c r="D525" s="260"/>
      <c r="E525" s="260"/>
      <c r="F525" s="260"/>
      <c r="G525" s="260"/>
      <c r="H525" s="260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J525" s="112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64"/>
    </row>
    <row r="526" spans="1:68" s="5" customFormat="1" ht="10.5" customHeight="1">
      <c r="A526" s="112"/>
      <c r="B526" s="137"/>
      <c r="C526" s="137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J526" s="112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64"/>
    </row>
    <row r="527" spans="1:68" s="5" customFormat="1" ht="10.5" customHeight="1">
      <c r="A527" s="112"/>
      <c r="B527" s="137"/>
      <c r="C527" s="137"/>
      <c r="D527" s="260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J527" s="112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64"/>
    </row>
    <row r="528" spans="1:68" s="5" customFormat="1" ht="10.5" customHeight="1">
      <c r="A528" s="112"/>
      <c r="B528" s="137"/>
      <c r="C528" s="137"/>
      <c r="D528" s="260"/>
      <c r="E528" s="260"/>
      <c r="F528" s="260"/>
      <c r="G528" s="260"/>
      <c r="H528" s="260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J528" s="112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64"/>
    </row>
    <row r="529" spans="1:68" s="5" customFormat="1" ht="10.5" customHeight="1">
      <c r="A529" s="112"/>
      <c r="B529" s="137"/>
      <c r="C529" s="137"/>
      <c r="D529" s="260"/>
      <c r="E529" s="260"/>
      <c r="F529" s="260"/>
      <c r="G529" s="260"/>
      <c r="H529" s="260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J529" s="112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64"/>
    </row>
    <row r="530" spans="1:68" s="5" customFormat="1" ht="10.5" customHeight="1">
      <c r="A530" s="112"/>
      <c r="B530" s="137"/>
      <c r="C530" s="137"/>
      <c r="D530" s="260"/>
      <c r="E530" s="260"/>
      <c r="F530" s="260"/>
      <c r="G530" s="260"/>
      <c r="H530" s="260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J530" s="112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64"/>
    </row>
    <row r="531" spans="1:68" s="5" customFormat="1" ht="10.5" customHeight="1">
      <c r="A531" s="112"/>
      <c r="B531" s="137"/>
      <c r="C531" s="137"/>
      <c r="D531" s="260"/>
      <c r="E531" s="260"/>
      <c r="F531" s="260"/>
      <c r="G531" s="260"/>
      <c r="H531" s="260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J531" s="112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64"/>
    </row>
    <row r="532" spans="1:68" s="5" customFormat="1" ht="10.5" customHeight="1">
      <c r="A532" s="112"/>
      <c r="B532" s="137"/>
      <c r="C532" s="137"/>
      <c r="D532" s="260"/>
      <c r="E532" s="260"/>
      <c r="F532" s="260"/>
      <c r="G532" s="260"/>
      <c r="H532" s="260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J532" s="112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64"/>
    </row>
    <row r="533" spans="1:68" s="5" customFormat="1" ht="10.5" customHeight="1">
      <c r="A533" s="112"/>
      <c r="B533" s="137"/>
      <c r="C533" s="137"/>
      <c r="D533" s="260"/>
      <c r="E533" s="260"/>
      <c r="F533" s="260"/>
      <c r="G533" s="260"/>
      <c r="H533" s="260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J533" s="112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64"/>
    </row>
    <row r="534" spans="1:68" s="5" customFormat="1" ht="10.5" customHeight="1">
      <c r="A534" s="112"/>
      <c r="B534" s="137"/>
      <c r="C534" s="137"/>
      <c r="D534" s="260"/>
      <c r="E534" s="260"/>
      <c r="F534" s="260"/>
      <c r="G534" s="260"/>
      <c r="H534" s="260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J534" s="112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64"/>
    </row>
    <row r="535" spans="1:68" s="5" customFormat="1" ht="10.5" customHeight="1">
      <c r="A535" s="112"/>
      <c r="B535" s="137"/>
      <c r="C535" s="137"/>
      <c r="D535" s="260"/>
      <c r="E535" s="260"/>
      <c r="F535" s="260"/>
      <c r="G535" s="260"/>
      <c r="H535" s="260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J535" s="112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64"/>
    </row>
    <row r="536" spans="1:68" s="5" customFormat="1" ht="10.5" customHeight="1">
      <c r="A536" s="112"/>
      <c r="B536" s="137"/>
      <c r="C536" s="137"/>
      <c r="D536" s="260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J536" s="112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64"/>
    </row>
    <row r="537" spans="1:68" s="5" customFormat="1" ht="10.5" customHeight="1">
      <c r="A537" s="112"/>
      <c r="B537" s="137"/>
      <c r="C537" s="137"/>
      <c r="D537" s="260"/>
      <c r="E537" s="260"/>
      <c r="F537" s="260"/>
      <c r="G537" s="260"/>
      <c r="H537" s="260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J537" s="112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/>
      <c r="BP537" s="64"/>
    </row>
    <row r="538" spans="1:68" s="5" customFormat="1" ht="10.5" customHeight="1">
      <c r="A538" s="112"/>
      <c r="B538" s="137"/>
      <c r="C538" s="137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J538" s="112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64"/>
    </row>
    <row r="539" spans="1:68" s="5" customFormat="1" ht="10.5" customHeight="1">
      <c r="A539" s="112"/>
      <c r="B539" s="137"/>
      <c r="C539" s="137"/>
      <c r="D539" s="260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J539" s="112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64"/>
    </row>
    <row r="540" spans="1:68" s="5" customFormat="1" ht="10.5" customHeight="1">
      <c r="A540" s="112"/>
      <c r="B540" s="137"/>
      <c r="C540" s="137"/>
      <c r="D540" s="260"/>
      <c r="E540" s="260"/>
      <c r="F540" s="260"/>
      <c r="G540" s="260"/>
      <c r="H540" s="260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J540" s="112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64"/>
    </row>
    <row r="541" spans="1:68" s="5" customFormat="1" ht="10.5" customHeight="1">
      <c r="A541" s="112"/>
      <c r="B541" s="137"/>
      <c r="C541" s="137"/>
      <c r="D541" s="260"/>
      <c r="E541" s="260"/>
      <c r="F541" s="260"/>
      <c r="G541" s="260"/>
      <c r="H541" s="260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J541" s="112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64"/>
    </row>
    <row r="542" spans="1:68" s="5" customFormat="1" ht="10.5" customHeight="1">
      <c r="A542" s="112"/>
      <c r="B542" s="137"/>
      <c r="C542" s="137"/>
      <c r="D542" s="260"/>
      <c r="E542" s="260"/>
      <c r="F542" s="260"/>
      <c r="G542" s="260"/>
      <c r="H542" s="260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J542" s="112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64"/>
    </row>
    <row r="543" spans="1:68" s="5" customFormat="1" ht="10.5" customHeight="1">
      <c r="A543" s="112"/>
      <c r="B543" s="137"/>
      <c r="C543" s="137"/>
      <c r="D543" s="260"/>
      <c r="E543" s="260"/>
      <c r="F543" s="260"/>
      <c r="G543" s="260"/>
      <c r="H543" s="260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J543" s="112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64"/>
    </row>
    <row r="544" spans="1:68" s="5" customFormat="1" ht="10.5" customHeight="1">
      <c r="A544" s="112"/>
      <c r="B544" s="137"/>
      <c r="C544" s="137"/>
      <c r="D544" s="260"/>
      <c r="E544" s="260"/>
      <c r="F544" s="260"/>
      <c r="G544" s="260"/>
      <c r="H544" s="260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J544" s="112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64"/>
    </row>
    <row r="545" spans="1:68" s="5" customFormat="1" ht="10.5" customHeight="1">
      <c r="A545" s="112"/>
      <c r="B545" s="137"/>
      <c r="C545" s="137"/>
      <c r="D545" s="260"/>
      <c r="E545" s="260"/>
      <c r="F545" s="260"/>
      <c r="G545" s="260"/>
      <c r="H545" s="260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J545" s="112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64"/>
    </row>
    <row r="546" spans="1:68" s="5" customFormat="1" ht="10.5" customHeight="1">
      <c r="A546" s="112"/>
      <c r="B546" s="137"/>
      <c r="C546" s="137"/>
      <c r="D546" s="260"/>
      <c r="E546" s="260"/>
      <c r="F546" s="260"/>
      <c r="G546" s="260"/>
      <c r="H546" s="260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J546" s="112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64"/>
    </row>
    <row r="547" spans="1:68" s="5" customFormat="1" ht="10.5" customHeight="1">
      <c r="A547" s="112"/>
      <c r="B547" s="137"/>
      <c r="C547" s="137"/>
      <c r="D547" s="260"/>
      <c r="E547" s="260"/>
      <c r="F547" s="260"/>
      <c r="G547" s="260"/>
      <c r="H547" s="260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J547" s="112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64"/>
    </row>
    <row r="548" spans="1:68" s="5" customFormat="1" ht="10.5" customHeight="1">
      <c r="A548" s="112"/>
      <c r="B548" s="137"/>
      <c r="C548" s="137"/>
      <c r="D548" s="260"/>
      <c r="E548" s="260"/>
      <c r="F548" s="260"/>
      <c r="G548" s="260"/>
      <c r="H548" s="260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J548" s="112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  <c r="BM548" s="137"/>
      <c r="BN548" s="137"/>
      <c r="BO548" s="137"/>
      <c r="BP548" s="64"/>
    </row>
    <row r="549" spans="1:67" ht="10.5" customHeight="1">
      <c r="A549" s="138"/>
      <c r="B549" s="113"/>
      <c r="C549" s="113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  <c r="P549" s="251"/>
      <c r="Q549" s="251"/>
      <c r="R549" s="251"/>
      <c r="S549" s="251"/>
      <c r="T549" s="251"/>
      <c r="U549" s="251"/>
      <c r="V549" s="251"/>
      <c r="W549" s="251"/>
      <c r="X549" s="251"/>
      <c r="Y549" s="251"/>
      <c r="Z549" s="251"/>
      <c r="AA549" s="251"/>
      <c r="AB549" s="251"/>
      <c r="AC549" s="251"/>
      <c r="AD549" s="251"/>
      <c r="AE549" s="251"/>
      <c r="AJ549" s="138"/>
      <c r="AK549" s="113"/>
      <c r="AL549" s="113"/>
      <c r="AM549" s="113"/>
      <c r="AN549" s="113"/>
      <c r="AO549" s="113"/>
      <c r="AP549" s="113"/>
      <c r="AQ549" s="113"/>
      <c r="AR549" s="113"/>
      <c r="AS549" s="113"/>
      <c r="AT549" s="113"/>
      <c r="AU549" s="113"/>
      <c r="AV549" s="113"/>
      <c r="AW549" s="113"/>
      <c r="AX549" s="113"/>
      <c r="AY549" s="113"/>
      <c r="AZ549" s="113"/>
      <c r="BA549" s="113"/>
      <c r="BB549" s="113"/>
      <c r="BC549" s="113"/>
      <c r="BD549" s="113"/>
      <c r="BE549" s="113"/>
      <c r="BF549" s="113"/>
      <c r="BG549" s="113"/>
      <c r="BH549" s="113"/>
      <c r="BI549" s="113"/>
      <c r="BJ549" s="113"/>
      <c r="BK549" s="113"/>
      <c r="BL549" s="113"/>
      <c r="BM549" s="113"/>
      <c r="BN549" s="113"/>
      <c r="BO549" s="113"/>
    </row>
  </sheetData>
  <sheetProtection/>
  <mergeCells count="26">
    <mergeCell ref="AJ112:AK112"/>
    <mergeCell ref="AJ129:AK129"/>
    <mergeCell ref="AK136:AK138"/>
    <mergeCell ref="AJ54:AK54"/>
    <mergeCell ref="AJ65:AK65"/>
    <mergeCell ref="AJ77:AK77"/>
    <mergeCell ref="AJ88:AK88"/>
    <mergeCell ref="AJ101:AK101"/>
    <mergeCell ref="AJ6:AK6"/>
    <mergeCell ref="AJ7:AK7"/>
    <mergeCell ref="AJ18:AK18"/>
    <mergeCell ref="AJ30:AK30"/>
    <mergeCell ref="AJ42:AK42"/>
    <mergeCell ref="A129:B129"/>
    <mergeCell ref="B136:B138"/>
    <mergeCell ref="A65:B65"/>
    <mergeCell ref="A77:B77"/>
    <mergeCell ref="A88:B88"/>
    <mergeCell ref="A101:B101"/>
    <mergeCell ref="A112:B112"/>
    <mergeCell ref="A6:B6"/>
    <mergeCell ref="A18:B18"/>
    <mergeCell ref="A30:B30"/>
    <mergeCell ref="A42:B42"/>
    <mergeCell ref="A54:B54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5"/>
  <sheetViews>
    <sheetView zoomScale="86" zoomScaleNormal="86" zoomScalePageLayoutView="0" workbookViewId="0" topLeftCell="A1">
      <selection activeCell="L2" sqref="L2"/>
    </sheetView>
  </sheetViews>
  <sheetFormatPr defaultColWidth="9.140625" defaultRowHeight="15" customHeight="1"/>
  <cols>
    <col min="1" max="1" width="4.7109375" style="15" customWidth="1"/>
    <col min="2" max="2" width="7.7109375" style="18" customWidth="1"/>
    <col min="3" max="3" width="32.421875" style="15" customWidth="1"/>
    <col min="4" max="4" width="9.28125" style="38" customWidth="1"/>
    <col min="5" max="5" width="8.8515625" style="21" customWidth="1"/>
    <col min="6" max="6" width="9.00390625" style="21" customWidth="1"/>
    <col min="7" max="7" width="9.7109375" style="21" customWidth="1"/>
    <col min="8" max="8" width="10.00390625" style="13" customWidth="1"/>
    <col min="9" max="11" width="7.28125" style="13" customWidth="1"/>
    <col min="12" max="12" width="9.28125" style="13" customWidth="1"/>
    <col min="13" max="13" width="9.421875" style="13" customWidth="1"/>
    <col min="14" max="14" width="11.00390625" style="13" customWidth="1"/>
    <col min="15" max="15" width="11.140625" style="13" customWidth="1"/>
    <col min="16" max="17" width="10.7109375" style="13" customWidth="1"/>
    <col min="18" max="18" width="9.8515625" style="13" customWidth="1"/>
    <col min="19" max="19" width="9.140625" style="0" customWidth="1"/>
    <col min="20" max="20" width="2.8515625" style="0" customWidth="1"/>
    <col min="21" max="21" width="9.140625" style="0" hidden="1" customWidth="1"/>
    <col min="22" max="22" width="4.7109375" style="15" hidden="1" customWidth="1"/>
    <col min="23" max="23" width="7.7109375" style="18" hidden="1" customWidth="1"/>
    <col min="24" max="24" width="42.00390625" style="15" hidden="1" customWidth="1"/>
    <col min="25" max="25" width="8.8515625" style="38" hidden="1" customWidth="1"/>
    <col min="26" max="26" width="8.8515625" style="75" hidden="1" customWidth="1"/>
    <col min="27" max="27" width="9.00390625" style="75" hidden="1" customWidth="1"/>
    <col min="28" max="28" width="9.7109375" style="75" hidden="1" customWidth="1"/>
    <col min="29" max="29" width="10.00390625" style="69" hidden="1" customWidth="1"/>
    <col min="30" max="32" width="7.28125" style="69" hidden="1" customWidth="1"/>
    <col min="33" max="33" width="9.28125" style="69" hidden="1" customWidth="1"/>
    <col min="34" max="34" width="9.421875" style="69" hidden="1" customWidth="1"/>
    <col min="35" max="35" width="11.00390625" style="69" hidden="1" customWidth="1"/>
    <col min="36" max="36" width="11.140625" style="69" hidden="1" customWidth="1"/>
    <col min="37" max="38" width="10.7109375" style="69" hidden="1" customWidth="1"/>
    <col min="39" max="39" width="9.8515625" style="69" hidden="1" customWidth="1"/>
    <col min="40" max="40" width="0" style="59" hidden="1" customWidth="1"/>
    <col min="41" max="47" width="0" style="0" hidden="1" customWidth="1"/>
  </cols>
  <sheetData>
    <row r="1" spans="1:40" s="157" customFormat="1" ht="15.75" customHeight="1">
      <c r="A1" s="148"/>
      <c r="B1" s="308" t="s">
        <v>177</v>
      </c>
      <c r="C1" s="150"/>
      <c r="D1" s="150"/>
      <c r="E1" s="150"/>
      <c r="F1" s="150"/>
      <c r="G1" s="151"/>
      <c r="H1" s="150"/>
      <c r="I1" s="150"/>
      <c r="J1" s="150"/>
      <c r="K1" s="150"/>
      <c r="L1" s="150"/>
      <c r="M1" s="152"/>
      <c r="N1" s="153"/>
      <c r="O1" s="153"/>
      <c r="P1" s="153"/>
      <c r="Q1" s="153"/>
      <c r="R1" s="154"/>
      <c r="S1" s="155"/>
      <c r="T1" s="156"/>
      <c r="U1" s="156"/>
      <c r="V1" s="148"/>
      <c r="W1" s="149" t="s">
        <v>172</v>
      </c>
      <c r="X1" s="150"/>
      <c r="Y1" s="150"/>
      <c r="Z1" s="150"/>
      <c r="AA1" s="150"/>
      <c r="AB1" s="151"/>
      <c r="AC1" s="150"/>
      <c r="AD1" s="150"/>
      <c r="AE1" s="150"/>
      <c r="AF1" s="150"/>
      <c r="AG1" s="150"/>
      <c r="AH1" s="152"/>
      <c r="AI1" s="153"/>
      <c r="AJ1" s="153"/>
      <c r="AK1" s="153"/>
      <c r="AL1" s="153"/>
      <c r="AM1" s="154"/>
      <c r="AN1" s="155"/>
    </row>
    <row r="2" spans="1:40" s="166" customFormat="1" ht="15.75" customHeight="1">
      <c r="A2" s="158"/>
      <c r="B2" s="309" t="s">
        <v>178</v>
      </c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2"/>
      <c r="N2" s="163"/>
      <c r="O2" s="163"/>
      <c r="P2" s="163"/>
      <c r="Q2" s="163"/>
      <c r="R2" s="164"/>
      <c r="S2" s="165"/>
      <c r="T2" s="147"/>
      <c r="U2" s="147"/>
      <c r="V2" s="158"/>
      <c r="W2" s="159"/>
      <c r="X2" s="160"/>
      <c r="Y2" s="160"/>
      <c r="Z2" s="160"/>
      <c r="AA2" s="160"/>
      <c r="AB2" s="161"/>
      <c r="AC2" s="160"/>
      <c r="AD2" s="160"/>
      <c r="AE2" s="160"/>
      <c r="AF2" s="160"/>
      <c r="AG2" s="160"/>
      <c r="AH2" s="162"/>
      <c r="AI2" s="163"/>
      <c r="AJ2" s="163"/>
      <c r="AK2" s="163"/>
      <c r="AL2" s="163"/>
      <c r="AM2" s="164"/>
      <c r="AN2" s="165"/>
    </row>
    <row r="3" spans="1:40" s="168" customFormat="1" ht="15.75" customHeight="1">
      <c r="A3" s="167"/>
      <c r="B3" s="168" t="s">
        <v>130</v>
      </c>
      <c r="G3" s="169"/>
      <c r="M3" s="170"/>
      <c r="N3" s="171"/>
      <c r="O3" s="171"/>
      <c r="P3" s="171"/>
      <c r="Q3" s="171"/>
      <c r="R3" s="172"/>
      <c r="S3" s="170"/>
      <c r="T3" s="173"/>
      <c r="U3" s="173"/>
      <c r="V3" s="167"/>
      <c r="W3" s="168" t="s">
        <v>130</v>
      </c>
      <c r="AB3" s="169"/>
      <c r="AH3" s="170"/>
      <c r="AI3" s="171"/>
      <c r="AJ3" s="171"/>
      <c r="AK3" s="171"/>
      <c r="AL3" s="171"/>
      <c r="AM3" s="172"/>
      <c r="AN3" s="170"/>
    </row>
    <row r="4" spans="1:39" ht="15" customHeight="1">
      <c r="A4" s="9"/>
      <c r="B4" s="10"/>
      <c r="C4" s="10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V4" s="9"/>
      <c r="W4" s="10"/>
      <c r="X4" s="10"/>
      <c r="Y4" s="3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40" ht="15" customHeight="1">
      <c r="A5" s="280"/>
      <c r="B5" s="287" t="s">
        <v>70</v>
      </c>
      <c r="C5" s="285" t="s">
        <v>71</v>
      </c>
      <c r="D5" s="282" t="s">
        <v>72</v>
      </c>
      <c r="E5" s="276" t="s">
        <v>73</v>
      </c>
      <c r="F5" s="284"/>
      <c r="G5" s="277"/>
      <c r="H5" s="285" t="s">
        <v>74</v>
      </c>
      <c r="I5" s="276" t="s">
        <v>75</v>
      </c>
      <c r="J5" s="284"/>
      <c r="K5" s="284"/>
      <c r="L5" s="284"/>
      <c r="M5" s="277"/>
      <c r="N5" s="276" t="s">
        <v>76</v>
      </c>
      <c r="O5" s="284"/>
      <c r="P5" s="284"/>
      <c r="Q5" s="284"/>
      <c r="R5" s="277"/>
      <c r="S5" s="199"/>
      <c r="V5" s="289"/>
      <c r="W5" s="291" t="s">
        <v>70</v>
      </c>
      <c r="X5" s="293" t="s">
        <v>71</v>
      </c>
      <c r="Y5" s="295" t="s">
        <v>72</v>
      </c>
      <c r="Z5" s="297" t="s">
        <v>73</v>
      </c>
      <c r="AA5" s="298"/>
      <c r="AB5" s="299"/>
      <c r="AC5" s="293" t="s">
        <v>74</v>
      </c>
      <c r="AD5" s="297" t="s">
        <v>75</v>
      </c>
      <c r="AE5" s="298"/>
      <c r="AF5" s="298"/>
      <c r="AG5" s="298"/>
      <c r="AH5" s="299"/>
      <c r="AI5" s="297" t="s">
        <v>76</v>
      </c>
      <c r="AJ5" s="298"/>
      <c r="AK5" s="298"/>
      <c r="AL5" s="298"/>
      <c r="AM5" s="299"/>
      <c r="AN5" s="139"/>
    </row>
    <row r="6" spans="1:40" ht="30" customHeight="1">
      <c r="A6" s="281"/>
      <c r="B6" s="288"/>
      <c r="C6" s="286"/>
      <c r="D6" s="283"/>
      <c r="E6" s="200" t="s">
        <v>77</v>
      </c>
      <c r="F6" s="200" t="s">
        <v>78</v>
      </c>
      <c r="G6" s="200" t="s">
        <v>79</v>
      </c>
      <c r="H6" s="286"/>
      <c r="I6" s="200" t="s">
        <v>80</v>
      </c>
      <c r="J6" s="200" t="s">
        <v>81</v>
      </c>
      <c r="K6" s="200" t="s">
        <v>82</v>
      </c>
      <c r="L6" s="200" t="s">
        <v>83</v>
      </c>
      <c r="M6" s="200" t="s">
        <v>84</v>
      </c>
      <c r="N6" s="200" t="s">
        <v>85</v>
      </c>
      <c r="O6" s="200" t="s">
        <v>86</v>
      </c>
      <c r="P6" s="200" t="s">
        <v>87</v>
      </c>
      <c r="Q6" s="200" t="s">
        <v>88</v>
      </c>
      <c r="R6" s="201" t="s">
        <v>114</v>
      </c>
      <c r="S6" s="200" t="s">
        <v>115</v>
      </c>
      <c r="V6" s="290"/>
      <c r="W6" s="292"/>
      <c r="X6" s="294"/>
      <c r="Y6" s="296"/>
      <c r="Z6" s="23" t="s">
        <v>77</v>
      </c>
      <c r="AA6" s="23" t="s">
        <v>78</v>
      </c>
      <c r="AB6" s="23" t="s">
        <v>79</v>
      </c>
      <c r="AC6" s="294"/>
      <c r="AD6" s="23" t="s">
        <v>80</v>
      </c>
      <c r="AE6" s="23" t="s">
        <v>81</v>
      </c>
      <c r="AF6" s="23" t="s">
        <v>82</v>
      </c>
      <c r="AG6" s="23" t="s">
        <v>83</v>
      </c>
      <c r="AH6" s="23" t="s">
        <v>84</v>
      </c>
      <c r="AI6" s="23" t="s">
        <v>85</v>
      </c>
      <c r="AJ6" s="23" t="s">
        <v>86</v>
      </c>
      <c r="AK6" s="23" t="s">
        <v>87</v>
      </c>
      <c r="AL6" s="23" t="s">
        <v>88</v>
      </c>
      <c r="AM6" s="41" t="s">
        <v>114</v>
      </c>
      <c r="AN6" s="23" t="s">
        <v>115</v>
      </c>
    </row>
    <row r="7" spans="1:40" ht="15" customHeight="1">
      <c r="A7" s="12"/>
      <c r="B7" s="278" t="s">
        <v>129</v>
      </c>
      <c r="C7" s="279"/>
      <c r="D7" s="20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99"/>
      <c r="V7" s="11"/>
      <c r="W7" s="300" t="s">
        <v>129</v>
      </c>
      <c r="X7" s="301"/>
      <c r="Y7" s="53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57"/>
    </row>
    <row r="8" spans="1:40" ht="15" customHeight="1">
      <c r="A8" s="12"/>
      <c r="B8" s="106">
        <v>88</v>
      </c>
      <c r="C8" s="106" t="s">
        <v>66</v>
      </c>
      <c r="D8" s="225">
        <f>'Сырьё лето'!C8</f>
        <v>250</v>
      </c>
      <c r="E8" s="69">
        <v>1.77</v>
      </c>
      <c r="F8" s="69">
        <v>14.95</v>
      </c>
      <c r="G8" s="69">
        <v>7.9</v>
      </c>
      <c r="H8" s="79">
        <f>E8*4+F8*9+G8*4</f>
        <v>173.23</v>
      </c>
      <c r="I8" s="69">
        <v>0.06</v>
      </c>
      <c r="J8" s="69">
        <v>0.05</v>
      </c>
      <c r="K8" s="69">
        <v>15.78</v>
      </c>
      <c r="L8" s="69">
        <v>0</v>
      </c>
      <c r="M8" s="69">
        <v>0.5</v>
      </c>
      <c r="N8" s="69">
        <v>49.25</v>
      </c>
      <c r="O8" s="69">
        <v>49</v>
      </c>
      <c r="P8" s="69">
        <v>22.13</v>
      </c>
      <c r="Q8" s="24">
        <v>0.83</v>
      </c>
      <c r="R8" s="69">
        <v>0.56</v>
      </c>
      <c r="S8" s="203">
        <v>0.01</v>
      </c>
      <c r="V8" s="12"/>
      <c r="W8" s="60">
        <v>88</v>
      </c>
      <c r="X8" s="60" t="s">
        <v>66</v>
      </c>
      <c r="Y8" s="87">
        <f>'Сырьё лето'!X8</f>
        <v>0</v>
      </c>
      <c r="Z8" s="69">
        <v>1.77</v>
      </c>
      <c r="AA8" s="69">
        <v>4.95</v>
      </c>
      <c r="AB8" s="69">
        <v>7.9</v>
      </c>
      <c r="AC8" s="79">
        <f>Z8*4+AA8*9+AB8*4</f>
        <v>83.23</v>
      </c>
      <c r="AD8" s="69">
        <v>0.06</v>
      </c>
      <c r="AE8" s="69">
        <v>0.05</v>
      </c>
      <c r="AF8" s="69">
        <v>15.78</v>
      </c>
      <c r="AG8" s="69">
        <v>0</v>
      </c>
      <c r="AH8" s="69">
        <v>0.5</v>
      </c>
      <c r="AI8" s="69">
        <v>49.25</v>
      </c>
      <c r="AJ8" s="69">
        <v>49</v>
      </c>
      <c r="AK8" s="69">
        <v>22.13</v>
      </c>
      <c r="AL8" s="24">
        <v>0.83</v>
      </c>
      <c r="AM8" s="69">
        <v>0.56</v>
      </c>
      <c r="AN8" s="93">
        <v>0.01</v>
      </c>
    </row>
    <row r="9" spans="1:40" ht="15" customHeight="1">
      <c r="A9" s="178"/>
      <c r="B9" s="106">
        <v>260</v>
      </c>
      <c r="C9" s="106" t="s">
        <v>109</v>
      </c>
      <c r="D9" s="225">
        <f>'Сырьё лето'!C9</f>
        <v>100</v>
      </c>
      <c r="E9" s="79">
        <f>Z9*'Сырьё лето'!$AI$9</f>
        <v>14.55</v>
      </c>
      <c r="F9" s="79">
        <f>AA9*'Сырьё лето'!$AI$9</f>
        <v>16.7875</v>
      </c>
      <c r="G9" s="79">
        <v>12.88</v>
      </c>
      <c r="H9" s="79">
        <f>E9*4+F9*9+G9*4</f>
        <v>260.8075</v>
      </c>
      <c r="I9" s="79">
        <f>AD9*'Сырьё лето'!$AI$9</f>
        <v>0.03</v>
      </c>
      <c r="J9" s="79">
        <f>AE9*'Сырьё лето'!$AI$9</f>
        <v>0.1</v>
      </c>
      <c r="K9" s="79">
        <f>AF9*'Сырьё лето'!$AI$9</f>
        <v>0.9125</v>
      </c>
      <c r="L9" s="79">
        <f>AG9*'Сырьё лето'!$AI$9</f>
        <v>0</v>
      </c>
      <c r="M9" s="79">
        <f>AH9*'Сырьё лето'!$AI$9</f>
        <v>0.375</v>
      </c>
      <c r="N9" s="79">
        <f>AI9*'Сырьё лето'!$AI$9</f>
        <v>21.8</v>
      </c>
      <c r="O9" s="79">
        <f>AJ9*'Сырьё лето'!$AI$9</f>
        <v>154.14999999999998</v>
      </c>
      <c r="P9" s="79">
        <f>AK9*'Сырьё лето'!$AI$9</f>
        <v>22</v>
      </c>
      <c r="Q9" s="79">
        <f>AL9*'Сырьё лето'!$AI$9</f>
        <v>3.05</v>
      </c>
      <c r="R9" s="79">
        <f>AM9*'Сырьё лето'!$AI$9</f>
        <v>4.074999999999999</v>
      </c>
      <c r="S9" s="79">
        <v>0</v>
      </c>
      <c r="V9" s="14"/>
      <c r="W9" s="60">
        <v>260</v>
      </c>
      <c r="X9" s="60" t="s">
        <v>109</v>
      </c>
      <c r="Y9" s="87">
        <f>'Сырьё лето'!X9</f>
        <v>4.5</v>
      </c>
      <c r="Z9" s="79">
        <v>11.64</v>
      </c>
      <c r="AA9" s="79">
        <v>13.43</v>
      </c>
      <c r="AB9" s="79">
        <v>2.3</v>
      </c>
      <c r="AC9" s="79">
        <f>Z9*4+AA9*9+AB9*4</f>
        <v>176.63</v>
      </c>
      <c r="AD9" s="79">
        <v>0.024</v>
      </c>
      <c r="AE9" s="79">
        <v>0.08</v>
      </c>
      <c r="AF9" s="79">
        <v>0.73</v>
      </c>
      <c r="AG9" s="79">
        <v>0</v>
      </c>
      <c r="AH9" s="69">
        <v>0.3</v>
      </c>
      <c r="AI9" s="79">
        <v>17.44</v>
      </c>
      <c r="AJ9" s="79">
        <v>123.32</v>
      </c>
      <c r="AK9" s="79">
        <v>17.6</v>
      </c>
      <c r="AL9" s="80">
        <v>2.44</v>
      </c>
      <c r="AM9" s="79">
        <v>3.26</v>
      </c>
      <c r="AN9" s="93">
        <v>0.03</v>
      </c>
    </row>
    <row r="10" spans="1:40" s="29" customFormat="1" ht="15" customHeight="1">
      <c r="A10" s="73"/>
      <c r="B10" s="204"/>
      <c r="C10" s="106" t="s">
        <v>158</v>
      </c>
      <c r="D10" s="225">
        <f>'Сырьё лето'!C10</f>
        <v>180</v>
      </c>
      <c r="E10" s="79">
        <f>Z10*'Сырьё лето'!AI10</f>
        <v>3.84</v>
      </c>
      <c r="F10" s="69">
        <v>5.2</v>
      </c>
      <c r="G10" s="69">
        <v>20.8</v>
      </c>
      <c r="H10" s="79">
        <f>E10*4+F10*9+G10*4</f>
        <v>145.36</v>
      </c>
      <c r="I10" s="69">
        <v>0.06</v>
      </c>
      <c r="J10" s="69">
        <v>0.02</v>
      </c>
      <c r="K10" s="69">
        <v>0</v>
      </c>
      <c r="L10" s="69">
        <v>0</v>
      </c>
      <c r="M10" s="69">
        <f>0.68*0.46</f>
        <v>0.3128</v>
      </c>
      <c r="N10" s="69">
        <v>26.82</v>
      </c>
      <c r="O10" s="69">
        <v>111.2</v>
      </c>
      <c r="P10" s="69">
        <v>15.99</v>
      </c>
      <c r="Q10" s="69">
        <v>0.58</v>
      </c>
      <c r="R10" s="69">
        <v>0</v>
      </c>
      <c r="S10" s="203">
        <v>0</v>
      </c>
      <c r="V10" s="70"/>
      <c r="W10" s="61"/>
      <c r="X10" s="60" t="s">
        <v>158</v>
      </c>
      <c r="Y10" s="87">
        <f>'Сырьё лето'!X10</f>
        <v>0</v>
      </c>
      <c r="Z10" s="71">
        <v>3.2</v>
      </c>
      <c r="AA10" s="71">
        <v>5.2</v>
      </c>
      <c r="AB10" s="71">
        <v>20.8</v>
      </c>
      <c r="AC10" s="79">
        <f>Z10*4+AA10*9+AB10*4</f>
        <v>142.8</v>
      </c>
      <c r="AD10" s="71">
        <v>0.06</v>
      </c>
      <c r="AE10" s="71">
        <v>0.02</v>
      </c>
      <c r="AF10" s="71">
        <v>0</v>
      </c>
      <c r="AG10" s="71">
        <v>0</v>
      </c>
      <c r="AH10" s="69">
        <f>0.68*0.46</f>
        <v>0.3128</v>
      </c>
      <c r="AI10" s="71">
        <v>26.82</v>
      </c>
      <c r="AJ10" s="71">
        <v>111.2</v>
      </c>
      <c r="AK10" s="71">
        <v>15.99</v>
      </c>
      <c r="AL10" s="71">
        <v>0.58</v>
      </c>
      <c r="AM10" s="71">
        <v>0</v>
      </c>
      <c r="AN10" s="93">
        <v>0</v>
      </c>
    </row>
    <row r="11" spans="1:40" s="84" customFormat="1" ht="15" customHeight="1">
      <c r="A11" s="73"/>
      <c r="B11" s="195">
        <v>392</v>
      </c>
      <c r="C11" s="106" t="s">
        <v>124</v>
      </c>
      <c r="D11" s="225">
        <f>'Сырьё лето'!C11</f>
        <v>200</v>
      </c>
      <c r="E11" s="73">
        <v>1.1</v>
      </c>
      <c r="F11" s="73">
        <v>0.9</v>
      </c>
      <c r="G11" s="73">
        <v>12.56</v>
      </c>
      <c r="H11" s="73">
        <f>E11*4+F11*9+G11*4</f>
        <v>62.74</v>
      </c>
      <c r="I11" s="73">
        <v>0</v>
      </c>
      <c r="J11" s="73">
        <v>0</v>
      </c>
      <c r="K11" s="73">
        <v>0.03</v>
      </c>
      <c r="L11" s="73">
        <v>0</v>
      </c>
      <c r="M11" s="83">
        <v>0</v>
      </c>
      <c r="N11" s="73">
        <v>11.1</v>
      </c>
      <c r="O11" s="73">
        <v>22.8</v>
      </c>
      <c r="P11" s="73">
        <v>1.4</v>
      </c>
      <c r="Q11" s="81">
        <v>0.28</v>
      </c>
      <c r="R11" s="73">
        <v>0</v>
      </c>
      <c r="S11" s="106">
        <v>0</v>
      </c>
      <c r="V11" s="70"/>
      <c r="W11" s="78">
        <v>392</v>
      </c>
      <c r="X11" s="60" t="s">
        <v>124</v>
      </c>
      <c r="Y11" s="87">
        <f>'Сырьё лето'!X11</f>
        <v>0</v>
      </c>
      <c r="Z11" s="73">
        <v>1.1</v>
      </c>
      <c r="AA11" s="73">
        <v>0.9</v>
      </c>
      <c r="AB11" s="73">
        <v>12.56</v>
      </c>
      <c r="AC11" s="73">
        <f>Z11*4+AA11*9+AB11*4</f>
        <v>62.74</v>
      </c>
      <c r="AD11" s="73">
        <v>0</v>
      </c>
      <c r="AE11" s="73">
        <v>0</v>
      </c>
      <c r="AF11" s="73">
        <v>0.03</v>
      </c>
      <c r="AG11" s="73">
        <v>0</v>
      </c>
      <c r="AH11" s="83">
        <v>0</v>
      </c>
      <c r="AI11" s="73">
        <v>11.1</v>
      </c>
      <c r="AJ11" s="73">
        <v>2.8</v>
      </c>
      <c r="AK11" s="73">
        <v>1.4</v>
      </c>
      <c r="AL11" s="81">
        <v>0.28</v>
      </c>
      <c r="AM11" s="73">
        <v>0</v>
      </c>
      <c r="AN11" s="95">
        <v>0</v>
      </c>
    </row>
    <row r="12" spans="1:40" ht="15" customHeight="1">
      <c r="A12" s="73"/>
      <c r="B12" s="106"/>
      <c r="C12" s="106" t="s">
        <v>53</v>
      </c>
      <c r="D12" s="225">
        <f>'Сырьё лето'!C12</f>
        <v>70</v>
      </c>
      <c r="E12" s="79">
        <f>Z12*'Сырьё лето'!AI12</f>
        <v>4.6979999999999995</v>
      </c>
      <c r="F12" s="69">
        <f>0.34*60/40</f>
        <v>0.51</v>
      </c>
      <c r="G12" s="69">
        <v>30.06</v>
      </c>
      <c r="H12" s="79">
        <f>E12*4+F12*9+G12*4</f>
        <v>143.62199999999999</v>
      </c>
      <c r="I12" s="69">
        <f>0.11*0.6</f>
        <v>0.066</v>
      </c>
      <c r="J12" s="69">
        <f>0.03*0.6</f>
        <v>0.018</v>
      </c>
      <c r="K12" s="69">
        <v>0</v>
      </c>
      <c r="L12" s="69">
        <v>0</v>
      </c>
      <c r="M12" s="79">
        <v>1.44</v>
      </c>
      <c r="N12" s="69">
        <f>20*0.6</f>
        <v>12</v>
      </c>
      <c r="O12" s="79">
        <v>53.75</v>
      </c>
      <c r="P12" s="79">
        <v>2.4</v>
      </c>
      <c r="Q12" s="69">
        <f>1.1*0.6</f>
        <v>0.66</v>
      </c>
      <c r="R12" s="69">
        <v>0</v>
      </c>
      <c r="S12" s="203">
        <v>0</v>
      </c>
      <c r="V12" s="70"/>
      <c r="W12" s="60"/>
      <c r="X12" s="60" t="s">
        <v>53</v>
      </c>
      <c r="Y12" s="87">
        <f>'Сырьё лето'!X12</f>
        <v>0</v>
      </c>
      <c r="Z12" s="71">
        <f>2.7*60/40</f>
        <v>4.05</v>
      </c>
      <c r="AA12" s="71">
        <f>0.34*60/40</f>
        <v>0.51</v>
      </c>
      <c r="AB12" s="71">
        <f>20.06*60/40</f>
        <v>30.089999999999996</v>
      </c>
      <c r="AC12" s="79">
        <f>Z12*4+AA12*9+AB12*4</f>
        <v>141.14999999999998</v>
      </c>
      <c r="AD12" s="71">
        <f>0.11*0.6</f>
        <v>0.066</v>
      </c>
      <c r="AE12" s="71">
        <f>0.03*0.6</f>
        <v>0.018</v>
      </c>
      <c r="AF12" s="71">
        <v>0</v>
      </c>
      <c r="AG12" s="71">
        <v>0</v>
      </c>
      <c r="AH12" s="71">
        <f>1.1*0.6</f>
        <v>0.66</v>
      </c>
      <c r="AI12" s="71">
        <f>20*0.6</f>
        <v>12</v>
      </c>
      <c r="AJ12" s="71">
        <f>65*0.6</f>
        <v>39</v>
      </c>
      <c r="AK12" s="71">
        <f>14*0.6</f>
        <v>8.4</v>
      </c>
      <c r="AL12" s="71">
        <f>1.1*0.6</f>
        <v>0.66</v>
      </c>
      <c r="AM12" s="71">
        <v>0</v>
      </c>
      <c r="AN12" s="93">
        <v>0</v>
      </c>
    </row>
    <row r="13" spans="1:40" ht="15" customHeight="1">
      <c r="A13" s="73"/>
      <c r="B13" s="106"/>
      <c r="C13" s="106" t="s">
        <v>156</v>
      </c>
      <c r="D13" s="225">
        <f>'Сырьё лето'!C13</f>
        <v>50</v>
      </c>
      <c r="E13" s="79">
        <f>Z13*'Сырьё лето'!AI13</f>
        <v>2.66</v>
      </c>
      <c r="F13" s="79">
        <v>0.24</v>
      </c>
      <c r="G13" s="69">
        <v>16.74</v>
      </c>
      <c r="H13" s="79">
        <f>E13*4+F13*9+G13*4</f>
        <v>79.75999999999999</v>
      </c>
      <c r="I13" s="79">
        <v>0.11</v>
      </c>
      <c r="J13" s="79">
        <v>0.07</v>
      </c>
      <c r="K13" s="79">
        <v>0.14</v>
      </c>
      <c r="L13" s="79">
        <v>0</v>
      </c>
      <c r="M13" s="79">
        <v>0.11</v>
      </c>
      <c r="N13" s="79">
        <v>25.55</v>
      </c>
      <c r="O13" s="79">
        <v>43.75</v>
      </c>
      <c r="P13" s="79">
        <v>4</v>
      </c>
      <c r="Q13" s="80">
        <v>0.98</v>
      </c>
      <c r="R13" s="79">
        <v>0</v>
      </c>
      <c r="S13" s="203">
        <v>0.02</v>
      </c>
      <c r="V13" s="70"/>
      <c r="W13" s="60"/>
      <c r="X13" s="60" t="s">
        <v>156</v>
      </c>
      <c r="Y13" s="87">
        <f>'Сырьё лето'!X13</f>
        <v>0</v>
      </c>
      <c r="Z13" s="79">
        <v>1.33</v>
      </c>
      <c r="AA13" s="79">
        <v>0.24</v>
      </c>
      <c r="AB13" s="79">
        <v>8.37</v>
      </c>
      <c r="AC13" s="79">
        <f>Z13*4+AA13*9+AB13*4</f>
        <v>40.959999999999994</v>
      </c>
      <c r="AD13" s="79">
        <v>0.11</v>
      </c>
      <c r="AE13" s="79">
        <v>0.07</v>
      </c>
      <c r="AF13" s="79">
        <v>0.14</v>
      </c>
      <c r="AG13" s="79">
        <v>0</v>
      </c>
      <c r="AH13" s="79">
        <v>0.11</v>
      </c>
      <c r="AI13" s="79">
        <v>25.55</v>
      </c>
      <c r="AJ13" s="79">
        <v>43.75</v>
      </c>
      <c r="AK13" s="79">
        <v>14</v>
      </c>
      <c r="AL13" s="80">
        <v>0.98</v>
      </c>
      <c r="AM13" s="79">
        <v>0</v>
      </c>
      <c r="AN13" s="93">
        <v>0.02</v>
      </c>
    </row>
    <row r="14" spans="1:40" ht="15" customHeight="1">
      <c r="A14" s="73"/>
      <c r="B14" s="106"/>
      <c r="C14" s="106" t="s">
        <v>159</v>
      </c>
      <c r="D14" s="225">
        <f>'Сырьё лето'!C14</f>
        <v>120</v>
      </c>
      <c r="E14" s="69">
        <v>1.08</v>
      </c>
      <c r="F14" s="69">
        <v>0.12</v>
      </c>
      <c r="G14" s="69">
        <v>20.8</v>
      </c>
      <c r="H14" s="79">
        <f>E14*4+F14*9+G14*4</f>
        <v>88.60000000000001</v>
      </c>
      <c r="I14" s="69">
        <v>0.03</v>
      </c>
      <c r="J14" s="69">
        <v>0.06</v>
      </c>
      <c r="K14" s="69">
        <v>12</v>
      </c>
      <c r="L14" s="69">
        <v>0</v>
      </c>
      <c r="M14" s="69">
        <v>1.32</v>
      </c>
      <c r="N14" s="69">
        <v>33.6</v>
      </c>
      <c r="O14" s="69">
        <v>31.2</v>
      </c>
      <c r="P14" s="69">
        <v>9.6</v>
      </c>
      <c r="Q14" s="69">
        <v>0.84</v>
      </c>
      <c r="R14" s="69">
        <v>0.09</v>
      </c>
      <c r="S14" s="203">
        <v>0</v>
      </c>
      <c r="V14" s="70"/>
      <c r="W14" s="60"/>
      <c r="X14" s="60" t="s">
        <v>159</v>
      </c>
      <c r="Y14" s="87">
        <f>'Сырьё лето'!X14</f>
        <v>0</v>
      </c>
      <c r="Z14" s="71">
        <v>1.08</v>
      </c>
      <c r="AA14" s="71">
        <v>0.12</v>
      </c>
      <c r="AB14" s="71">
        <v>10.8</v>
      </c>
      <c r="AC14" s="79">
        <f>Z14*4+AA14*9+AB14*4</f>
        <v>48.6</v>
      </c>
      <c r="AD14" s="71">
        <v>0.03</v>
      </c>
      <c r="AE14" s="71">
        <v>0.06</v>
      </c>
      <c r="AF14" s="71">
        <v>12</v>
      </c>
      <c r="AG14" s="71">
        <v>0</v>
      </c>
      <c r="AH14" s="71">
        <v>1.32</v>
      </c>
      <c r="AI14" s="71">
        <v>33.6</v>
      </c>
      <c r="AJ14" s="71">
        <v>31.2</v>
      </c>
      <c r="AK14" s="71">
        <v>9.6</v>
      </c>
      <c r="AL14" s="71">
        <v>0.84</v>
      </c>
      <c r="AM14" s="71">
        <v>0.09</v>
      </c>
      <c r="AN14" s="93">
        <v>0</v>
      </c>
    </row>
    <row r="15" spans="1:40" ht="15" customHeight="1">
      <c r="A15" s="73"/>
      <c r="B15" s="106"/>
      <c r="C15" s="73" t="s">
        <v>154</v>
      </c>
      <c r="D15" s="225">
        <f>'Сырьё лето'!C15</f>
        <v>150</v>
      </c>
      <c r="E15" s="205">
        <v>0.75</v>
      </c>
      <c r="F15" s="205">
        <v>0</v>
      </c>
      <c r="G15" s="205">
        <v>15.15</v>
      </c>
      <c r="H15" s="205">
        <f>E15*4+F15*9+G15*4</f>
        <v>63.6</v>
      </c>
      <c r="I15" s="69">
        <v>0.015</v>
      </c>
      <c r="J15" s="69">
        <v>0.015</v>
      </c>
      <c r="K15" s="69">
        <v>3</v>
      </c>
      <c r="L15" s="69">
        <v>0</v>
      </c>
      <c r="M15" s="69">
        <v>0.15</v>
      </c>
      <c r="N15" s="69">
        <v>10.5</v>
      </c>
      <c r="O15" s="69">
        <v>10.5</v>
      </c>
      <c r="P15" s="69">
        <v>6</v>
      </c>
      <c r="Q15" s="69">
        <v>2.1</v>
      </c>
      <c r="R15" s="69">
        <v>0</v>
      </c>
      <c r="S15" s="203">
        <v>0</v>
      </c>
      <c r="V15" s="70"/>
      <c r="W15" s="60"/>
      <c r="X15" s="58" t="s">
        <v>154</v>
      </c>
      <c r="Y15" s="87">
        <f>'Сырьё лето'!X15</f>
        <v>0</v>
      </c>
      <c r="Z15" s="76">
        <v>0.75</v>
      </c>
      <c r="AA15" s="76">
        <v>0</v>
      </c>
      <c r="AB15" s="76">
        <v>15.15</v>
      </c>
      <c r="AC15" s="76">
        <f>Z15*4+AA15*9+AB15*4</f>
        <v>63.6</v>
      </c>
      <c r="AD15" s="71">
        <v>0.015</v>
      </c>
      <c r="AE15" s="71">
        <v>0.015</v>
      </c>
      <c r="AF15" s="71">
        <v>3</v>
      </c>
      <c r="AG15" s="71">
        <v>0</v>
      </c>
      <c r="AH15" s="71">
        <v>0.15</v>
      </c>
      <c r="AI15" s="71">
        <v>10.5</v>
      </c>
      <c r="AJ15" s="71">
        <v>10.5</v>
      </c>
      <c r="AK15" s="71">
        <v>6</v>
      </c>
      <c r="AL15" s="71">
        <v>2.1</v>
      </c>
      <c r="AM15" s="71">
        <v>0</v>
      </c>
      <c r="AN15" s="93">
        <v>0</v>
      </c>
    </row>
    <row r="16" spans="1:40" ht="15" customHeight="1">
      <c r="A16" s="73"/>
      <c r="B16" s="206"/>
      <c r="C16" s="207" t="s">
        <v>15</v>
      </c>
      <c r="D16" s="226">
        <f aca="true" t="shared" si="0" ref="D16:S16">SUM(D8:D15)</f>
        <v>1120</v>
      </c>
      <c r="E16" s="208">
        <f t="shared" si="0"/>
        <v>30.448</v>
      </c>
      <c r="F16" s="208">
        <f t="shared" si="0"/>
        <v>38.707499999999996</v>
      </c>
      <c r="G16" s="208">
        <f t="shared" si="0"/>
        <v>136.89</v>
      </c>
      <c r="H16" s="208">
        <f t="shared" si="0"/>
        <v>1017.7195</v>
      </c>
      <c r="I16" s="208">
        <f t="shared" si="0"/>
        <v>0.371</v>
      </c>
      <c r="J16" s="208">
        <f t="shared" si="0"/>
        <v>0.333</v>
      </c>
      <c r="K16" s="208">
        <f t="shared" si="0"/>
        <v>31.8625</v>
      </c>
      <c r="L16" s="208">
        <f t="shared" si="0"/>
        <v>0</v>
      </c>
      <c r="M16" s="208">
        <f t="shared" si="0"/>
        <v>4.2078</v>
      </c>
      <c r="N16" s="208">
        <v>290.62</v>
      </c>
      <c r="O16" s="208">
        <v>576.35</v>
      </c>
      <c r="P16" s="208">
        <f t="shared" si="0"/>
        <v>83.51999999999998</v>
      </c>
      <c r="Q16" s="208">
        <f t="shared" si="0"/>
        <v>9.32</v>
      </c>
      <c r="R16" s="208">
        <f t="shared" si="0"/>
        <v>4.725</v>
      </c>
      <c r="S16" s="208">
        <f t="shared" si="0"/>
        <v>0.03</v>
      </c>
      <c r="W16" s="2"/>
      <c r="X16" s="3" t="s">
        <v>15</v>
      </c>
      <c r="Y16" s="32">
        <f aca="true" t="shared" si="1" ref="Y16:AN16">SUM(Y8:Y15)</f>
        <v>4.5</v>
      </c>
      <c r="Z16" s="72">
        <f t="shared" si="1"/>
        <v>24.92</v>
      </c>
      <c r="AA16" s="72">
        <f t="shared" si="1"/>
        <v>25.349999999999998</v>
      </c>
      <c r="AB16" s="72">
        <f t="shared" si="1"/>
        <v>107.97000000000001</v>
      </c>
      <c r="AC16" s="72">
        <f t="shared" si="1"/>
        <v>759.71</v>
      </c>
      <c r="AD16" s="72">
        <f t="shared" si="1"/>
        <v>0.365</v>
      </c>
      <c r="AE16" s="72">
        <f t="shared" si="1"/>
        <v>0.313</v>
      </c>
      <c r="AF16" s="72">
        <f t="shared" si="1"/>
        <v>31.68</v>
      </c>
      <c r="AG16" s="72">
        <f t="shared" si="1"/>
        <v>0</v>
      </c>
      <c r="AH16" s="72">
        <f t="shared" si="1"/>
        <v>3.3528000000000002</v>
      </c>
      <c r="AI16" s="72">
        <f t="shared" si="1"/>
        <v>186.26</v>
      </c>
      <c r="AJ16" s="72">
        <f t="shared" si="1"/>
        <v>410.77</v>
      </c>
      <c r="AK16" s="72">
        <f t="shared" si="1"/>
        <v>95.12</v>
      </c>
      <c r="AL16" s="72">
        <f t="shared" si="1"/>
        <v>8.709999999999999</v>
      </c>
      <c r="AM16" s="72">
        <f t="shared" si="1"/>
        <v>3.9099999999999997</v>
      </c>
      <c r="AN16" s="72">
        <f t="shared" si="1"/>
        <v>0.06</v>
      </c>
    </row>
    <row r="17" spans="1:40" ht="15" customHeight="1">
      <c r="A17" s="73"/>
      <c r="B17" s="209"/>
      <c r="C17" s="73"/>
      <c r="D17" s="34"/>
      <c r="E17" s="69">
        <v>31.5</v>
      </c>
      <c r="F17" s="69">
        <v>32.2</v>
      </c>
      <c r="G17" s="69">
        <v>134.05</v>
      </c>
      <c r="H17" s="69">
        <v>949.55</v>
      </c>
      <c r="I17" s="69">
        <v>0.49</v>
      </c>
      <c r="J17" s="69">
        <v>0.56</v>
      </c>
      <c r="K17" s="69">
        <v>24.5</v>
      </c>
      <c r="L17" s="210">
        <v>0.315</v>
      </c>
      <c r="M17" s="69">
        <v>4.2</v>
      </c>
      <c r="N17" s="69">
        <v>420</v>
      </c>
      <c r="O17" s="69">
        <v>630</v>
      </c>
      <c r="P17" s="69">
        <v>105</v>
      </c>
      <c r="Q17" s="69">
        <v>5.95</v>
      </c>
      <c r="R17" s="69">
        <v>4.9</v>
      </c>
      <c r="S17" s="69">
        <v>0.042</v>
      </c>
      <c r="X17" s="73"/>
      <c r="Y17" s="34"/>
      <c r="Z17" s="69"/>
      <c r="AA17" s="69"/>
      <c r="AB17" s="69"/>
      <c r="AN17" s="93"/>
    </row>
    <row r="18" spans="1:40" ht="15" customHeight="1">
      <c r="A18" s="73"/>
      <c r="B18" s="274" t="s">
        <v>145</v>
      </c>
      <c r="C18" s="275"/>
      <c r="D18" s="3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203"/>
      <c r="V18" s="54"/>
      <c r="W18" s="302" t="s">
        <v>145</v>
      </c>
      <c r="X18" s="303"/>
      <c r="Y18" s="55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4"/>
    </row>
    <row r="19" spans="1:40" ht="15" customHeight="1">
      <c r="A19" s="73"/>
      <c r="B19" s="108"/>
      <c r="C19" s="106" t="s">
        <v>155</v>
      </c>
      <c r="D19" s="225">
        <f>'Сырьё лето'!C19</f>
        <v>100</v>
      </c>
      <c r="E19" s="79">
        <f>Z19*'Сырьё лето'!AI19</f>
        <v>0.6971999999999999</v>
      </c>
      <c r="F19" s="69">
        <v>0.06</v>
      </c>
      <c r="G19" s="69">
        <v>1.14</v>
      </c>
      <c r="H19" s="69">
        <f>E19*4+F19*9+G19*4</f>
        <v>7.8888</v>
      </c>
      <c r="I19" s="69">
        <v>0.024</v>
      </c>
      <c r="J19" s="69">
        <v>0.012</v>
      </c>
      <c r="K19" s="69">
        <v>2.94</v>
      </c>
      <c r="L19" s="69">
        <v>0</v>
      </c>
      <c r="M19" s="69">
        <v>0</v>
      </c>
      <c r="N19" s="69">
        <v>10.2</v>
      </c>
      <c r="O19" s="69">
        <v>18</v>
      </c>
      <c r="P19" s="69">
        <v>8.4</v>
      </c>
      <c r="Q19" s="69">
        <v>0.3</v>
      </c>
      <c r="R19" s="69">
        <v>0.12</v>
      </c>
      <c r="S19" s="203">
        <v>0</v>
      </c>
      <c r="V19" s="70"/>
      <c r="W19" s="66"/>
      <c r="X19" s="60" t="s">
        <v>155</v>
      </c>
      <c r="Y19" s="87">
        <f>'Сырьё лето'!X19</f>
        <v>0</v>
      </c>
      <c r="Z19" s="71">
        <v>0.42</v>
      </c>
      <c r="AA19" s="71">
        <v>0.06</v>
      </c>
      <c r="AB19" s="71">
        <v>1.14</v>
      </c>
      <c r="AC19" s="71">
        <f>Z19*4+AA19*9+AB19*4</f>
        <v>6.779999999999999</v>
      </c>
      <c r="AD19" s="71">
        <v>0.024</v>
      </c>
      <c r="AE19" s="71">
        <v>0.012</v>
      </c>
      <c r="AF19" s="71">
        <v>2.94</v>
      </c>
      <c r="AG19" s="71">
        <v>0</v>
      </c>
      <c r="AH19" s="71">
        <v>0</v>
      </c>
      <c r="AI19" s="71">
        <v>10.2</v>
      </c>
      <c r="AJ19" s="71">
        <v>18</v>
      </c>
      <c r="AK19" s="71">
        <v>8.4</v>
      </c>
      <c r="AL19" s="71">
        <v>0.3</v>
      </c>
      <c r="AM19" s="71">
        <v>0.12</v>
      </c>
      <c r="AN19" s="93">
        <v>0</v>
      </c>
    </row>
    <row r="20" spans="1:40" ht="15" customHeight="1">
      <c r="A20" s="73"/>
      <c r="B20" s="106">
        <v>98</v>
      </c>
      <c r="C20" s="106" t="s">
        <v>52</v>
      </c>
      <c r="D20" s="225">
        <f>'Сырьё лето'!C20</f>
        <v>250</v>
      </c>
      <c r="E20" s="79">
        <v>1.48</v>
      </c>
      <c r="F20" s="79">
        <v>14.92</v>
      </c>
      <c r="G20" s="79">
        <v>6.09</v>
      </c>
      <c r="H20" s="69">
        <f>E20*4+F20*9+G20*4</f>
        <v>164.56</v>
      </c>
      <c r="I20" s="79">
        <v>0.04</v>
      </c>
      <c r="J20" s="79">
        <v>0.03</v>
      </c>
      <c r="K20" s="79">
        <v>9.88</v>
      </c>
      <c r="L20" s="79">
        <v>0</v>
      </c>
      <c r="M20" s="79">
        <v>0.6</v>
      </c>
      <c r="N20" s="79">
        <v>35.88</v>
      </c>
      <c r="O20" s="79">
        <v>33.63</v>
      </c>
      <c r="P20" s="79">
        <v>14.18</v>
      </c>
      <c r="Q20" s="80">
        <v>0.58</v>
      </c>
      <c r="R20" s="79">
        <v>1.85</v>
      </c>
      <c r="S20" s="203">
        <v>0.02</v>
      </c>
      <c r="V20" s="70"/>
      <c r="W20" s="60">
        <v>98</v>
      </c>
      <c r="X20" s="60" t="s">
        <v>52</v>
      </c>
      <c r="Y20" s="87">
        <f>'Сырьё лето'!X20</f>
        <v>5</v>
      </c>
      <c r="Z20" s="79">
        <v>1.48</v>
      </c>
      <c r="AA20" s="79">
        <v>4.92</v>
      </c>
      <c r="AB20" s="79">
        <v>6.09</v>
      </c>
      <c r="AC20" s="71">
        <f aca="true" t="shared" si="2" ref="AC20:AC25">Z20*4+AA20*9+AB20*4</f>
        <v>74.56</v>
      </c>
      <c r="AD20" s="79">
        <v>0.04</v>
      </c>
      <c r="AE20" s="79">
        <v>0.03</v>
      </c>
      <c r="AF20" s="79">
        <v>9.88</v>
      </c>
      <c r="AG20" s="79">
        <v>0</v>
      </c>
      <c r="AH20" s="79">
        <v>0.6</v>
      </c>
      <c r="AI20" s="79">
        <v>35.88</v>
      </c>
      <c r="AJ20" s="79">
        <v>33.63</v>
      </c>
      <c r="AK20" s="79">
        <v>14.18</v>
      </c>
      <c r="AL20" s="80">
        <v>0.58</v>
      </c>
      <c r="AM20" s="79">
        <v>0.85</v>
      </c>
      <c r="AN20" s="93">
        <v>0.03</v>
      </c>
    </row>
    <row r="21" spans="1:40" ht="15" customHeight="1">
      <c r="A21" s="73"/>
      <c r="B21" s="106">
        <v>227</v>
      </c>
      <c r="C21" s="106" t="s">
        <v>117</v>
      </c>
      <c r="D21" s="225">
        <f>'Сырьё лето'!C21</f>
        <v>100</v>
      </c>
      <c r="E21" s="79">
        <f>Z21*'Сырьё лето'!AI21</f>
        <v>17.423399999999997</v>
      </c>
      <c r="F21" s="69">
        <v>5.32</v>
      </c>
      <c r="G21" s="69">
        <v>10.57</v>
      </c>
      <c r="H21" s="69">
        <f>E21*4+F21*9+G21*4</f>
        <v>159.8536</v>
      </c>
      <c r="I21" s="69">
        <v>0.04</v>
      </c>
      <c r="J21" s="69">
        <v>0.07</v>
      </c>
      <c r="K21" s="69">
        <v>1.2</v>
      </c>
      <c r="L21" s="69">
        <v>0.11</v>
      </c>
      <c r="M21" s="69">
        <v>1.45</v>
      </c>
      <c r="N21" s="69">
        <v>27.6</v>
      </c>
      <c r="O21" s="69">
        <v>156.5</v>
      </c>
      <c r="P21" s="69">
        <v>13.44</v>
      </c>
      <c r="Q21" s="69">
        <v>0.378</v>
      </c>
      <c r="R21" s="69">
        <v>0.26</v>
      </c>
      <c r="S21" s="203">
        <v>0.017</v>
      </c>
      <c r="V21" s="70"/>
      <c r="W21" s="60">
        <v>227</v>
      </c>
      <c r="X21" s="60" t="s">
        <v>117</v>
      </c>
      <c r="Y21" s="87">
        <f>'Сырьё лето'!X21</f>
        <v>0</v>
      </c>
      <c r="Z21" s="71">
        <v>12.27</v>
      </c>
      <c r="AA21" s="71">
        <v>5.32</v>
      </c>
      <c r="AB21" s="71">
        <v>0.57</v>
      </c>
      <c r="AC21" s="71">
        <f t="shared" si="2"/>
        <v>99.24000000000001</v>
      </c>
      <c r="AD21" s="71">
        <v>0.04</v>
      </c>
      <c r="AE21" s="71">
        <v>0.07</v>
      </c>
      <c r="AF21" s="71">
        <v>1.2</v>
      </c>
      <c r="AG21" s="71">
        <v>0.31</v>
      </c>
      <c r="AH21" s="71">
        <v>1.45</v>
      </c>
      <c r="AI21" s="71">
        <v>27.6</v>
      </c>
      <c r="AJ21" s="71">
        <v>116.5</v>
      </c>
      <c r="AK21" s="71">
        <v>13.44</v>
      </c>
      <c r="AL21" s="71">
        <v>0.378</v>
      </c>
      <c r="AM21" s="71">
        <v>0.26</v>
      </c>
      <c r="AN21" s="93">
        <v>0.17</v>
      </c>
    </row>
    <row r="22" spans="1:40" ht="15" customHeight="1">
      <c r="A22" s="73"/>
      <c r="B22" s="106">
        <v>312</v>
      </c>
      <c r="C22" s="106" t="s">
        <v>54</v>
      </c>
      <c r="D22" s="225">
        <f>'Сырьё лето'!C22</f>
        <v>200</v>
      </c>
      <c r="E22" s="79">
        <f>Z22*'Сырьё лето'!AI22</f>
        <v>4.093333333333333</v>
      </c>
      <c r="F22" s="69">
        <v>4.8</v>
      </c>
      <c r="G22" s="69">
        <v>20.44</v>
      </c>
      <c r="H22" s="69">
        <f>E22*4+F22*9+G22*4</f>
        <v>141.33333333333331</v>
      </c>
      <c r="I22" s="69">
        <v>0.14</v>
      </c>
      <c r="J22" s="69">
        <v>0.11</v>
      </c>
      <c r="K22" s="69">
        <v>18.16</v>
      </c>
      <c r="L22" s="69">
        <v>0</v>
      </c>
      <c r="M22" s="69">
        <v>0.09</v>
      </c>
      <c r="N22" s="69">
        <v>36.97</v>
      </c>
      <c r="O22" s="69">
        <v>86.59</v>
      </c>
      <c r="P22" s="69">
        <v>27.75</v>
      </c>
      <c r="Q22" s="24">
        <v>1.01</v>
      </c>
      <c r="R22" s="69">
        <v>1.45</v>
      </c>
      <c r="S22" s="203">
        <v>0</v>
      </c>
      <c r="V22" s="70"/>
      <c r="W22" s="60">
        <v>312</v>
      </c>
      <c r="X22" s="60" t="s">
        <v>54</v>
      </c>
      <c r="Y22" s="87">
        <f>'Сырьё лето'!X22</f>
        <v>0</v>
      </c>
      <c r="Z22" s="69">
        <v>3.07</v>
      </c>
      <c r="AA22" s="69">
        <v>4.8</v>
      </c>
      <c r="AB22" s="69">
        <v>20.44</v>
      </c>
      <c r="AC22" s="71">
        <f t="shared" si="2"/>
        <v>137.24</v>
      </c>
      <c r="AD22" s="69">
        <v>0.14</v>
      </c>
      <c r="AE22" s="69">
        <v>0.11</v>
      </c>
      <c r="AF22" s="69">
        <v>18.16</v>
      </c>
      <c r="AG22" s="69">
        <v>0</v>
      </c>
      <c r="AH22" s="69">
        <v>0.09</v>
      </c>
      <c r="AI22" s="69">
        <v>36.97</v>
      </c>
      <c r="AJ22" s="69">
        <v>86.59</v>
      </c>
      <c r="AK22" s="69">
        <v>27.75</v>
      </c>
      <c r="AL22" s="24">
        <v>1.01</v>
      </c>
      <c r="AM22" s="69">
        <v>0.45</v>
      </c>
      <c r="AN22" s="93">
        <v>0.007</v>
      </c>
    </row>
    <row r="23" spans="1:40" ht="15" customHeight="1">
      <c r="A23" s="73"/>
      <c r="B23" s="106">
        <v>349</v>
      </c>
      <c r="C23" s="106" t="s">
        <v>32</v>
      </c>
      <c r="D23" s="225">
        <f>'Сырьё лето'!C23</f>
        <v>200</v>
      </c>
      <c r="E23" s="79">
        <v>0.66</v>
      </c>
      <c r="F23" s="79">
        <v>0.09</v>
      </c>
      <c r="G23" s="79">
        <v>32.01</v>
      </c>
      <c r="H23" s="69">
        <f>E23*4+F23*9+G23*4</f>
        <v>131.48999999999998</v>
      </c>
      <c r="I23" s="79">
        <v>0.02</v>
      </c>
      <c r="J23" s="79">
        <v>0.02</v>
      </c>
      <c r="K23" s="79">
        <v>0.73</v>
      </c>
      <c r="L23" s="79">
        <v>0</v>
      </c>
      <c r="M23" s="79">
        <v>0</v>
      </c>
      <c r="N23" s="79">
        <v>32.48</v>
      </c>
      <c r="O23" s="79">
        <v>23.44</v>
      </c>
      <c r="P23" s="79">
        <v>17.46</v>
      </c>
      <c r="Q23" s="80">
        <v>0.69</v>
      </c>
      <c r="R23" s="79">
        <v>0</v>
      </c>
      <c r="S23" s="203">
        <v>0</v>
      </c>
      <c r="V23" s="70"/>
      <c r="W23" s="60">
        <v>349</v>
      </c>
      <c r="X23" s="60" t="s">
        <v>32</v>
      </c>
      <c r="Y23" s="87">
        <f>'Сырьё лето'!X23</f>
        <v>0</v>
      </c>
      <c r="Z23" s="79">
        <v>0.66</v>
      </c>
      <c r="AA23" s="79">
        <v>0.09</v>
      </c>
      <c r="AB23" s="79">
        <v>32.01</v>
      </c>
      <c r="AC23" s="71">
        <f t="shared" si="2"/>
        <v>131.48999999999998</v>
      </c>
      <c r="AD23" s="79">
        <v>0.02</v>
      </c>
      <c r="AE23" s="79">
        <v>0.02</v>
      </c>
      <c r="AF23" s="79">
        <v>0.73</v>
      </c>
      <c r="AG23" s="79">
        <v>0</v>
      </c>
      <c r="AH23" s="79">
        <v>0</v>
      </c>
      <c r="AI23" s="79">
        <v>32.48</v>
      </c>
      <c r="AJ23" s="79">
        <v>23.44</v>
      </c>
      <c r="AK23" s="79">
        <v>17.46</v>
      </c>
      <c r="AL23" s="80">
        <v>0.69</v>
      </c>
      <c r="AM23" s="79">
        <v>0</v>
      </c>
      <c r="AN23" s="93">
        <v>0</v>
      </c>
    </row>
    <row r="24" spans="1:40" ht="15.75" customHeight="1">
      <c r="A24" s="73"/>
      <c r="B24" s="106"/>
      <c r="C24" s="106" t="s">
        <v>53</v>
      </c>
      <c r="D24" s="225">
        <f>'Сырьё лето'!C24</f>
        <v>70</v>
      </c>
      <c r="E24" s="79">
        <f>Z24*'Сырьё лето'!AI24</f>
        <v>4.7250000000000005</v>
      </c>
      <c r="F24" s="69">
        <v>0.34</v>
      </c>
      <c r="G24" s="69">
        <v>30.06</v>
      </c>
      <c r="H24" s="69">
        <f>E24*4+F24*9+G24*4</f>
        <v>142.2</v>
      </c>
      <c r="I24" s="69">
        <v>0.04</v>
      </c>
      <c r="J24" s="69">
        <v>0.01</v>
      </c>
      <c r="K24" s="69">
        <v>0</v>
      </c>
      <c r="L24" s="69">
        <v>0</v>
      </c>
      <c r="M24" s="79">
        <v>1.44</v>
      </c>
      <c r="N24" s="69">
        <v>8</v>
      </c>
      <c r="O24" s="79">
        <v>53.75</v>
      </c>
      <c r="P24" s="79">
        <v>2.4</v>
      </c>
      <c r="Q24" s="69">
        <v>0.44</v>
      </c>
      <c r="R24" s="69">
        <v>0</v>
      </c>
      <c r="S24" s="203">
        <v>0</v>
      </c>
      <c r="V24" s="70"/>
      <c r="W24" s="60"/>
      <c r="X24" s="60" t="s">
        <v>53</v>
      </c>
      <c r="Y24" s="87">
        <f>'Сырьё лето'!X24</f>
        <v>0</v>
      </c>
      <c r="Z24" s="71">
        <v>2.7</v>
      </c>
      <c r="AA24" s="71">
        <v>0.34</v>
      </c>
      <c r="AB24" s="71">
        <v>20.06</v>
      </c>
      <c r="AC24" s="71">
        <f t="shared" si="2"/>
        <v>94.1</v>
      </c>
      <c r="AD24" s="71">
        <v>0.04</v>
      </c>
      <c r="AE24" s="71">
        <v>0.01</v>
      </c>
      <c r="AF24" s="71">
        <v>0</v>
      </c>
      <c r="AG24" s="71">
        <v>0</v>
      </c>
      <c r="AH24" s="71">
        <v>0.44</v>
      </c>
      <c r="AI24" s="71">
        <v>8</v>
      </c>
      <c r="AJ24" s="71">
        <v>26</v>
      </c>
      <c r="AK24" s="71">
        <v>5.6</v>
      </c>
      <c r="AL24" s="71">
        <v>0.44</v>
      </c>
      <c r="AM24" s="71">
        <v>0</v>
      </c>
      <c r="AN24" s="93">
        <v>0</v>
      </c>
    </row>
    <row r="25" spans="1:40" ht="15" customHeight="1">
      <c r="A25" s="73"/>
      <c r="B25" s="106"/>
      <c r="C25" s="106" t="s">
        <v>156</v>
      </c>
      <c r="D25" s="225">
        <f>'Сырьё лето'!C25</f>
        <v>40</v>
      </c>
      <c r="E25" s="194">
        <v>2.66</v>
      </c>
      <c r="F25" s="69">
        <v>0.48</v>
      </c>
      <c r="G25" s="69">
        <v>16.74</v>
      </c>
      <c r="H25" s="69">
        <v>91.92</v>
      </c>
      <c r="I25" s="69">
        <v>0.22</v>
      </c>
      <c r="J25" s="69">
        <v>0.14</v>
      </c>
      <c r="K25" s="69">
        <v>0.28</v>
      </c>
      <c r="L25" s="69">
        <v>0</v>
      </c>
      <c r="M25" s="69">
        <v>0.22</v>
      </c>
      <c r="N25" s="69">
        <v>51.1</v>
      </c>
      <c r="O25" s="69">
        <v>87.5</v>
      </c>
      <c r="P25" s="79">
        <v>4</v>
      </c>
      <c r="Q25" s="24">
        <v>1.96</v>
      </c>
      <c r="R25" s="69">
        <v>0</v>
      </c>
      <c r="S25" s="203">
        <v>0.02</v>
      </c>
      <c r="V25" s="70"/>
      <c r="W25" s="60"/>
      <c r="X25" s="60" t="s">
        <v>156</v>
      </c>
      <c r="Y25" s="87">
        <f>'Сырьё лето'!X25</f>
        <v>0</v>
      </c>
      <c r="Z25" s="69">
        <v>2.66</v>
      </c>
      <c r="AA25" s="69">
        <v>0.48</v>
      </c>
      <c r="AB25" s="69">
        <v>16.74</v>
      </c>
      <c r="AC25" s="71">
        <f t="shared" si="2"/>
        <v>81.91999999999999</v>
      </c>
      <c r="AD25" s="69">
        <v>0.22</v>
      </c>
      <c r="AE25" s="69">
        <v>0.14</v>
      </c>
      <c r="AF25" s="69">
        <v>0.28</v>
      </c>
      <c r="AG25" s="69">
        <v>0</v>
      </c>
      <c r="AH25" s="69">
        <v>0.22</v>
      </c>
      <c r="AI25" s="69">
        <v>51.1</v>
      </c>
      <c r="AJ25" s="69">
        <v>87.5</v>
      </c>
      <c r="AK25" s="69">
        <v>28</v>
      </c>
      <c r="AL25" s="24">
        <v>1.96</v>
      </c>
      <c r="AM25" s="69">
        <v>0</v>
      </c>
      <c r="AN25" s="93">
        <v>0.04</v>
      </c>
    </row>
    <row r="26" spans="1:40" ht="15" customHeight="1">
      <c r="A26" s="73"/>
      <c r="B26" s="106"/>
      <c r="C26" s="106" t="s">
        <v>157</v>
      </c>
      <c r="D26" s="225">
        <f>'Сырьё лето'!C26</f>
        <v>200</v>
      </c>
      <c r="E26" s="73">
        <v>5.8</v>
      </c>
      <c r="F26" s="73">
        <v>5</v>
      </c>
      <c r="G26" s="73">
        <v>9.6</v>
      </c>
      <c r="H26" s="73">
        <v>107</v>
      </c>
      <c r="I26" s="73">
        <v>0.08</v>
      </c>
      <c r="J26" s="73">
        <v>0.3</v>
      </c>
      <c r="K26" s="73">
        <v>2.6</v>
      </c>
      <c r="L26" s="73">
        <v>0.4</v>
      </c>
      <c r="M26" s="73">
        <v>0</v>
      </c>
      <c r="N26" s="73">
        <v>240</v>
      </c>
      <c r="O26" s="73">
        <v>180</v>
      </c>
      <c r="P26" s="73">
        <v>28</v>
      </c>
      <c r="Q26" s="81">
        <v>0.2</v>
      </c>
      <c r="R26" s="73">
        <v>0</v>
      </c>
      <c r="S26" s="203">
        <v>0</v>
      </c>
      <c r="W26" s="60"/>
      <c r="X26" s="60" t="s">
        <v>157</v>
      </c>
      <c r="Y26" s="87">
        <f>'Сырьё лето'!X26</f>
        <v>0</v>
      </c>
      <c r="Z26" s="73">
        <v>5.8</v>
      </c>
      <c r="AA26" s="73">
        <v>5</v>
      </c>
      <c r="AB26" s="73">
        <v>9.6</v>
      </c>
      <c r="AC26" s="73">
        <v>107</v>
      </c>
      <c r="AD26" s="73">
        <v>0.08</v>
      </c>
      <c r="AE26" s="73">
        <v>0.3</v>
      </c>
      <c r="AF26" s="73">
        <v>2.6</v>
      </c>
      <c r="AG26" s="73">
        <v>0.4</v>
      </c>
      <c r="AH26" s="73">
        <v>0</v>
      </c>
      <c r="AI26" s="73">
        <v>240</v>
      </c>
      <c r="AJ26" s="73">
        <v>180</v>
      </c>
      <c r="AK26" s="73">
        <v>28</v>
      </c>
      <c r="AL26" s="81">
        <v>0.2</v>
      </c>
      <c r="AM26" s="73">
        <v>0</v>
      </c>
      <c r="AN26" s="93">
        <v>0</v>
      </c>
    </row>
    <row r="27" spans="1:40" ht="15" customHeight="1">
      <c r="A27" s="73"/>
      <c r="B27" s="211"/>
      <c r="C27" s="212" t="s">
        <v>15</v>
      </c>
      <c r="D27" s="213">
        <f aca="true" t="shared" si="3" ref="D27:S27">SUM(D19:D26)</f>
        <v>1160</v>
      </c>
      <c r="E27" s="208">
        <f t="shared" si="3"/>
        <v>37.53893333333333</v>
      </c>
      <c r="F27" s="208">
        <f t="shared" si="3"/>
        <v>31.01</v>
      </c>
      <c r="G27" s="208">
        <f t="shared" si="3"/>
        <v>126.64999999999999</v>
      </c>
      <c r="H27" s="208">
        <f t="shared" si="3"/>
        <v>946.2457333333333</v>
      </c>
      <c r="I27" s="208">
        <f t="shared" si="3"/>
        <v>0.604</v>
      </c>
      <c r="J27" s="208">
        <f t="shared" si="3"/>
        <v>0.692</v>
      </c>
      <c r="K27" s="208">
        <f t="shared" si="3"/>
        <v>35.79</v>
      </c>
      <c r="L27" s="208">
        <f t="shared" si="3"/>
        <v>0.51</v>
      </c>
      <c r="M27" s="208">
        <f t="shared" si="3"/>
        <v>3.8</v>
      </c>
      <c r="N27" s="208">
        <f t="shared" si="3"/>
        <v>442.23</v>
      </c>
      <c r="O27" s="208">
        <f t="shared" si="3"/>
        <v>639.4100000000001</v>
      </c>
      <c r="P27" s="208">
        <f t="shared" si="3"/>
        <v>115.63</v>
      </c>
      <c r="Q27" s="208">
        <f t="shared" si="3"/>
        <v>5.558</v>
      </c>
      <c r="R27" s="208">
        <f t="shared" si="3"/>
        <v>3.6800000000000006</v>
      </c>
      <c r="S27" s="208">
        <f t="shared" si="3"/>
        <v>0.05700000000000001</v>
      </c>
      <c r="W27" s="16"/>
      <c r="X27" s="20" t="s">
        <v>15</v>
      </c>
      <c r="Y27" s="36">
        <f aca="true" t="shared" si="4" ref="Y27:AN27">SUM(Y19:Y26)</f>
        <v>5</v>
      </c>
      <c r="Z27" s="72">
        <f t="shared" si="4"/>
        <v>29.06</v>
      </c>
      <c r="AA27" s="72">
        <f t="shared" si="4"/>
        <v>21.01</v>
      </c>
      <c r="AB27" s="72">
        <f t="shared" si="4"/>
        <v>106.64999999999999</v>
      </c>
      <c r="AC27" s="72">
        <f t="shared" si="4"/>
        <v>732.33</v>
      </c>
      <c r="AD27" s="72">
        <f t="shared" si="4"/>
        <v>0.604</v>
      </c>
      <c r="AE27" s="72">
        <f t="shared" si="4"/>
        <v>0.692</v>
      </c>
      <c r="AF27" s="72">
        <f t="shared" si="4"/>
        <v>35.79</v>
      </c>
      <c r="AG27" s="72">
        <f t="shared" si="4"/>
        <v>0.71</v>
      </c>
      <c r="AH27" s="72">
        <f t="shared" si="4"/>
        <v>2.8</v>
      </c>
      <c r="AI27" s="72">
        <f t="shared" si="4"/>
        <v>442.23</v>
      </c>
      <c r="AJ27" s="72">
        <f t="shared" si="4"/>
        <v>571.6600000000001</v>
      </c>
      <c r="AK27" s="72">
        <f t="shared" si="4"/>
        <v>142.82999999999998</v>
      </c>
      <c r="AL27" s="72">
        <f t="shared" si="4"/>
        <v>5.558</v>
      </c>
      <c r="AM27" s="72">
        <f t="shared" si="4"/>
        <v>1.68</v>
      </c>
      <c r="AN27" s="72">
        <f t="shared" si="4"/>
        <v>0.24700000000000003</v>
      </c>
    </row>
    <row r="28" spans="1:40" ht="15" customHeight="1">
      <c r="A28" s="73"/>
      <c r="B28" s="209"/>
      <c r="C28" s="69"/>
      <c r="D28" s="34"/>
      <c r="E28" s="69">
        <v>31.5</v>
      </c>
      <c r="F28" s="69">
        <v>32.2</v>
      </c>
      <c r="G28" s="69">
        <v>134.05</v>
      </c>
      <c r="H28" s="69">
        <v>949.55</v>
      </c>
      <c r="I28" s="69">
        <v>0.49</v>
      </c>
      <c r="J28" s="69">
        <v>0.56</v>
      </c>
      <c r="K28" s="69">
        <v>24.5</v>
      </c>
      <c r="L28" s="210">
        <v>0.315</v>
      </c>
      <c r="M28" s="69">
        <v>4.2</v>
      </c>
      <c r="N28" s="69">
        <v>420</v>
      </c>
      <c r="O28" s="69">
        <v>630</v>
      </c>
      <c r="P28" s="69">
        <v>105</v>
      </c>
      <c r="Q28" s="69">
        <v>5.95</v>
      </c>
      <c r="R28" s="69">
        <v>4.9</v>
      </c>
      <c r="S28" s="69">
        <v>0.042</v>
      </c>
      <c r="V28" s="73"/>
      <c r="W28" s="17"/>
      <c r="X28" s="74"/>
      <c r="Y28" s="3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0" ht="15" customHeight="1">
      <c r="A29" s="73"/>
      <c r="B29" s="209"/>
      <c r="C29" s="73"/>
      <c r="D29" s="3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203"/>
      <c r="X29" s="73"/>
      <c r="Y29" s="34"/>
      <c r="Z29" s="69"/>
      <c r="AA29" s="69"/>
      <c r="AB29" s="69"/>
      <c r="AN29" s="93"/>
    </row>
    <row r="30" spans="1:40" ht="15" customHeight="1">
      <c r="A30" s="73"/>
      <c r="B30" s="274" t="s">
        <v>146</v>
      </c>
      <c r="C30" s="275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V30" s="19"/>
      <c r="W30" s="304" t="s">
        <v>146</v>
      </c>
      <c r="X30" s="305"/>
      <c r="Y30" s="35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ht="15" customHeight="1">
      <c r="A31" s="73"/>
      <c r="B31" s="137">
        <v>104</v>
      </c>
      <c r="C31" s="113" t="s">
        <v>104</v>
      </c>
      <c r="D31" s="225">
        <f>'Сырьё лето'!C31</f>
        <v>250</v>
      </c>
      <c r="E31" s="69">
        <f>2.19+3.99</f>
        <v>6.18</v>
      </c>
      <c r="F31" s="69">
        <f>2.78+2.74</f>
        <v>5.52</v>
      </c>
      <c r="G31" s="69">
        <f>15.39+0.15</f>
        <v>15.540000000000001</v>
      </c>
      <c r="H31" s="69">
        <f>E31*4+F31*9+G31*4</f>
        <v>136.56</v>
      </c>
      <c r="I31" s="69">
        <v>0.12</v>
      </c>
      <c r="J31" s="69">
        <v>0.07</v>
      </c>
      <c r="K31" s="69">
        <v>11.07</v>
      </c>
      <c r="L31" s="69">
        <v>0</v>
      </c>
      <c r="M31" s="69">
        <v>0.5</v>
      </c>
      <c r="N31" s="69">
        <v>29.7</v>
      </c>
      <c r="O31" s="69">
        <v>72.22</v>
      </c>
      <c r="P31" s="69">
        <v>29.6</v>
      </c>
      <c r="Q31" s="24">
        <v>1.15</v>
      </c>
      <c r="R31" s="69">
        <v>1.25</v>
      </c>
      <c r="S31" s="203">
        <v>0.03</v>
      </c>
      <c r="W31" s="64">
        <v>104</v>
      </c>
      <c r="X31" s="65" t="s">
        <v>104</v>
      </c>
      <c r="Y31" s="87">
        <f>'Сырьё лето'!X31</f>
        <v>2.5</v>
      </c>
      <c r="Z31" s="69">
        <f>2.19+3.99</f>
        <v>6.18</v>
      </c>
      <c r="AA31" s="69">
        <f>2.78+2.74</f>
        <v>5.52</v>
      </c>
      <c r="AB31" s="69">
        <f>15.39+0.15</f>
        <v>15.540000000000001</v>
      </c>
      <c r="AC31" s="69">
        <f>Z31*4+AA31*9+AB31*4</f>
        <v>136.56</v>
      </c>
      <c r="AD31" s="69">
        <v>0.12</v>
      </c>
      <c r="AE31" s="69">
        <v>0.07</v>
      </c>
      <c r="AF31" s="69">
        <v>11.07</v>
      </c>
      <c r="AG31" s="69">
        <v>0</v>
      </c>
      <c r="AH31" s="69">
        <v>0.5</v>
      </c>
      <c r="AI31" s="69">
        <v>29.7</v>
      </c>
      <c r="AJ31" s="69">
        <v>72.22</v>
      </c>
      <c r="AK31" s="69">
        <v>29.6</v>
      </c>
      <c r="AL31" s="24">
        <v>1.15</v>
      </c>
      <c r="AM31" s="69">
        <v>1.25</v>
      </c>
      <c r="AN31" s="93">
        <v>0.07</v>
      </c>
    </row>
    <row r="32" spans="1:40" s="59" customFormat="1" ht="15" customHeight="1">
      <c r="A32" s="73"/>
      <c r="B32" s="137"/>
      <c r="C32" s="113"/>
      <c r="D32" s="225">
        <f>'Сырьё лето'!C32</f>
        <v>20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4"/>
      <c r="R32" s="69"/>
      <c r="S32" s="203"/>
      <c r="V32" s="15"/>
      <c r="W32" s="64"/>
      <c r="X32" s="65"/>
      <c r="Y32" s="87">
        <f>'Сырьё лето'!X32</f>
        <v>0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24"/>
      <c r="AM32" s="69"/>
      <c r="AN32" s="93"/>
    </row>
    <row r="33" spans="1:40" ht="15" customHeight="1">
      <c r="A33" s="73"/>
      <c r="B33" s="106">
        <v>223</v>
      </c>
      <c r="C33" s="106" t="s">
        <v>30</v>
      </c>
      <c r="D33" s="225">
        <f>'Сырьё лето'!C33</f>
        <v>230</v>
      </c>
      <c r="E33" s="79">
        <v>15.95</v>
      </c>
      <c r="F33" s="83">
        <v>14.36</v>
      </c>
      <c r="G33" s="83">
        <v>32.35</v>
      </c>
      <c r="H33" s="69">
        <f aca="true" t="shared" si="5" ref="H33:H38">E33*4+F33*9+G33*4</f>
        <v>322.44000000000005</v>
      </c>
      <c r="I33" s="83">
        <v>0.07</v>
      </c>
      <c r="J33" s="83">
        <v>0.31</v>
      </c>
      <c r="K33" s="83">
        <v>0.94</v>
      </c>
      <c r="L33" s="83">
        <v>0.08</v>
      </c>
      <c r="M33" s="79">
        <v>0.4</v>
      </c>
      <c r="N33" s="83">
        <v>184.9</v>
      </c>
      <c r="O33" s="83">
        <v>356.21</v>
      </c>
      <c r="P33" s="83">
        <v>29.3</v>
      </c>
      <c r="Q33" s="83">
        <v>1.34</v>
      </c>
      <c r="R33" s="83">
        <v>2.08</v>
      </c>
      <c r="S33" s="203">
        <v>0.03</v>
      </c>
      <c r="V33" s="70"/>
      <c r="W33" s="62">
        <v>223</v>
      </c>
      <c r="X33" s="62" t="s">
        <v>30</v>
      </c>
      <c r="Y33" s="87">
        <f>'Сырьё лето'!X33</f>
        <v>0</v>
      </c>
      <c r="Z33" s="83">
        <v>20.87</v>
      </c>
      <c r="AA33" s="83">
        <v>14.36</v>
      </c>
      <c r="AB33" s="83">
        <v>32.35</v>
      </c>
      <c r="AC33" s="69">
        <f aca="true" t="shared" si="6" ref="AC33:AC38">Z33*4+AA33*9+AB33*4</f>
        <v>342.12</v>
      </c>
      <c r="AD33" s="83">
        <v>0.07</v>
      </c>
      <c r="AE33" s="83">
        <v>0.31</v>
      </c>
      <c r="AF33" s="83">
        <v>0.94</v>
      </c>
      <c r="AG33" s="83">
        <v>0.88</v>
      </c>
      <c r="AH33" s="79">
        <v>0.4</v>
      </c>
      <c r="AI33" s="83">
        <v>184.9</v>
      </c>
      <c r="AJ33" s="83">
        <v>256.21</v>
      </c>
      <c r="AK33" s="83">
        <v>29.3</v>
      </c>
      <c r="AL33" s="83">
        <v>1.34</v>
      </c>
      <c r="AM33" s="83">
        <v>1.08</v>
      </c>
      <c r="AN33" s="93">
        <v>0.06</v>
      </c>
    </row>
    <row r="34" spans="1:40" s="29" customFormat="1" ht="15" customHeight="1">
      <c r="A34" s="73"/>
      <c r="B34" s="106"/>
      <c r="C34" s="106" t="s">
        <v>113</v>
      </c>
      <c r="D34" s="225">
        <f>'Сырьё лето'!C34</f>
        <v>35</v>
      </c>
      <c r="E34" s="69">
        <v>0.49</v>
      </c>
      <c r="F34" s="69">
        <v>1.75</v>
      </c>
      <c r="G34" s="69">
        <f>2.05+9.98</f>
        <v>12.030000000000001</v>
      </c>
      <c r="H34" s="69">
        <f t="shared" si="5"/>
        <v>65.83000000000001</v>
      </c>
      <c r="I34" s="69">
        <v>0.01</v>
      </c>
      <c r="J34" s="69">
        <v>0.01</v>
      </c>
      <c r="K34" s="69">
        <v>0.01</v>
      </c>
      <c r="L34" s="69">
        <v>0.01</v>
      </c>
      <c r="M34" s="79">
        <v>0</v>
      </c>
      <c r="N34" s="69">
        <f>9.55+0.3</f>
        <v>9.850000000000001</v>
      </c>
      <c r="O34" s="69">
        <v>7.95</v>
      </c>
      <c r="P34" s="69">
        <v>1.84</v>
      </c>
      <c r="Q34" s="24">
        <f>0.07+0.03</f>
        <v>0.1</v>
      </c>
      <c r="R34" s="69">
        <v>0.08</v>
      </c>
      <c r="S34" s="106">
        <v>0.02</v>
      </c>
      <c r="V34" s="70"/>
      <c r="W34" s="62"/>
      <c r="X34" s="60" t="s">
        <v>113</v>
      </c>
      <c r="Y34" s="87">
        <f>'Сырьё лето'!X34</f>
        <v>0</v>
      </c>
      <c r="Z34" s="69">
        <v>0.49</v>
      </c>
      <c r="AA34" s="69">
        <v>1.75</v>
      </c>
      <c r="AB34" s="69">
        <f>2.05+9.98</f>
        <v>12.030000000000001</v>
      </c>
      <c r="AC34" s="71">
        <f t="shared" si="6"/>
        <v>65.83000000000001</v>
      </c>
      <c r="AD34" s="69">
        <v>0.01</v>
      </c>
      <c r="AE34" s="69">
        <v>0.01</v>
      </c>
      <c r="AF34" s="69">
        <v>0.01</v>
      </c>
      <c r="AG34" s="69">
        <v>0.01</v>
      </c>
      <c r="AH34" s="79">
        <v>0</v>
      </c>
      <c r="AI34" s="69">
        <f>9.55+0.3</f>
        <v>9.850000000000001</v>
      </c>
      <c r="AJ34" s="69">
        <v>7.95</v>
      </c>
      <c r="AK34" s="69">
        <v>1.84</v>
      </c>
      <c r="AL34" s="24">
        <f>0.07+0.03</f>
        <v>0.1</v>
      </c>
      <c r="AM34" s="69">
        <v>0.08</v>
      </c>
      <c r="AN34" s="95">
        <v>0.02</v>
      </c>
    </row>
    <row r="35" spans="1:40" ht="15" customHeight="1">
      <c r="A35" s="73"/>
      <c r="B35" s="106"/>
      <c r="C35" s="113" t="s">
        <v>116</v>
      </c>
      <c r="D35" s="225">
        <f>'Сырьё лето'!C35</f>
        <v>200</v>
      </c>
      <c r="E35" s="83">
        <v>0.52</v>
      </c>
      <c r="F35" s="83">
        <v>0.18</v>
      </c>
      <c r="G35" s="83">
        <v>28.86</v>
      </c>
      <c r="H35" s="69">
        <f t="shared" si="5"/>
        <v>119.14</v>
      </c>
      <c r="I35" s="83">
        <v>0.014</v>
      </c>
      <c r="J35" s="83">
        <v>0.018</v>
      </c>
      <c r="K35" s="83">
        <v>17.6</v>
      </c>
      <c r="L35" s="83">
        <v>0</v>
      </c>
      <c r="M35" s="83">
        <v>0</v>
      </c>
      <c r="N35" s="83">
        <v>23.7</v>
      </c>
      <c r="O35" s="83">
        <v>18.4</v>
      </c>
      <c r="P35" s="83">
        <v>13.4</v>
      </c>
      <c r="Q35" s="83">
        <v>0.712</v>
      </c>
      <c r="R35" s="83">
        <v>0.01</v>
      </c>
      <c r="S35" s="203">
        <v>0</v>
      </c>
      <c r="V35" s="70"/>
      <c r="W35" s="62"/>
      <c r="X35" s="63" t="s">
        <v>116</v>
      </c>
      <c r="Y35" s="87">
        <f>'Сырьё лето'!X35</f>
        <v>0</v>
      </c>
      <c r="Z35" s="83">
        <v>0.52</v>
      </c>
      <c r="AA35" s="83">
        <v>0.18</v>
      </c>
      <c r="AB35" s="83">
        <v>28.86</v>
      </c>
      <c r="AC35" s="69">
        <f t="shared" si="6"/>
        <v>119.14</v>
      </c>
      <c r="AD35" s="83">
        <v>0.014</v>
      </c>
      <c r="AE35" s="83">
        <v>0.018</v>
      </c>
      <c r="AF35" s="83">
        <v>27.6</v>
      </c>
      <c r="AG35" s="83">
        <v>0</v>
      </c>
      <c r="AH35" s="83">
        <v>0</v>
      </c>
      <c r="AI35" s="83">
        <v>23.7</v>
      </c>
      <c r="AJ35" s="83">
        <v>18.4</v>
      </c>
      <c r="AK35" s="83">
        <v>13.4</v>
      </c>
      <c r="AL35" s="83">
        <v>0.712</v>
      </c>
      <c r="AM35" s="83">
        <v>0.01</v>
      </c>
      <c r="AN35" s="93">
        <v>0</v>
      </c>
    </row>
    <row r="36" spans="1:40" ht="15" customHeight="1">
      <c r="A36" s="73"/>
      <c r="B36" s="106"/>
      <c r="C36" s="106" t="s">
        <v>53</v>
      </c>
      <c r="D36" s="225">
        <f>'Сырьё лето'!C36</f>
        <v>70</v>
      </c>
      <c r="E36" s="79">
        <f>Z36*'Сырьё лето'!AI36</f>
        <v>4.7250000000000005</v>
      </c>
      <c r="F36" s="79">
        <v>0.34</v>
      </c>
      <c r="G36" s="69">
        <v>30.06</v>
      </c>
      <c r="H36" s="69">
        <f t="shared" si="5"/>
        <v>142.2</v>
      </c>
      <c r="I36" s="79">
        <v>0.04</v>
      </c>
      <c r="J36" s="79">
        <v>0.01</v>
      </c>
      <c r="K36" s="79">
        <v>0</v>
      </c>
      <c r="L36" s="79">
        <v>0</v>
      </c>
      <c r="M36" s="79">
        <v>1.44</v>
      </c>
      <c r="N36" s="79">
        <v>8</v>
      </c>
      <c r="O36" s="79">
        <v>53.75</v>
      </c>
      <c r="P36" s="79">
        <v>2.4</v>
      </c>
      <c r="Q36" s="79">
        <v>0.44</v>
      </c>
      <c r="R36" s="79">
        <v>0</v>
      </c>
      <c r="S36" s="203">
        <v>0</v>
      </c>
      <c r="V36" s="70"/>
      <c r="W36" s="62"/>
      <c r="X36" s="60" t="s">
        <v>53</v>
      </c>
      <c r="Y36" s="87">
        <f>'Сырьё лето'!X36</f>
        <v>0</v>
      </c>
      <c r="Z36" s="82">
        <v>2.7</v>
      </c>
      <c r="AA36" s="82">
        <v>0.34</v>
      </c>
      <c r="AB36" s="82">
        <v>20.06</v>
      </c>
      <c r="AC36" s="69">
        <f t="shared" si="6"/>
        <v>94.1</v>
      </c>
      <c r="AD36" s="82">
        <v>0.04</v>
      </c>
      <c r="AE36" s="82">
        <v>0.01</v>
      </c>
      <c r="AF36" s="82">
        <v>0</v>
      </c>
      <c r="AG36" s="82">
        <v>0</v>
      </c>
      <c r="AH36" s="82">
        <v>0.44</v>
      </c>
      <c r="AI36" s="82">
        <v>8</v>
      </c>
      <c r="AJ36" s="82">
        <v>26</v>
      </c>
      <c r="AK36" s="82">
        <v>5.6</v>
      </c>
      <c r="AL36" s="82">
        <v>0.44</v>
      </c>
      <c r="AM36" s="82">
        <v>0</v>
      </c>
      <c r="AN36" s="93">
        <v>0</v>
      </c>
    </row>
    <row r="37" spans="1:40" ht="15" customHeight="1">
      <c r="A37" s="73"/>
      <c r="B37" s="106"/>
      <c r="C37" s="106" t="s">
        <v>156</v>
      </c>
      <c r="D37" s="225">
        <f>'Сырьё лето'!C37</f>
        <v>40</v>
      </c>
      <c r="E37" s="79">
        <f>Z37*'Сырьё лето'!AI37</f>
        <v>2.66</v>
      </c>
      <c r="F37" s="69">
        <v>0.48</v>
      </c>
      <c r="G37" s="69">
        <v>16.74</v>
      </c>
      <c r="H37" s="69">
        <f t="shared" si="5"/>
        <v>81.91999999999999</v>
      </c>
      <c r="I37" s="69">
        <v>0.22</v>
      </c>
      <c r="J37" s="69">
        <v>0.14</v>
      </c>
      <c r="K37" s="69">
        <v>0.28</v>
      </c>
      <c r="L37" s="69">
        <v>0</v>
      </c>
      <c r="M37" s="69">
        <v>0.22</v>
      </c>
      <c r="N37" s="69">
        <v>51.1</v>
      </c>
      <c r="O37" s="69">
        <v>87.5</v>
      </c>
      <c r="P37" s="79">
        <v>4</v>
      </c>
      <c r="Q37" s="24">
        <v>1.96</v>
      </c>
      <c r="R37" s="69">
        <v>0</v>
      </c>
      <c r="S37" s="203">
        <v>0.02</v>
      </c>
      <c r="V37" s="70"/>
      <c r="W37" s="60"/>
      <c r="X37" s="60" t="s">
        <v>156</v>
      </c>
      <c r="Y37" s="87">
        <f>'Сырьё лето'!X37</f>
        <v>0</v>
      </c>
      <c r="Z37" s="69">
        <v>2.66</v>
      </c>
      <c r="AA37" s="69">
        <v>0.48</v>
      </c>
      <c r="AB37" s="69">
        <v>16.74</v>
      </c>
      <c r="AC37" s="69">
        <f t="shared" si="6"/>
        <v>81.91999999999999</v>
      </c>
      <c r="AD37" s="69">
        <v>0.22</v>
      </c>
      <c r="AE37" s="69">
        <v>0.14</v>
      </c>
      <c r="AF37" s="69">
        <v>0.28</v>
      </c>
      <c r="AG37" s="69">
        <v>0</v>
      </c>
      <c r="AH37" s="69">
        <v>0.22</v>
      </c>
      <c r="AI37" s="69">
        <v>51.1</v>
      </c>
      <c r="AJ37" s="69">
        <v>87.5</v>
      </c>
      <c r="AK37" s="69">
        <v>28</v>
      </c>
      <c r="AL37" s="24">
        <v>1.96</v>
      </c>
      <c r="AM37" s="69">
        <v>0</v>
      </c>
      <c r="AN37" s="93">
        <v>0.04</v>
      </c>
    </row>
    <row r="38" spans="1:40" s="59" customFormat="1" ht="15" customHeight="1">
      <c r="A38" s="73"/>
      <c r="B38" s="106"/>
      <c r="C38" s="106" t="s">
        <v>169</v>
      </c>
      <c r="D38" s="225">
        <f>'Сырьё лето'!C38</f>
        <v>210</v>
      </c>
      <c r="E38" s="79">
        <f>Z38*'Сырьё лето'!AI38</f>
        <v>5.098333333333334</v>
      </c>
      <c r="F38" s="69">
        <f>2.7*1.8</f>
        <v>4.86</v>
      </c>
      <c r="G38" s="69">
        <v>7.175</v>
      </c>
      <c r="H38" s="69">
        <f t="shared" si="5"/>
        <v>92.83333333333334</v>
      </c>
      <c r="I38" s="69">
        <v>0.035</v>
      </c>
      <c r="J38" s="69">
        <v>0.245</v>
      </c>
      <c r="K38" s="69">
        <v>0.52</v>
      </c>
      <c r="L38" s="69">
        <v>0.35</v>
      </c>
      <c r="M38" s="69">
        <v>0</v>
      </c>
      <c r="N38" s="69">
        <v>217</v>
      </c>
      <c r="O38" s="69">
        <v>57.96</v>
      </c>
      <c r="P38" s="69">
        <v>24.5</v>
      </c>
      <c r="Q38" s="69">
        <v>0.175</v>
      </c>
      <c r="R38" s="69">
        <v>0.7</v>
      </c>
      <c r="S38" s="203">
        <v>0</v>
      </c>
      <c r="V38" s="70"/>
      <c r="W38" s="60"/>
      <c r="X38" s="60" t="s">
        <v>169</v>
      </c>
      <c r="Y38" s="87">
        <f>'Сырьё лето'!X38</f>
        <v>0</v>
      </c>
      <c r="Z38" s="69">
        <v>4.37</v>
      </c>
      <c r="AA38" s="69">
        <f>2.7*1.8</f>
        <v>4.86</v>
      </c>
      <c r="AB38" s="69">
        <v>7.175</v>
      </c>
      <c r="AC38" s="69">
        <f t="shared" si="6"/>
        <v>89.92</v>
      </c>
      <c r="AD38" s="69">
        <v>0.035</v>
      </c>
      <c r="AE38" s="69">
        <v>0.245</v>
      </c>
      <c r="AF38" s="69">
        <v>0.52</v>
      </c>
      <c r="AG38" s="69">
        <v>0.35</v>
      </c>
      <c r="AH38" s="69">
        <v>0</v>
      </c>
      <c r="AI38" s="69">
        <v>217</v>
      </c>
      <c r="AJ38" s="69">
        <v>57.96</v>
      </c>
      <c r="AK38" s="69">
        <v>24.5</v>
      </c>
      <c r="AL38" s="69">
        <v>0.175</v>
      </c>
      <c r="AM38" s="69">
        <v>0.7</v>
      </c>
      <c r="AN38" s="93">
        <v>0</v>
      </c>
    </row>
    <row r="39" spans="1:40" ht="15" customHeight="1">
      <c r="A39" s="73"/>
      <c r="B39" s="211"/>
      <c r="C39" s="212" t="s">
        <v>15</v>
      </c>
      <c r="D39" s="213">
        <f>SUM(D31:D38)+270</f>
        <v>1325</v>
      </c>
      <c r="E39" s="208">
        <f aca="true" t="shared" si="7" ref="E39:S39">SUM(E31:E38)</f>
        <v>35.623333333333335</v>
      </c>
      <c r="F39" s="208">
        <f t="shared" si="7"/>
        <v>27.49</v>
      </c>
      <c r="G39" s="208">
        <f t="shared" si="7"/>
        <v>142.75500000000002</v>
      </c>
      <c r="H39" s="208">
        <f t="shared" si="7"/>
        <v>960.9233333333334</v>
      </c>
      <c r="I39" s="208">
        <f t="shared" si="7"/>
        <v>0.509</v>
      </c>
      <c r="J39" s="208">
        <f t="shared" si="7"/>
        <v>0.803</v>
      </c>
      <c r="K39" s="208">
        <f t="shared" si="7"/>
        <v>30.42</v>
      </c>
      <c r="L39" s="208">
        <f t="shared" si="7"/>
        <v>0.43999999999999995</v>
      </c>
      <c r="M39" s="208">
        <f t="shared" si="7"/>
        <v>2.56</v>
      </c>
      <c r="N39" s="208">
        <f t="shared" si="7"/>
        <v>524.25</v>
      </c>
      <c r="O39" s="208">
        <f t="shared" si="7"/>
        <v>653.99</v>
      </c>
      <c r="P39" s="208">
        <f t="shared" si="7"/>
        <v>105.04000000000002</v>
      </c>
      <c r="Q39" s="208">
        <f t="shared" si="7"/>
        <v>5.877</v>
      </c>
      <c r="R39" s="208">
        <f t="shared" si="7"/>
        <v>4.12</v>
      </c>
      <c r="S39" s="208">
        <f t="shared" si="7"/>
        <v>0.1</v>
      </c>
      <c r="W39" s="16"/>
      <c r="X39" s="20" t="s">
        <v>15</v>
      </c>
      <c r="Y39" s="36">
        <f>SUM(Y31:Y38)+270</f>
        <v>272.5</v>
      </c>
      <c r="Z39" s="72">
        <f aca="true" t="shared" si="8" ref="Z39:AN39">SUM(Z31:Z38)</f>
        <v>37.79</v>
      </c>
      <c r="AA39" s="72">
        <f t="shared" si="8"/>
        <v>27.49</v>
      </c>
      <c r="AB39" s="72">
        <f t="shared" si="8"/>
        <v>132.755</v>
      </c>
      <c r="AC39" s="72">
        <f t="shared" si="8"/>
        <v>929.5899999999999</v>
      </c>
      <c r="AD39" s="72">
        <f t="shared" si="8"/>
        <v>0.509</v>
      </c>
      <c r="AE39" s="72">
        <f t="shared" si="8"/>
        <v>0.803</v>
      </c>
      <c r="AF39" s="72">
        <f t="shared" si="8"/>
        <v>40.42000000000001</v>
      </c>
      <c r="AG39" s="72">
        <f t="shared" si="8"/>
        <v>1.24</v>
      </c>
      <c r="AH39" s="72">
        <f t="shared" si="8"/>
        <v>1.56</v>
      </c>
      <c r="AI39" s="72">
        <f t="shared" si="8"/>
        <v>524.25</v>
      </c>
      <c r="AJ39" s="72">
        <f t="shared" si="8"/>
        <v>526.2399999999999</v>
      </c>
      <c r="AK39" s="72">
        <f t="shared" si="8"/>
        <v>132.24</v>
      </c>
      <c r="AL39" s="72">
        <f t="shared" si="8"/>
        <v>5.877</v>
      </c>
      <c r="AM39" s="72">
        <f t="shared" si="8"/>
        <v>3.12</v>
      </c>
      <c r="AN39" s="72">
        <f t="shared" si="8"/>
        <v>0.19</v>
      </c>
    </row>
    <row r="40" spans="1:40" s="28" customFormat="1" ht="15" customHeight="1">
      <c r="A40" s="27"/>
      <c r="B40" s="214"/>
      <c r="C40" s="215"/>
      <c r="D40" s="216"/>
      <c r="E40" s="69">
        <v>31.5</v>
      </c>
      <c r="F40" s="69">
        <v>32.2</v>
      </c>
      <c r="G40" s="69">
        <v>134.05</v>
      </c>
      <c r="H40" s="69">
        <v>949.55</v>
      </c>
      <c r="I40" s="69">
        <v>0.49</v>
      </c>
      <c r="J40" s="69">
        <v>0.56</v>
      </c>
      <c r="K40" s="69">
        <v>24.5</v>
      </c>
      <c r="L40" s="210">
        <v>0.315</v>
      </c>
      <c r="M40" s="69">
        <v>4.2</v>
      </c>
      <c r="N40" s="69">
        <v>420</v>
      </c>
      <c r="O40" s="69">
        <v>630</v>
      </c>
      <c r="P40" s="69">
        <v>105</v>
      </c>
      <c r="Q40" s="69">
        <v>5.95</v>
      </c>
      <c r="R40" s="69">
        <v>4.9</v>
      </c>
      <c r="S40" s="69">
        <v>0.042</v>
      </c>
      <c r="V40" s="27"/>
      <c r="W40" s="30"/>
      <c r="X40" s="86"/>
      <c r="Y40" s="37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1:40" ht="15" customHeight="1">
      <c r="A41" s="73"/>
      <c r="B41" s="209"/>
      <c r="C41" s="73"/>
      <c r="D41" s="3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203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93"/>
    </row>
    <row r="42" spans="1:40" ht="15" customHeight="1">
      <c r="A42" s="73"/>
      <c r="B42" s="274" t="s">
        <v>147</v>
      </c>
      <c r="C42" s="275"/>
      <c r="D42" s="3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V42" s="19"/>
      <c r="W42" s="304" t="s">
        <v>147</v>
      </c>
      <c r="X42" s="305"/>
      <c r="Y42" s="35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40" ht="15" customHeight="1">
      <c r="A43" s="73"/>
      <c r="B43" s="106">
        <v>96</v>
      </c>
      <c r="C43" s="113" t="s">
        <v>57</v>
      </c>
      <c r="D43" s="225">
        <f>'Сырьё лето'!C43</f>
        <v>250</v>
      </c>
      <c r="E43" s="73">
        <v>2.02</v>
      </c>
      <c r="F43" s="73">
        <v>5.09</v>
      </c>
      <c r="G43" s="73">
        <v>11.98</v>
      </c>
      <c r="H43" s="73">
        <f>E43*4+F43*9+G43*4</f>
        <v>101.81</v>
      </c>
      <c r="I43" s="73">
        <v>0.09</v>
      </c>
      <c r="J43" s="73">
        <v>0.06</v>
      </c>
      <c r="K43" s="73">
        <v>8.38</v>
      </c>
      <c r="L43" s="73">
        <v>0</v>
      </c>
      <c r="M43" s="73">
        <v>0.5</v>
      </c>
      <c r="N43" s="73">
        <v>29.15</v>
      </c>
      <c r="O43" s="73">
        <v>56.73</v>
      </c>
      <c r="P43" s="73">
        <v>24.18</v>
      </c>
      <c r="Q43" s="81">
        <v>0.93</v>
      </c>
      <c r="R43" s="73">
        <v>1.47</v>
      </c>
      <c r="S43" s="203">
        <v>0.02</v>
      </c>
      <c r="W43" s="60">
        <v>96</v>
      </c>
      <c r="X43" s="63" t="s">
        <v>57</v>
      </c>
      <c r="Y43" s="87">
        <f>'Сырьё лето'!X43</f>
        <v>0</v>
      </c>
      <c r="Z43" s="73">
        <v>2.02</v>
      </c>
      <c r="AA43" s="73">
        <v>5.09</v>
      </c>
      <c r="AB43" s="73">
        <v>11.98</v>
      </c>
      <c r="AC43" s="73">
        <f>Z43*4+AA43*9+AB43*4</f>
        <v>101.81</v>
      </c>
      <c r="AD43" s="73">
        <v>0.09</v>
      </c>
      <c r="AE43" s="73">
        <v>0.06</v>
      </c>
      <c r="AF43" s="73">
        <v>8.38</v>
      </c>
      <c r="AG43" s="73">
        <v>0</v>
      </c>
      <c r="AH43" s="73">
        <v>0.5</v>
      </c>
      <c r="AI43" s="73">
        <v>29.15</v>
      </c>
      <c r="AJ43" s="73">
        <v>56.73</v>
      </c>
      <c r="AK43" s="73">
        <v>24.18</v>
      </c>
      <c r="AL43" s="81">
        <v>0.93</v>
      </c>
      <c r="AM43" s="73">
        <v>0.47</v>
      </c>
      <c r="AN43" s="93">
        <v>0.05</v>
      </c>
    </row>
    <row r="44" spans="1:40" ht="15" customHeight="1">
      <c r="A44" s="73"/>
      <c r="B44" s="195"/>
      <c r="C44" s="106" t="s">
        <v>101</v>
      </c>
      <c r="D44" s="225">
        <f>'Сырьё лето'!C44</f>
        <v>130</v>
      </c>
      <c r="E44" s="79">
        <v>19.52</v>
      </c>
      <c r="F44" s="83">
        <v>16</v>
      </c>
      <c r="G44" s="83">
        <v>0.06</v>
      </c>
      <c r="H44" s="73">
        <f aca="true" t="shared" si="9" ref="H44:H49">E44*4+F44*9+G44*4</f>
        <v>222.32</v>
      </c>
      <c r="I44" s="83">
        <v>0.06</v>
      </c>
      <c r="J44" s="83">
        <v>0.13</v>
      </c>
      <c r="K44" s="83">
        <v>2.08</v>
      </c>
      <c r="L44" s="83">
        <v>0.4</v>
      </c>
      <c r="M44" s="73">
        <v>1.3</v>
      </c>
      <c r="N44" s="83">
        <v>43.65</v>
      </c>
      <c r="O44" s="83">
        <v>149.58</v>
      </c>
      <c r="P44" s="83">
        <v>19.25</v>
      </c>
      <c r="Q44" s="83">
        <v>1.71</v>
      </c>
      <c r="R44" s="83">
        <v>0</v>
      </c>
      <c r="S44" s="203">
        <v>0</v>
      </c>
      <c r="V44" s="70"/>
      <c r="W44" s="78"/>
      <c r="X44" s="60" t="s">
        <v>101</v>
      </c>
      <c r="Y44" s="87">
        <f>'Сырьё лето'!X44</f>
        <v>7.799999999999999</v>
      </c>
      <c r="Z44" s="83">
        <v>19.3</v>
      </c>
      <c r="AA44" s="83">
        <v>16</v>
      </c>
      <c r="AB44" s="83">
        <v>0.06</v>
      </c>
      <c r="AC44" s="73">
        <f aca="true" t="shared" si="10" ref="AC44:AC49">Z44*4+AA44*9+AB44*4</f>
        <v>221.44</v>
      </c>
      <c r="AD44" s="83">
        <v>0.06</v>
      </c>
      <c r="AE44" s="83">
        <v>0.13</v>
      </c>
      <c r="AF44" s="83">
        <v>2.08</v>
      </c>
      <c r="AG44" s="83">
        <v>0.9</v>
      </c>
      <c r="AH44" s="73">
        <v>0.3</v>
      </c>
      <c r="AI44" s="83">
        <v>43.65</v>
      </c>
      <c r="AJ44" s="83">
        <v>149.58</v>
      </c>
      <c r="AK44" s="83">
        <v>19.25</v>
      </c>
      <c r="AL44" s="83">
        <v>1.71</v>
      </c>
      <c r="AM44" s="83">
        <v>0</v>
      </c>
      <c r="AN44" s="93">
        <v>0</v>
      </c>
    </row>
    <row r="45" spans="1:40" ht="15" customHeight="1">
      <c r="A45" s="73"/>
      <c r="B45" s="106">
        <v>143</v>
      </c>
      <c r="C45" s="106" t="s">
        <v>62</v>
      </c>
      <c r="D45" s="225">
        <f>'Сырьё лето'!C45</f>
        <v>180</v>
      </c>
      <c r="E45" s="79">
        <f>Z45*'Сырьё лето'!AI45</f>
        <v>3.0323076923076924</v>
      </c>
      <c r="F45" s="79">
        <v>13.61</v>
      </c>
      <c r="G45" s="79">
        <v>10.65</v>
      </c>
      <c r="H45" s="73">
        <f t="shared" si="9"/>
        <v>177.21923076923076</v>
      </c>
      <c r="I45" s="79">
        <v>0.07</v>
      </c>
      <c r="J45" s="79">
        <v>0.07</v>
      </c>
      <c r="K45" s="79">
        <v>15.49</v>
      </c>
      <c r="L45" s="79">
        <v>0</v>
      </c>
      <c r="M45" s="73">
        <v>0</v>
      </c>
      <c r="N45" s="79">
        <v>46</v>
      </c>
      <c r="O45" s="79">
        <v>55.71</v>
      </c>
      <c r="P45" s="79">
        <v>20.13</v>
      </c>
      <c r="Q45" s="80">
        <v>0.74</v>
      </c>
      <c r="R45" s="79">
        <v>2.35</v>
      </c>
      <c r="S45" s="203">
        <v>0.02</v>
      </c>
      <c r="V45" s="70"/>
      <c r="W45" s="62">
        <v>143</v>
      </c>
      <c r="X45" s="62" t="s">
        <v>62</v>
      </c>
      <c r="Y45" s="87">
        <f>'Сырьё лето'!X45</f>
        <v>0</v>
      </c>
      <c r="Z45" s="79">
        <v>2.19</v>
      </c>
      <c r="AA45" s="79">
        <v>13.61</v>
      </c>
      <c r="AB45" s="79">
        <v>10.65</v>
      </c>
      <c r="AC45" s="73">
        <f t="shared" si="10"/>
        <v>173.85</v>
      </c>
      <c r="AD45" s="79">
        <v>0.07</v>
      </c>
      <c r="AE45" s="79">
        <v>0.07</v>
      </c>
      <c r="AF45" s="79">
        <v>15.49</v>
      </c>
      <c r="AG45" s="79">
        <v>0.57</v>
      </c>
      <c r="AH45" s="73">
        <v>0</v>
      </c>
      <c r="AI45" s="79">
        <v>46</v>
      </c>
      <c r="AJ45" s="79">
        <v>55.71</v>
      </c>
      <c r="AK45" s="79">
        <v>20.13</v>
      </c>
      <c r="AL45" s="80">
        <v>0.74</v>
      </c>
      <c r="AM45" s="79">
        <v>0.35</v>
      </c>
      <c r="AN45" s="93">
        <v>0.02</v>
      </c>
    </row>
    <row r="46" spans="1:40" ht="15" customHeight="1">
      <c r="A46" s="73"/>
      <c r="B46" s="106">
        <v>397</v>
      </c>
      <c r="C46" s="106" t="s">
        <v>100</v>
      </c>
      <c r="D46" s="225">
        <f>'Сырьё лето'!C46</f>
        <v>200</v>
      </c>
      <c r="E46" s="79">
        <v>0.12</v>
      </c>
      <c r="F46" s="79">
        <v>0.1</v>
      </c>
      <c r="G46" s="79">
        <v>27.5</v>
      </c>
      <c r="H46" s="73">
        <f t="shared" si="9"/>
        <v>111.38</v>
      </c>
      <c r="I46" s="79">
        <v>0.01</v>
      </c>
      <c r="J46" s="79" t="s">
        <v>118</v>
      </c>
      <c r="K46" s="79">
        <v>2.07</v>
      </c>
      <c r="L46" s="79">
        <v>0</v>
      </c>
      <c r="M46" s="79">
        <v>0</v>
      </c>
      <c r="N46" s="79">
        <v>16.2</v>
      </c>
      <c r="O46" s="79">
        <v>7.2</v>
      </c>
      <c r="P46" s="79">
        <v>7.51</v>
      </c>
      <c r="Q46" s="80">
        <v>0.89</v>
      </c>
      <c r="R46" s="79">
        <v>0.07</v>
      </c>
      <c r="S46" s="203">
        <v>0</v>
      </c>
      <c r="V46" s="70"/>
      <c r="W46" s="60">
        <v>397</v>
      </c>
      <c r="X46" s="60" t="s">
        <v>100</v>
      </c>
      <c r="Y46" s="87">
        <f>'Сырьё лето'!X46</f>
        <v>0</v>
      </c>
      <c r="Z46" s="79">
        <v>0.12</v>
      </c>
      <c r="AA46" s="79">
        <v>0.1</v>
      </c>
      <c r="AB46" s="79">
        <v>27.5</v>
      </c>
      <c r="AC46" s="73">
        <f t="shared" si="10"/>
        <v>111.38</v>
      </c>
      <c r="AD46" s="79">
        <v>0.01</v>
      </c>
      <c r="AE46" s="79" t="s">
        <v>118</v>
      </c>
      <c r="AF46" s="79">
        <v>2.07</v>
      </c>
      <c r="AG46" s="79">
        <v>0</v>
      </c>
      <c r="AH46" s="79">
        <v>0</v>
      </c>
      <c r="AI46" s="79">
        <v>16.2</v>
      </c>
      <c r="AJ46" s="79">
        <v>7.2</v>
      </c>
      <c r="AK46" s="79">
        <v>7.51</v>
      </c>
      <c r="AL46" s="80">
        <v>0.89</v>
      </c>
      <c r="AM46" s="79">
        <v>0.07</v>
      </c>
      <c r="AN46" s="93">
        <v>0.01</v>
      </c>
    </row>
    <row r="47" spans="1:40" ht="15" customHeight="1">
      <c r="A47" s="73"/>
      <c r="B47" s="106"/>
      <c r="C47" s="106" t="s">
        <v>53</v>
      </c>
      <c r="D47" s="225">
        <f>'Сырьё лето'!C47</f>
        <v>70</v>
      </c>
      <c r="E47" s="79">
        <f>Z47*'Сырьё лето'!AI47</f>
        <v>4.7250000000000005</v>
      </c>
      <c r="F47" s="79">
        <v>0.34</v>
      </c>
      <c r="G47" s="69">
        <v>30.06</v>
      </c>
      <c r="H47" s="73">
        <f t="shared" si="9"/>
        <v>142.2</v>
      </c>
      <c r="I47" s="79">
        <v>0.04</v>
      </c>
      <c r="J47" s="79">
        <v>0.01</v>
      </c>
      <c r="K47" s="79">
        <v>0</v>
      </c>
      <c r="L47" s="79">
        <v>0</v>
      </c>
      <c r="M47" s="79">
        <v>1.44</v>
      </c>
      <c r="N47" s="79">
        <v>8</v>
      </c>
      <c r="O47" s="79">
        <v>53.75</v>
      </c>
      <c r="P47" s="79">
        <v>2.4</v>
      </c>
      <c r="Q47" s="79">
        <v>0.44</v>
      </c>
      <c r="R47" s="79">
        <v>0</v>
      </c>
      <c r="S47" s="203">
        <v>0</v>
      </c>
      <c r="V47" s="70"/>
      <c r="W47" s="62"/>
      <c r="X47" s="60" t="s">
        <v>53</v>
      </c>
      <c r="Y47" s="87">
        <f>'Сырьё лето'!X47</f>
        <v>0</v>
      </c>
      <c r="Z47" s="82">
        <v>2.7</v>
      </c>
      <c r="AA47" s="82">
        <v>0.34</v>
      </c>
      <c r="AB47" s="82">
        <v>20.06</v>
      </c>
      <c r="AC47" s="73">
        <f t="shared" si="10"/>
        <v>94.1</v>
      </c>
      <c r="AD47" s="82">
        <v>0.04</v>
      </c>
      <c r="AE47" s="82">
        <v>0.01</v>
      </c>
      <c r="AF47" s="82">
        <v>0</v>
      </c>
      <c r="AG47" s="82">
        <v>0</v>
      </c>
      <c r="AH47" s="82">
        <v>0.44</v>
      </c>
      <c r="AI47" s="82">
        <v>8</v>
      </c>
      <c r="AJ47" s="82">
        <v>26</v>
      </c>
      <c r="AK47" s="82">
        <v>5.6</v>
      </c>
      <c r="AL47" s="82">
        <v>0.44</v>
      </c>
      <c r="AM47" s="82">
        <v>0</v>
      </c>
      <c r="AN47" s="93">
        <v>0</v>
      </c>
    </row>
    <row r="48" spans="1:40" ht="15" customHeight="1">
      <c r="A48" s="73"/>
      <c r="B48" s="106"/>
      <c r="C48" s="106" t="s">
        <v>156</v>
      </c>
      <c r="D48" s="225">
        <f>'Сырьё лето'!C48</f>
        <v>50</v>
      </c>
      <c r="E48" s="79">
        <f>Z48*'Сырьё лето'!AI48</f>
        <v>3.325</v>
      </c>
      <c r="F48" s="79">
        <v>0.24</v>
      </c>
      <c r="G48" s="69">
        <v>16.74</v>
      </c>
      <c r="H48" s="73">
        <f t="shared" si="9"/>
        <v>82.41999999999999</v>
      </c>
      <c r="I48" s="79">
        <v>0.11</v>
      </c>
      <c r="J48" s="79">
        <v>0.07</v>
      </c>
      <c r="K48" s="79">
        <v>0.14</v>
      </c>
      <c r="L48" s="79">
        <v>0</v>
      </c>
      <c r="M48" s="79">
        <v>0.11</v>
      </c>
      <c r="N48" s="79">
        <v>25.55</v>
      </c>
      <c r="O48" s="79">
        <v>43.75</v>
      </c>
      <c r="P48" s="79">
        <v>4</v>
      </c>
      <c r="Q48" s="80">
        <v>0.98</v>
      </c>
      <c r="R48" s="79">
        <v>0</v>
      </c>
      <c r="S48" s="203">
        <v>0.02</v>
      </c>
      <c r="V48" s="70"/>
      <c r="W48" s="60"/>
      <c r="X48" s="60" t="s">
        <v>156</v>
      </c>
      <c r="Y48" s="87">
        <f>'Сырьё лето'!X48</f>
        <v>0</v>
      </c>
      <c r="Z48" s="79">
        <v>1.33</v>
      </c>
      <c r="AA48" s="79">
        <v>0.24</v>
      </c>
      <c r="AB48" s="79">
        <v>8.37</v>
      </c>
      <c r="AC48" s="73">
        <f t="shared" si="10"/>
        <v>40.959999999999994</v>
      </c>
      <c r="AD48" s="79">
        <v>0.11</v>
      </c>
      <c r="AE48" s="79">
        <v>0.07</v>
      </c>
      <c r="AF48" s="79">
        <v>0.14</v>
      </c>
      <c r="AG48" s="79">
        <v>0</v>
      </c>
      <c r="AH48" s="79">
        <v>0.11</v>
      </c>
      <c r="AI48" s="79">
        <v>25.55</v>
      </c>
      <c r="AJ48" s="79">
        <v>43.75</v>
      </c>
      <c r="AK48" s="79">
        <v>14</v>
      </c>
      <c r="AL48" s="80">
        <v>0.98</v>
      </c>
      <c r="AM48" s="79">
        <v>0</v>
      </c>
      <c r="AN48" s="93">
        <v>0.2</v>
      </c>
    </row>
    <row r="49" spans="1:40" ht="15" customHeight="1">
      <c r="A49" s="73"/>
      <c r="B49" s="106"/>
      <c r="C49" s="106" t="s">
        <v>160</v>
      </c>
      <c r="D49" s="225">
        <f>'Сырьё лето'!C49</f>
        <v>100</v>
      </c>
      <c r="E49" s="69">
        <v>0.5</v>
      </c>
      <c r="F49" s="69">
        <v>0.5</v>
      </c>
      <c r="G49" s="69">
        <v>22.83</v>
      </c>
      <c r="H49" s="73">
        <f t="shared" si="9"/>
        <v>97.82</v>
      </c>
      <c r="I49" s="69">
        <v>0.04</v>
      </c>
      <c r="J49" s="69">
        <v>0.02</v>
      </c>
      <c r="K49" s="69">
        <v>5</v>
      </c>
      <c r="L49" s="69">
        <v>0</v>
      </c>
      <c r="M49" s="69">
        <v>0.33</v>
      </c>
      <c r="N49" s="69">
        <v>25</v>
      </c>
      <c r="O49" s="69">
        <v>18.33</v>
      </c>
      <c r="P49" s="69">
        <v>14.17</v>
      </c>
      <c r="Q49" s="24">
        <v>0.5</v>
      </c>
      <c r="R49" s="69">
        <v>0.09</v>
      </c>
      <c r="S49" s="203">
        <v>0</v>
      </c>
      <c r="V49" s="70"/>
      <c r="W49" s="60"/>
      <c r="X49" s="60" t="s">
        <v>160</v>
      </c>
      <c r="Y49" s="87">
        <f>'Сырьё лето'!X49</f>
        <v>0</v>
      </c>
      <c r="Z49" s="69">
        <v>0.5</v>
      </c>
      <c r="AA49" s="69">
        <v>0.5</v>
      </c>
      <c r="AB49" s="69">
        <v>12.83</v>
      </c>
      <c r="AC49" s="73">
        <f t="shared" si="10"/>
        <v>57.82</v>
      </c>
      <c r="AD49" s="69">
        <v>0.04</v>
      </c>
      <c r="AE49" s="69">
        <v>0.02</v>
      </c>
      <c r="AF49" s="69">
        <v>5</v>
      </c>
      <c r="AG49" s="69">
        <v>0</v>
      </c>
      <c r="AH49" s="69">
        <v>0.33</v>
      </c>
      <c r="AI49" s="69">
        <v>25</v>
      </c>
      <c r="AJ49" s="69">
        <v>18.33</v>
      </c>
      <c r="AK49" s="69">
        <v>14.17</v>
      </c>
      <c r="AL49" s="24">
        <v>0.5</v>
      </c>
      <c r="AM49" s="69">
        <v>0.09</v>
      </c>
      <c r="AN49" s="93">
        <v>0</v>
      </c>
    </row>
    <row r="50" spans="1:40" s="59" customFormat="1" ht="15" customHeight="1">
      <c r="A50" s="73"/>
      <c r="B50" s="106"/>
      <c r="C50" s="106" t="s">
        <v>157</v>
      </c>
      <c r="D50" s="225">
        <f>'Сырьё лето'!C50</f>
        <v>200</v>
      </c>
      <c r="E50" s="73">
        <v>5.8</v>
      </c>
      <c r="F50" s="73">
        <v>5</v>
      </c>
      <c r="G50" s="73">
        <v>9.6</v>
      </c>
      <c r="H50" s="73">
        <v>107</v>
      </c>
      <c r="I50" s="73">
        <v>0.08</v>
      </c>
      <c r="J50" s="73">
        <v>0.3</v>
      </c>
      <c r="K50" s="73">
        <v>2.6</v>
      </c>
      <c r="L50" s="73">
        <v>0.4</v>
      </c>
      <c r="M50" s="73">
        <v>0</v>
      </c>
      <c r="N50" s="73">
        <v>240</v>
      </c>
      <c r="O50" s="73">
        <v>180</v>
      </c>
      <c r="P50" s="73">
        <v>28</v>
      </c>
      <c r="Q50" s="81">
        <v>0.2</v>
      </c>
      <c r="R50" s="73">
        <v>0</v>
      </c>
      <c r="S50" s="203">
        <v>0</v>
      </c>
      <c r="V50" s="15"/>
      <c r="W50" s="60"/>
      <c r="X50" s="60" t="s">
        <v>157</v>
      </c>
      <c r="Y50" s="87">
        <f>'Сырьё лето'!X50</f>
        <v>0</v>
      </c>
      <c r="Z50" s="73">
        <v>5.8</v>
      </c>
      <c r="AA50" s="73">
        <v>5</v>
      </c>
      <c r="AB50" s="73">
        <v>9.6</v>
      </c>
      <c r="AC50" s="73">
        <v>107</v>
      </c>
      <c r="AD50" s="73">
        <v>0.08</v>
      </c>
      <c r="AE50" s="73">
        <v>0.3</v>
      </c>
      <c r="AF50" s="73">
        <v>2.6</v>
      </c>
      <c r="AG50" s="73">
        <v>0.4</v>
      </c>
      <c r="AH50" s="73">
        <v>0</v>
      </c>
      <c r="AI50" s="73">
        <v>240</v>
      </c>
      <c r="AJ50" s="73">
        <v>180</v>
      </c>
      <c r="AK50" s="73">
        <v>28</v>
      </c>
      <c r="AL50" s="81">
        <v>0.2</v>
      </c>
      <c r="AM50" s="73">
        <v>0</v>
      </c>
      <c r="AN50" s="93">
        <v>0</v>
      </c>
    </row>
    <row r="51" spans="1:40" ht="15" customHeight="1">
      <c r="A51" s="73"/>
      <c r="B51" s="106"/>
      <c r="C51" s="106"/>
      <c r="D51" s="227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81"/>
      <c r="R51" s="73"/>
      <c r="S51" s="203"/>
      <c r="W51" s="62"/>
      <c r="X51" s="60"/>
      <c r="Y51" s="39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81"/>
      <c r="AM51" s="73"/>
      <c r="AN51" s="93"/>
    </row>
    <row r="52" spans="1:40" ht="15" customHeight="1">
      <c r="A52" s="73"/>
      <c r="B52" s="211"/>
      <c r="C52" s="212" t="s">
        <v>15</v>
      </c>
      <c r="D52" s="213">
        <f>SUM(D43:D51)</f>
        <v>1180</v>
      </c>
      <c r="E52" s="208">
        <f aca="true" t="shared" si="11" ref="E52:S52">SUM(E43:E51)</f>
        <v>39.042307692307695</v>
      </c>
      <c r="F52" s="208">
        <f t="shared" si="11"/>
        <v>40.88000000000001</v>
      </c>
      <c r="G52" s="208">
        <f t="shared" si="11"/>
        <v>129.42</v>
      </c>
      <c r="H52" s="208">
        <f t="shared" si="11"/>
        <v>1042.1692307692308</v>
      </c>
      <c r="I52" s="208">
        <f t="shared" si="11"/>
        <v>0.5</v>
      </c>
      <c r="J52" s="208">
        <f t="shared" si="11"/>
        <v>0.66</v>
      </c>
      <c r="K52" s="208">
        <f t="shared" si="11"/>
        <v>35.760000000000005</v>
      </c>
      <c r="L52" s="208">
        <f t="shared" si="11"/>
        <v>0.8</v>
      </c>
      <c r="M52" s="208">
        <f t="shared" si="11"/>
        <v>3.68</v>
      </c>
      <c r="N52" s="208">
        <f t="shared" si="11"/>
        <v>433.55</v>
      </c>
      <c r="O52" s="208">
        <f t="shared" si="11"/>
        <v>565.05</v>
      </c>
      <c r="P52" s="208">
        <f t="shared" si="11"/>
        <v>119.64000000000001</v>
      </c>
      <c r="Q52" s="208">
        <f t="shared" si="11"/>
        <v>6.39</v>
      </c>
      <c r="R52" s="208">
        <f t="shared" si="11"/>
        <v>3.98</v>
      </c>
      <c r="S52" s="213">
        <f t="shared" si="11"/>
        <v>0.06</v>
      </c>
      <c r="W52" s="16"/>
      <c r="X52" s="20" t="s">
        <v>15</v>
      </c>
      <c r="Y52" s="36">
        <f>SUM(Y43:Y51)</f>
        <v>7.799999999999999</v>
      </c>
      <c r="Z52" s="36">
        <f aca="true" t="shared" si="12" ref="Z52:AN52">SUM(Z43:Z51)</f>
        <v>33.96</v>
      </c>
      <c r="AA52" s="36">
        <f t="shared" si="12"/>
        <v>40.88000000000001</v>
      </c>
      <c r="AB52" s="36">
        <f t="shared" si="12"/>
        <v>101.05</v>
      </c>
      <c r="AC52" s="36">
        <f t="shared" si="12"/>
        <v>908.3600000000001</v>
      </c>
      <c r="AD52" s="36">
        <f t="shared" si="12"/>
        <v>0.5</v>
      </c>
      <c r="AE52" s="36">
        <f t="shared" si="12"/>
        <v>0.66</v>
      </c>
      <c r="AF52" s="36">
        <f t="shared" si="12"/>
        <v>35.760000000000005</v>
      </c>
      <c r="AG52" s="36">
        <f t="shared" si="12"/>
        <v>1.87</v>
      </c>
      <c r="AH52" s="36">
        <f t="shared" si="12"/>
        <v>1.6800000000000002</v>
      </c>
      <c r="AI52" s="36">
        <f t="shared" si="12"/>
        <v>433.55</v>
      </c>
      <c r="AJ52" s="36">
        <f t="shared" si="12"/>
        <v>537.3</v>
      </c>
      <c r="AK52" s="36">
        <f t="shared" si="12"/>
        <v>132.84</v>
      </c>
      <c r="AL52" s="36">
        <f t="shared" si="12"/>
        <v>6.39</v>
      </c>
      <c r="AM52" s="36">
        <f t="shared" si="12"/>
        <v>0.9799999999999999</v>
      </c>
      <c r="AN52" s="36">
        <f t="shared" si="12"/>
        <v>0.28</v>
      </c>
    </row>
    <row r="53" spans="1:40" ht="15" customHeight="1">
      <c r="A53" s="73"/>
      <c r="B53" s="209"/>
      <c r="C53" s="69"/>
      <c r="D53" s="34"/>
      <c r="E53" s="69">
        <v>31.5</v>
      </c>
      <c r="F53" s="69">
        <v>32.2</v>
      </c>
      <c r="G53" s="69">
        <v>134.05</v>
      </c>
      <c r="H53" s="69">
        <v>949.55</v>
      </c>
      <c r="I53" s="69">
        <v>0.49</v>
      </c>
      <c r="J53" s="69">
        <v>0.56</v>
      </c>
      <c r="K53" s="69">
        <v>24.5</v>
      </c>
      <c r="L53" s="210">
        <v>0.315</v>
      </c>
      <c r="M53" s="69">
        <v>4.2</v>
      </c>
      <c r="N53" s="69">
        <v>420</v>
      </c>
      <c r="O53" s="69">
        <v>630</v>
      </c>
      <c r="P53" s="69">
        <v>105</v>
      </c>
      <c r="Q53" s="69">
        <v>5.95</v>
      </c>
      <c r="R53" s="69">
        <v>4.9</v>
      </c>
      <c r="S53" s="69">
        <v>0.042</v>
      </c>
      <c r="V53" s="73"/>
      <c r="W53" s="17"/>
      <c r="X53" s="74"/>
      <c r="Y53" s="33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</row>
    <row r="54" spans="1:40" ht="15" customHeight="1">
      <c r="A54" s="73"/>
      <c r="B54" s="274" t="s">
        <v>148</v>
      </c>
      <c r="C54" s="275"/>
      <c r="D54" s="34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V54" s="19"/>
      <c r="W54" s="304" t="s">
        <v>148</v>
      </c>
      <c r="X54" s="305"/>
      <c r="Y54" s="35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</row>
    <row r="55" spans="1:40" ht="15" customHeight="1">
      <c r="A55" s="73"/>
      <c r="B55" s="106">
        <v>84</v>
      </c>
      <c r="C55" s="106" t="s">
        <v>55</v>
      </c>
      <c r="D55" s="225">
        <f>'Сырьё лето'!C55</f>
        <v>250</v>
      </c>
      <c r="E55" s="83">
        <v>3.56</v>
      </c>
      <c r="F55" s="83">
        <v>8.12</v>
      </c>
      <c r="G55" s="83">
        <v>14.17</v>
      </c>
      <c r="H55" s="69">
        <f aca="true" t="shared" si="13" ref="H55:H61">E55*4+F55*9+G55*4</f>
        <v>144</v>
      </c>
      <c r="I55" s="83">
        <v>0.1</v>
      </c>
      <c r="J55" s="83">
        <v>0.06</v>
      </c>
      <c r="K55" s="83">
        <v>6.7</v>
      </c>
      <c r="L55" s="83">
        <v>0</v>
      </c>
      <c r="M55" s="83">
        <v>0.5</v>
      </c>
      <c r="N55" s="83">
        <v>54.18</v>
      </c>
      <c r="O55" s="83">
        <v>99.5</v>
      </c>
      <c r="P55" s="83">
        <v>34.45</v>
      </c>
      <c r="Q55" s="25">
        <v>1.73</v>
      </c>
      <c r="R55" s="83">
        <v>1.33</v>
      </c>
      <c r="S55" s="203">
        <v>0.02</v>
      </c>
      <c r="V55" s="70"/>
      <c r="W55" s="62">
        <v>84</v>
      </c>
      <c r="X55" s="62" t="s">
        <v>55</v>
      </c>
      <c r="Y55" s="87">
        <f>'Сырьё лето'!X55</f>
        <v>5</v>
      </c>
      <c r="Z55" s="83">
        <v>3.56</v>
      </c>
      <c r="AA55" s="83">
        <v>5.12</v>
      </c>
      <c r="AB55" s="83">
        <v>14.17</v>
      </c>
      <c r="AC55" s="71">
        <f aca="true" t="shared" si="14" ref="AC55:AC61">Z55*4+AA55*9+AB55*4</f>
        <v>117</v>
      </c>
      <c r="AD55" s="83">
        <v>0.1</v>
      </c>
      <c r="AE55" s="83">
        <v>0.06</v>
      </c>
      <c r="AF55" s="83">
        <v>6.7</v>
      </c>
      <c r="AG55" s="83">
        <v>0</v>
      </c>
      <c r="AH55" s="83">
        <v>0.5</v>
      </c>
      <c r="AI55" s="83">
        <v>54.18</v>
      </c>
      <c r="AJ55" s="83">
        <v>99.5</v>
      </c>
      <c r="AK55" s="83">
        <v>34.45</v>
      </c>
      <c r="AL55" s="25">
        <v>1.73</v>
      </c>
      <c r="AM55" s="83">
        <v>0.325</v>
      </c>
      <c r="AN55" s="93">
        <v>0.02</v>
      </c>
    </row>
    <row r="56" spans="1:40" ht="15" customHeight="1">
      <c r="A56" s="73"/>
      <c r="B56" s="137">
        <v>229</v>
      </c>
      <c r="C56" s="113" t="s">
        <v>58</v>
      </c>
      <c r="D56" s="225">
        <f>'Сырьё лето'!C56</f>
        <v>200</v>
      </c>
      <c r="E56" s="79">
        <v>19.5</v>
      </c>
      <c r="F56" s="79">
        <v>9.9</v>
      </c>
      <c r="G56" s="79">
        <v>7.6</v>
      </c>
      <c r="H56" s="69">
        <f t="shared" si="13"/>
        <v>197.50000000000003</v>
      </c>
      <c r="I56" s="79">
        <v>0.1</v>
      </c>
      <c r="J56" s="79">
        <v>0.1</v>
      </c>
      <c r="K56" s="79">
        <v>7.46</v>
      </c>
      <c r="L56" s="79">
        <v>0.11</v>
      </c>
      <c r="M56" s="83">
        <v>0.9</v>
      </c>
      <c r="N56" s="79">
        <v>78.14</v>
      </c>
      <c r="O56" s="79">
        <v>424.48</v>
      </c>
      <c r="P56" s="79">
        <v>57.93</v>
      </c>
      <c r="Q56" s="80">
        <v>1.7</v>
      </c>
      <c r="R56" s="79">
        <v>2.04</v>
      </c>
      <c r="S56" s="203">
        <v>0.01</v>
      </c>
      <c r="V56" s="70"/>
      <c r="W56" s="6">
        <v>229</v>
      </c>
      <c r="X56" s="63" t="s">
        <v>58</v>
      </c>
      <c r="Y56" s="87">
        <f>'Сырьё лето'!X56</f>
        <v>5</v>
      </c>
      <c r="Z56" s="79">
        <v>19.5</v>
      </c>
      <c r="AA56" s="79">
        <v>9.9</v>
      </c>
      <c r="AB56" s="79">
        <v>7.6</v>
      </c>
      <c r="AC56" s="71">
        <f t="shared" si="14"/>
        <v>197.50000000000003</v>
      </c>
      <c r="AD56" s="79">
        <v>0.1</v>
      </c>
      <c r="AE56" s="79">
        <v>0.1</v>
      </c>
      <c r="AF56" s="79">
        <v>7.46</v>
      </c>
      <c r="AG56" s="79">
        <v>0.11</v>
      </c>
      <c r="AH56" s="83">
        <v>0.9</v>
      </c>
      <c r="AI56" s="79">
        <v>78.14</v>
      </c>
      <c r="AJ56" s="79">
        <v>324.38</v>
      </c>
      <c r="AK56" s="79">
        <v>97.06</v>
      </c>
      <c r="AL56" s="80">
        <v>1.7</v>
      </c>
      <c r="AM56" s="79">
        <v>1.04</v>
      </c>
      <c r="AN56" s="93">
        <v>0.48</v>
      </c>
    </row>
    <row r="57" spans="1:40" s="84" customFormat="1" ht="15" customHeight="1">
      <c r="A57" s="73"/>
      <c r="B57" s="195">
        <v>392</v>
      </c>
      <c r="C57" s="106" t="s">
        <v>124</v>
      </c>
      <c r="D57" s="225">
        <f>'Сырьё лето'!C57</f>
        <v>200</v>
      </c>
      <c r="E57" s="73">
        <v>1.1</v>
      </c>
      <c r="F57" s="73">
        <v>0.9</v>
      </c>
      <c r="G57" s="73">
        <v>12.56</v>
      </c>
      <c r="H57" s="73">
        <f t="shared" si="13"/>
        <v>62.74</v>
      </c>
      <c r="I57" s="73">
        <v>0</v>
      </c>
      <c r="J57" s="73">
        <v>0</v>
      </c>
      <c r="K57" s="73">
        <v>0.03</v>
      </c>
      <c r="L57" s="73">
        <v>0</v>
      </c>
      <c r="M57" s="83">
        <v>0</v>
      </c>
      <c r="N57" s="73">
        <v>11.1</v>
      </c>
      <c r="O57" s="73">
        <v>22.8</v>
      </c>
      <c r="P57" s="73">
        <v>1.4</v>
      </c>
      <c r="Q57" s="81">
        <v>0.28</v>
      </c>
      <c r="R57" s="73">
        <v>0</v>
      </c>
      <c r="S57" s="106">
        <v>0</v>
      </c>
      <c r="V57" s="70"/>
      <c r="W57" s="78">
        <v>392</v>
      </c>
      <c r="X57" s="60" t="s">
        <v>124</v>
      </c>
      <c r="Y57" s="87">
        <f>'Сырьё лето'!X57</f>
        <v>0</v>
      </c>
      <c r="Z57" s="73">
        <v>1.1</v>
      </c>
      <c r="AA57" s="73">
        <v>0.9</v>
      </c>
      <c r="AB57" s="73">
        <v>12.56</v>
      </c>
      <c r="AC57" s="73">
        <f t="shared" si="14"/>
        <v>62.74</v>
      </c>
      <c r="AD57" s="73">
        <v>0</v>
      </c>
      <c r="AE57" s="73">
        <v>0</v>
      </c>
      <c r="AF57" s="73">
        <v>0.03</v>
      </c>
      <c r="AG57" s="73">
        <v>0</v>
      </c>
      <c r="AH57" s="83">
        <v>0</v>
      </c>
      <c r="AI57" s="73">
        <v>11.1</v>
      </c>
      <c r="AJ57" s="73">
        <v>2.8</v>
      </c>
      <c r="AK57" s="73">
        <v>1.4</v>
      </c>
      <c r="AL57" s="81">
        <v>0.28</v>
      </c>
      <c r="AM57" s="73">
        <v>0</v>
      </c>
      <c r="AN57" s="95">
        <v>0</v>
      </c>
    </row>
    <row r="58" spans="1:40" ht="15" customHeight="1">
      <c r="A58" s="73"/>
      <c r="B58" s="106"/>
      <c r="C58" s="106" t="s">
        <v>53</v>
      </c>
      <c r="D58" s="225">
        <f>'Сырьё лето'!C58</f>
        <v>70</v>
      </c>
      <c r="E58" s="79">
        <f>Z58*'Сырьё лето'!AI58</f>
        <v>4.7250000000000005</v>
      </c>
      <c r="F58" s="79">
        <v>0.34</v>
      </c>
      <c r="G58" s="69">
        <v>30.06</v>
      </c>
      <c r="H58" s="69">
        <f t="shared" si="13"/>
        <v>142.2</v>
      </c>
      <c r="I58" s="79">
        <v>0.04</v>
      </c>
      <c r="J58" s="79">
        <v>0.01</v>
      </c>
      <c r="K58" s="79">
        <v>0</v>
      </c>
      <c r="L58" s="79">
        <v>0</v>
      </c>
      <c r="M58" s="79">
        <v>1.44</v>
      </c>
      <c r="N58" s="79">
        <v>8</v>
      </c>
      <c r="O58" s="79">
        <v>53.75</v>
      </c>
      <c r="P58" s="79">
        <v>2.4</v>
      </c>
      <c r="Q58" s="79">
        <v>0.44</v>
      </c>
      <c r="R58" s="79">
        <v>0</v>
      </c>
      <c r="S58" s="203">
        <v>0</v>
      </c>
      <c r="V58" s="70"/>
      <c r="W58" s="62"/>
      <c r="X58" s="60" t="s">
        <v>53</v>
      </c>
      <c r="Y58" s="87">
        <f>'Сырьё лето'!X58</f>
        <v>0</v>
      </c>
      <c r="Z58" s="82">
        <v>2.7</v>
      </c>
      <c r="AA58" s="82">
        <v>0.34</v>
      </c>
      <c r="AB58" s="82">
        <v>20.06</v>
      </c>
      <c r="AC58" s="71">
        <f t="shared" si="14"/>
        <v>94.1</v>
      </c>
      <c r="AD58" s="82">
        <v>0.04</v>
      </c>
      <c r="AE58" s="82">
        <v>0.01</v>
      </c>
      <c r="AF58" s="82">
        <v>0</v>
      </c>
      <c r="AG58" s="82">
        <v>0</v>
      </c>
      <c r="AH58" s="82">
        <v>0.44</v>
      </c>
      <c r="AI58" s="82">
        <v>8</v>
      </c>
      <c r="AJ58" s="82">
        <v>26</v>
      </c>
      <c r="AK58" s="82">
        <v>5.6</v>
      </c>
      <c r="AL58" s="82">
        <v>0.44</v>
      </c>
      <c r="AM58" s="82">
        <v>0</v>
      </c>
      <c r="AN58" s="93">
        <v>0</v>
      </c>
    </row>
    <row r="59" spans="1:40" ht="15" customHeight="1">
      <c r="A59" s="73"/>
      <c r="B59" s="106"/>
      <c r="C59" s="106" t="s">
        <v>156</v>
      </c>
      <c r="D59" s="225">
        <f>'Сырьё лето'!C59</f>
        <v>40</v>
      </c>
      <c r="E59" s="79">
        <v>2.66</v>
      </c>
      <c r="F59" s="79">
        <v>0.48</v>
      </c>
      <c r="G59" s="69">
        <v>16.74</v>
      </c>
      <c r="H59" s="69">
        <f t="shared" si="13"/>
        <v>81.91999999999999</v>
      </c>
      <c r="I59" s="79">
        <v>0.22</v>
      </c>
      <c r="J59" s="79">
        <v>0.14</v>
      </c>
      <c r="K59" s="79">
        <v>0.28</v>
      </c>
      <c r="L59" s="79">
        <v>0</v>
      </c>
      <c r="M59" s="79">
        <v>0.22</v>
      </c>
      <c r="N59" s="79">
        <v>51.1</v>
      </c>
      <c r="O59" s="79">
        <v>87.5</v>
      </c>
      <c r="P59" s="79">
        <v>4</v>
      </c>
      <c r="Q59" s="80">
        <v>1.96</v>
      </c>
      <c r="R59" s="79">
        <v>0</v>
      </c>
      <c r="S59" s="203">
        <v>0.02</v>
      </c>
      <c r="V59" s="70"/>
      <c r="W59" s="60"/>
      <c r="X59" s="60" t="s">
        <v>156</v>
      </c>
      <c r="Y59" s="87">
        <f>'Сырьё лето'!X59</f>
        <v>0</v>
      </c>
      <c r="Z59" s="79">
        <v>2.66</v>
      </c>
      <c r="AA59" s="79">
        <v>0.48</v>
      </c>
      <c r="AB59" s="79">
        <v>16.74</v>
      </c>
      <c r="AC59" s="71">
        <f t="shared" si="14"/>
        <v>81.91999999999999</v>
      </c>
      <c r="AD59" s="79">
        <v>0.22</v>
      </c>
      <c r="AE59" s="79">
        <v>0.14</v>
      </c>
      <c r="AF59" s="79">
        <v>0.28</v>
      </c>
      <c r="AG59" s="79">
        <v>0</v>
      </c>
      <c r="AH59" s="79">
        <v>0.22</v>
      </c>
      <c r="AI59" s="79">
        <v>51.1</v>
      </c>
      <c r="AJ59" s="79">
        <v>87.5</v>
      </c>
      <c r="AK59" s="79">
        <v>28</v>
      </c>
      <c r="AL59" s="80">
        <v>1.96</v>
      </c>
      <c r="AM59" s="79">
        <v>0</v>
      </c>
      <c r="AN59" s="93">
        <v>0.04</v>
      </c>
    </row>
    <row r="60" spans="1:40" ht="15" customHeight="1">
      <c r="A60" s="73"/>
      <c r="B60" s="106"/>
      <c r="C60" s="113" t="s">
        <v>110</v>
      </c>
      <c r="D60" s="225">
        <f>'Сырьё лето'!C60</f>
        <v>80</v>
      </c>
      <c r="E60" s="79">
        <v>4.9</v>
      </c>
      <c r="F60" s="79">
        <v>6.57</v>
      </c>
      <c r="G60" s="79">
        <v>54.25</v>
      </c>
      <c r="H60" s="69">
        <f t="shared" si="13"/>
        <v>295.73</v>
      </c>
      <c r="I60" s="79">
        <v>0.08</v>
      </c>
      <c r="J60" s="79">
        <v>0.056</v>
      </c>
      <c r="K60" s="79">
        <v>0.064</v>
      </c>
      <c r="L60" s="79">
        <v>0.13</v>
      </c>
      <c r="M60" s="79">
        <v>1.2</v>
      </c>
      <c r="N60" s="79">
        <v>15.6</v>
      </c>
      <c r="O60" s="79">
        <v>49.12</v>
      </c>
      <c r="P60" s="79">
        <v>19.28</v>
      </c>
      <c r="Q60" s="80">
        <v>1.112</v>
      </c>
      <c r="R60" s="79">
        <v>0.2</v>
      </c>
      <c r="S60" s="203">
        <v>0</v>
      </c>
      <c r="V60" s="70"/>
      <c r="W60" s="60"/>
      <c r="X60" s="63" t="s">
        <v>110</v>
      </c>
      <c r="Y60" s="87">
        <f>'Сырьё лето'!X60</f>
        <v>0</v>
      </c>
      <c r="Z60" s="79">
        <v>4.9</v>
      </c>
      <c r="AA60" s="79">
        <v>6.57</v>
      </c>
      <c r="AB60" s="79">
        <v>54.25</v>
      </c>
      <c r="AC60" s="71">
        <f t="shared" si="14"/>
        <v>295.73</v>
      </c>
      <c r="AD60" s="79">
        <v>0.08</v>
      </c>
      <c r="AE60" s="79">
        <v>0.056</v>
      </c>
      <c r="AF60" s="79">
        <v>0.064</v>
      </c>
      <c r="AG60" s="79">
        <v>0.13</v>
      </c>
      <c r="AH60" s="79">
        <v>1.2</v>
      </c>
      <c r="AI60" s="79">
        <v>15.6</v>
      </c>
      <c r="AJ60" s="79">
        <v>49.12</v>
      </c>
      <c r="AK60" s="79">
        <v>19.28</v>
      </c>
      <c r="AL60" s="80">
        <v>1.112</v>
      </c>
      <c r="AM60" s="79">
        <v>0.2</v>
      </c>
      <c r="AN60" s="93">
        <v>0</v>
      </c>
    </row>
    <row r="61" spans="1:40" ht="15" customHeight="1">
      <c r="A61" s="73"/>
      <c r="B61" s="106"/>
      <c r="C61" s="73" t="s">
        <v>162</v>
      </c>
      <c r="D61" s="225">
        <f>'Сырьё лето'!C61</f>
        <v>150</v>
      </c>
      <c r="E61" s="205">
        <v>0.75</v>
      </c>
      <c r="F61" s="205">
        <v>0</v>
      </c>
      <c r="G61" s="205">
        <v>15.15</v>
      </c>
      <c r="H61" s="69">
        <f t="shared" si="13"/>
        <v>63.6</v>
      </c>
      <c r="I61" s="69">
        <v>0.015</v>
      </c>
      <c r="J61" s="69">
        <v>0.015</v>
      </c>
      <c r="K61" s="69">
        <v>3</v>
      </c>
      <c r="L61" s="69">
        <v>0</v>
      </c>
      <c r="M61" s="69">
        <v>0.15</v>
      </c>
      <c r="N61" s="69">
        <v>10.5</v>
      </c>
      <c r="O61" s="69">
        <v>10.5</v>
      </c>
      <c r="P61" s="69">
        <v>6</v>
      </c>
      <c r="Q61" s="69">
        <v>2.1</v>
      </c>
      <c r="R61" s="69">
        <v>0</v>
      </c>
      <c r="S61" s="203">
        <v>0</v>
      </c>
      <c r="V61" s="70"/>
      <c r="W61" s="60"/>
      <c r="X61" s="58" t="s">
        <v>162</v>
      </c>
      <c r="Y61" s="87">
        <f>'Сырьё лето'!X61</f>
        <v>0</v>
      </c>
      <c r="Z61" s="76">
        <v>0.75</v>
      </c>
      <c r="AA61" s="76">
        <v>0</v>
      </c>
      <c r="AB61" s="76">
        <v>15.15</v>
      </c>
      <c r="AC61" s="71">
        <f t="shared" si="14"/>
        <v>63.6</v>
      </c>
      <c r="AD61" s="71">
        <v>0.015</v>
      </c>
      <c r="AE61" s="71">
        <v>0.015</v>
      </c>
      <c r="AF61" s="71">
        <v>3</v>
      </c>
      <c r="AG61" s="71">
        <v>0</v>
      </c>
      <c r="AH61" s="71">
        <v>0.15</v>
      </c>
      <c r="AI61" s="71">
        <v>10.5</v>
      </c>
      <c r="AJ61" s="71">
        <v>10.5</v>
      </c>
      <c r="AK61" s="71">
        <v>6</v>
      </c>
      <c r="AL61" s="71">
        <v>2.1</v>
      </c>
      <c r="AM61" s="71">
        <v>0</v>
      </c>
      <c r="AN61" s="93">
        <v>0</v>
      </c>
    </row>
    <row r="62" spans="1:40" ht="15" customHeight="1">
      <c r="A62" s="73"/>
      <c r="B62" s="211"/>
      <c r="C62" s="212" t="s">
        <v>15</v>
      </c>
      <c r="D62" s="213">
        <f aca="true" t="shared" si="15" ref="D62:S62">SUM(D55:D61)</f>
        <v>990</v>
      </c>
      <c r="E62" s="208">
        <f t="shared" si="15"/>
        <v>37.195</v>
      </c>
      <c r="F62" s="208">
        <f t="shared" si="15"/>
        <v>26.31</v>
      </c>
      <c r="G62" s="208">
        <f t="shared" si="15"/>
        <v>150.53</v>
      </c>
      <c r="H62" s="208">
        <f t="shared" si="15"/>
        <v>987.69</v>
      </c>
      <c r="I62" s="208">
        <f t="shared" si="15"/>
        <v>0.555</v>
      </c>
      <c r="J62" s="208">
        <f t="shared" si="15"/>
        <v>0.38100000000000006</v>
      </c>
      <c r="K62" s="208">
        <f t="shared" si="15"/>
        <v>17.534</v>
      </c>
      <c r="L62" s="208">
        <f t="shared" si="15"/>
        <v>0.24</v>
      </c>
      <c r="M62" s="208">
        <f t="shared" si="15"/>
        <v>4.41</v>
      </c>
      <c r="N62" s="208">
        <v>328.29</v>
      </c>
      <c r="O62" s="208">
        <f t="shared" si="15"/>
        <v>747.65</v>
      </c>
      <c r="P62" s="208">
        <f t="shared" si="15"/>
        <v>125.46000000000001</v>
      </c>
      <c r="Q62" s="208">
        <f t="shared" si="15"/>
        <v>9.322000000000001</v>
      </c>
      <c r="R62" s="208">
        <f t="shared" si="15"/>
        <v>3.5700000000000003</v>
      </c>
      <c r="S62" s="208">
        <f t="shared" si="15"/>
        <v>0.05</v>
      </c>
      <c r="W62" s="16"/>
      <c r="X62" s="20" t="s">
        <v>15</v>
      </c>
      <c r="Y62" s="36">
        <f aca="true" t="shared" si="16" ref="Y62:AN62">SUM(Y55:Y61)</f>
        <v>10</v>
      </c>
      <c r="Z62" s="72">
        <f t="shared" si="16"/>
        <v>35.17</v>
      </c>
      <c r="AA62" s="72">
        <f t="shared" si="16"/>
        <v>23.310000000000002</v>
      </c>
      <c r="AB62" s="72">
        <f t="shared" si="16"/>
        <v>140.53</v>
      </c>
      <c r="AC62" s="72">
        <f t="shared" si="16"/>
        <v>912.59</v>
      </c>
      <c r="AD62" s="72">
        <f t="shared" si="16"/>
        <v>0.555</v>
      </c>
      <c r="AE62" s="72">
        <f t="shared" si="16"/>
        <v>0.38100000000000006</v>
      </c>
      <c r="AF62" s="72">
        <f t="shared" si="16"/>
        <v>17.534</v>
      </c>
      <c r="AG62" s="72">
        <f t="shared" si="16"/>
        <v>0.24</v>
      </c>
      <c r="AH62" s="72">
        <f t="shared" si="16"/>
        <v>3.4099999999999997</v>
      </c>
      <c r="AI62" s="72">
        <f t="shared" si="16"/>
        <v>228.61999999999998</v>
      </c>
      <c r="AJ62" s="72">
        <f t="shared" si="16"/>
        <v>599.8000000000001</v>
      </c>
      <c r="AK62" s="72">
        <f t="shared" si="16"/>
        <v>191.79</v>
      </c>
      <c r="AL62" s="72">
        <f t="shared" si="16"/>
        <v>9.322000000000001</v>
      </c>
      <c r="AM62" s="72">
        <f t="shared" si="16"/>
        <v>1.565</v>
      </c>
      <c r="AN62" s="72">
        <f t="shared" si="16"/>
        <v>0.54</v>
      </c>
    </row>
    <row r="63" spans="1:40" ht="15" customHeight="1">
      <c r="A63" s="73"/>
      <c r="B63" s="209"/>
      <c r="C63" s="69"/>
      <c r="D63" s="34"/>
      <c r="E63" s="69">
        <v>31.5</v>
      </c>
      <c r="F63" s="69">
        <v>32.2</v>
      </c>
      <c r="G63" s="69">
        <v>134.05</v>
      </c>
      <c r="H63" s="69">
        <v>949.55</v>
      </c>
      <c r="I63" s="69">
        <v>0.49</v>
      </c>
      <c r="J63" s="69">
        <v>0.56</v>
      </c>
      <c r="K63" s="69">
        <v>24.5</v>
      </c>
      <c r="L63" s="210">
        <v>0.315</v>
      </c>
      <c r="M63" s="69">
        <v>4.2</v>
      </c>
      <c r="N63" s="69">
        <v>420</v>
      </c>
      <c r="O63" s="69">
        <v>630</v>
      </c>
      <c r="P63" s="69">
        <v>105</v>
      </c>
      <c r="Q63" s="69">
        <v>5.95</v>
      </c>
      <c r="R63" s="69">
        <v>4.9</v>
      </c>
      <c r="S63" s="69">
        <v>0.042</v>
      </c>
      <c r="V63" s="73"/>
      <c r="W63" s="17"/>
      <c r="X63" s="74"/>
      <c r="Y63" s="33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</row>
    <row r="64" spans="1:40" ht="15" customHeight="1">
      <c r="A64" s="73"/>
      <c r="B64" s="209"/>
      <c r="C64" s="73"/>
      <c r="D64" s="34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203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93"/>
    </row>
    <row r="65" spans="1:40" ht="15" customHeight="1">
      <c r="A65" s="73"/>
      <c r="B65" s="276" t="s">
        <v>149</v>
      </c>
      <c r="C65" s="277"/>
      <c r="D65" s="34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V65" s="19"/>
      <c r="W65" s="306" t="s">
        <v>149</v>
      </c>
      <c r="X65" s="307"/>
      <c r="Y65" s="35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</row>
    <row r="66" spans="1:40" ht="15" customHeight="1">
      <c r="A66" s="73"/>
      <c r="B66" s="195" t="s">
        <v>106</v>
      </c>
      <c r="C66" s="113" t="s">
        <v>105</v>
      </c>
      <c r="D66" s="225">
        <f>'Сырьё лето'!C66</f>
        <v>250</v>
      </c>
      <c r="E66" s="79">
        <v>1.59</v>
      </c>
      <c r="F66" s="79">
        <v>4.99</v>
      </c>
      <c r="G66" s="79">
        <v>9.15</v>
      </c>
      <c r="H66" s="79">
        <f>E66*4+F66*9+G66*4</f>
        <v>87.87</v>
      </c>
      <c r="I66" s="79">
        <v>0.07</v>
      </c>
      <c r="J66" s="79">
        <v>0.05</v>
      </c>
      <c r="K66" s="79">
        <v>10.38</v>
      </c>
      <c r="L66" s="79">
        <v>0</v>
      </c>
      <c r="M66" s="79">
        <v>0.3</v>
      </c>
      <c r="N66" s="79">
        <v>34.85</v>
      </c>
      <c r="O66" s="79">
        <v>49.28</v>
      </c>
      <c r="P66" s="79">
        <v>20.75</v>
      </c>
      <c r="Q66" s="80">
        <v>0.78</v>
      </c>
      <c r="R66" s="79">
        <v>0.58</v>
      </c>
      <c r="S66" s="203">
        <v>0.01</v>
      </c>
      <c r="V66" s="70"/>
      <c r="W66" s="26" t="s">
        <v>106</v>
      </c>
      <c r="X66" s="65" t="s">
        <v>105</v>
      </c>
      <c r="Y66" s="87">
        <f>'Сырьё лето'!X66</f>
        <v>5</v>
      </c>
      <c r="Z66" s="79">
        <v>1.59</v>
      </c>
      <c r="AA66" s="79">
        <v>4.99</v>
      </c>
      <c r="AB66" s="79">
        <v>9.15</v>
      </c>
      <c r="AC66" s="79">
        <f>Z66*4+AA66*9+AB66*4</f>
        <v>87.87</v>
      </c>
      <c r="AD66" s="79">
        <v>0.07</v>
      </c>
      <c r="AE66" s="79">
        <v>0.05</v>
      </c>
      <c r="AF66" s="79">
        <v>10.38</v>
      </c>
      <c r="AG66" s="79">
        <v>0</v>
      </c>
      <c r="AH66" s="79">
        <v>0.3</v>
      </c>
      <c r="AI66" s="79">
        <v>34.85</v>
      </c>
      <c r="AJ66" s="79">
        <v>49.28</v>
      </c>
      <c r="AK66" s="79">
        <v>20.75</v>
      </c>
      <c r="AL66" s="80">
        <v>0.78</v>
      </c>
      <c r="AM66" s="79">
        <v>0.58</v>
      </c>
      <c r="AN66" s="93">
        <v>0.01</v>
      </c>
    </row>
    <row r="67" spans="1:40" ht="15" customHeight="1">
      <c r="A67" s="73"/>
      <c r="B67" s="196">
        <v>211</v>
      </c>
      <c r="C67" s="106" t="s">
        <v>102</v>
      </c>
      <c r="D67" s="225">
        <f>'Сырьё лето'!C67</f>
        <v>200</v>
      </c>
      <c r="E67" s="79">
        <v>17.31</v>
      </c>
      <c r="F67" s="73">
        <v>25.38</v>
      </c>
      <c r="G67" s="73">
        <v>2.72</v>
      </c>
      <c r="H67" s="79">
        <f aca="true" t="shared" si="17" ref="H67:H73">E67*4+F67*9+G67*4</f>
        <v>308.53999999999996</v>
      </c>
      <c r="I67" s="73">
        <v>0.106</v>
      </c>
      <c r="J67" s="73">
        <v>0.58</v>
      </c>
      <c r="K67" s="73">
        <v>0.34</v>
      </c>
      <c r="L67" s="73">
        <v>0.3</v>
      </c>
      <c r="M67" s="79">
        <f>1.2*1.4</f>
        <v>1.68</v>
      </c>
      <c r="N67" s="73">
        <v>278.93</v>
      </c>
      <c r="O67" s="73">
        <v>433.06</v>
      </c>
      <c r="P67" s="73">
        <v>23.28</v>
      </c>
      <c r="Q67" s="81">
        <v>1.93</v>
      </c>
      <c r="R67" s="73">
        <v>2.59</v>
      </c>
      <c r="S67" s="203">
        <v>0.027</v>
      </c>
      <c r="V67" s="70"/>
      <c r="W67" s="8">
        <v>211</v>
      </c>
      <c r="X67" s="62" t="s">
        <v>102</v>
      </c>
      <c r="Y67" s="87">
        <f>'Сырьё лето'!X67</f>
        <v>0</v>
      </c>
      <c r="Z67" s="73">
        <v>19.12</v>
      </c>
      <c r="AA67" s="73">
        <v>25.38</v>
      </c>
      <c r="AB67" s="73">
        <v>2.72</v>
      </c>
      <c r="AC67" s="79">
        <f aca="true" t="shared" si="18" ref="AC67:AC73">Z67*4+AA67*9+AB67*4</f>
        <v>315.78</v>
      </c>
      <c r="AD67" s="73">
        <v>0.106</v>
      </c>
      <c r="AE67" s="73">
        <v>0.58</v>
      </c>
      <c r="AF67" s="73">
        <v>0.34</v>
      </c>
      <c r="AG67" s="73">
        <v>3.872</v>
      </c>
      <c r="AH67" s="79">
        <f>1.2*1.4</f>
        <v>1.68</v>
      </c>
      <c r="AI67" s="73">
        <v>278.93</v>
      </c>
      <c r="AJ67" s="73">
        <v>333.06</v>
      </c>
      <c r="AK67" s="73">
        <v>23.28</v>
      </c>
      <c r="AL67" s="81">
        <v>2.93</v>
      </c>
      <c r="AM67" s="73">
        <v>2.59</v>
      </c>
      <c r="AN67" s="93">
        <v>0.36</v>
      </c>
    </row>
    <row r="68" spans="1:40" ht="15" customHeight="1">
      <c r="A68" s="73"/>
      <c r="B68" s="106"/>
      <c r="C68" s="106" t="s">
        <v>122</v>
      </c>
      <c r="D68" s="225">
        <f>'Сырьё лето'!C68</f>
        <v>100</v>
      </c>
      <c r="E68" s="79">
        <f>Z68*'Сырьё лето'!AI68</f>
        <v>2.8833333333333333</v>
      </c>
      <c r="F68" s="79">
        <v>1.63</v>
      </c>
      <c r="G68" s="79">
        <v>3.47</v>
      </c>
      <c r="H68" s="79">
        <f t="shared" si="17"/>
        <v>40.083333333333336</v>
      </c>
      <c r="I68" s="79">
        <v>0.034</v>
      </c>
      <c r="J68" s="79">
        <v>0.02</v>
      </c>
      <c r="K68" s="79">
        <v>5.82</v>
      </c>
      <c r="L68" s="79">
        <v>0.08</v>
      </c>
      <c r="M68" s="79">
        <v>0</v>
      </c>
      <c r="N68" s="79">
        <v>14.35</v>
      </c>
      <c r="O68" s="79">
        <v>36.7</v>
      </c>
      <c r="P68" s="79">
        <v>12.1</v>
      </c>
      <c r="Q68" s="80">
        <v>0.42</v>
      </c>
      <c r="R68" s="79">
        <v>0</v>
      </c>
      <c r="S68" s="203">
        <v>0</v>
      </c>
      <c r="V68" s="70"/>
      <c r="W68" s="62"/>
      <c r="X68" s="62" t="s">
        <v>122</v>
      </c>
      <c r="Y68" s="87">
        <f>'Сырьё лето'!X68</f>
        <v>0</v>
      </c>
      <c r="Z68" s="79">
        <v>1.73</v>
      </c>
      <c r="AA68" s="79">
        <v>1.63</v>
      </c>
      <c r="AB68" s="79">
        <v>3.47</v>
      </c>
      <c r="AC68" s="79">
        <f t="shared" si="18"/>
        <v>35.47</v>
      </c>
      <c r="AD68" s="79">
        <v>0.034</v>
      </c>
      <c r="AE68" s="79">
        <v>0.02</v>
      </c>
      <c r="AF68" s="79">
        <v>5.82</v>
      </c>
      <c r="AG68" s="79">
        <v>0.08</v>
      </c>
      <c r="AH68" s="79">
        <v>0</v>
      </c>
      <c r="AI68" s="79">
        <v>14.35</v>
      </c>
      <c r="AJ68" s="79">
        <v>36.7</v>
      </c>
      <c r="AK68" s="79">
        <v>12.1</v>
      </c>
      <c r="AL68" s="80">
        <v>0.42</v>
      </c>
      <c r="AM68" s="79">
        <v>0</v>
      </c>
      <c r="AN68" s="93">
        <v>0</v>
      </c>
    </row>
    <row r="69" spans="1:40" ht="15" customHeight="1">
      <c r="A69" s="73"/>
      <c r="B69" s="106"/>
      <c r="C69" s="106" t="s">
        <v>161</v>
      </c>
      <c r="D69" s="225">
        <f>'Сырьё лето'!C69</f>
        <v>200</v>
      </c>
      <c r="E69" s="205">
        <v>1</v>
      </c>
      <c r="F69" s="205">
        <v>0</v>
      </c>
      <c r="G69" s="205">
        <v>20.200000000000003</v>
      </c>
      <c r="H69" s="79">
        <f t="shared" si="17"/>
        <v>84.80000000000001</v>
      </c>
      <c r="I69" s="69">
        <v>0.022000000000000002</v>
      </c>
      <c r="J69" s="69">
        <v>0.022000000000000002</v>
      </c>
      <c r="K69" s="69">
        <v>4</v>
      </c>
      <c r="L69" s="69">
        <v>0</v>
      </c>
      <c r="M69" s="69">
        <v>0.2</v>
      </c>
      <c r="N69" s="69">
        <v>14</v>
      </c>
      <c r="O69" s="69">
        <v>34</v>
      </c>
      <c r="P69" s="69">
        <v>8</v>
      </c>
      <c r="Q69" s="69">
        <v>1.8</v>
      </c>
      <c r="R69" s="69">
        <v>0</v>
      </c>
      <c r="S69" s="203">
        <v>0</v>
      </c>
      <c r="V69" s="70"/>
      <c r="W69" s="62"/>
      <c r="X69" s="62" t="s">
        <v>161</v>
      </c>
      <c r="Y69" s="87">
        <f>'Сырьё лето'!X69</f>
        <v>0</v>
      </c>
      <c r="Z69" s="76">
        <v>1</v>
      </c>
      <c r="AA69" s="76">
        <v>0</v>
      </c>
      <c r="AB69" s="76">
        <v>20.200000000000003</v>
      </c>
      <c r="AC69" s="79">
        <f t="shared" si="18"/>
        <v>84.80000000000001</v>
      </c>
      <c r="AD69" s="71">
        <v>0.022000000000000002</v>
      </c>
      <c r="AE69" s="71">
        <v>0.022000000000000002</v>
      </c>
      <c r="AF69" s="71">
        <v>4</v>
      </c>
      <c r="AG69" s="71">
        <v>0</v>
      </c>
      <c r="AH69" s="71">
        <v>0.2</v>
      </c>
      <c r="AI69" s="71">
        <v>14</v>
      </c>
      <c r="AJ69" s="71">
        <v>14</v>
      </c>
      <c r="AK69" s="71">
        <v>8</v>
      </c>
      <c r="AL69" s="71">
        <v>2.8000000000000003</v>
      </c>
      <c r="AM69" s="71">
        <v>0</v>
      </c>
      <c r="AN69" s="93">
        <v>0</v>
      </c>
    </row>
    <row r="70" spans="1:40" ht="15" customHeight="1">
      <c r="A70" s="73"/>
      <c r="B70" s="196"/>
      <c r="C70" s="106" t="s">
        <v>53</v>
      </c>
      <c r="D70" s="225">
        <f>'Сырьё лето'!C70</f>
        <v>60</v>
      </c>
      <c r="E70" s="79">
        <f>Z70*'Сырьё лето'!AI70</f>
        <v>4.050000000000001</v>
      </c>
      <c r="F70" s="79">
        <v>0.34</v>
      </c>
      <c r="G70" s="69">
        <v>30.06</v>
      </c>
      <c r="H70" s="79">
        <f t="shared" si="17"/>
        <v>139.5</v>
      </c>
      <c r="I70" s="79">
        <v>0.04</v>
      </c>
      <c r="J70" s="79">
        <v>0.01</v>
      </c>
      <c r="K70" s="79">
        <v>0</v>
      </c>
      <c r="L70" s="79">
        <v>0</v>
      </c>
      <c r="M70" s="79">
        <v>1.44</v>
      </c>
      <c r="N70" s="79">
        <v>8</v>
      </c>
      <c r="O70" s="79">
        <v>53.75</v>
      </c>
      <c r="P70" s="79">
        <v>2.4</v>
      </c>
      <c r="Q70" s="79">
        <v>0.44</v>
      </c>
      <c r="R70" s="79">
        <v>0</v>
      </c>
      <c r="S70" s="203">
        <v>0</v>
      </c>
      <c r="V70" s="70"/>
      <c r="W70" s="7"/>
      <c r="X70" s="60" t="s">
        <v>53</v>
      </c>
      <c r="Y70" s="87">
        <f>'Сырьё лето'!X70</f>
        <v>0</v>
      </c>
      <c r="Z70" s="82">
        <v>2.7</v>
      </c>
      <c r="AA70" s="82">
        <v>0.34</v>
      </c>
      <c r="AB70" s="82">
        <v>20.06</v>
      </c>
      <c r="AC70" s="79">
        <f t="shared" si="18"/>
        <v>94.1</v>
      </c>
      <c r="AD70" s="82">
        <v>0.04</v>
      </c>
      <c r="AE70" s="82">
        <v>0.01</v>
      </c>
      <c r="AF70" s="82">
        <v>0</v>
      </c>
      <c r="AG70" s="82">
        <v>0</v>
      </c>
      <c r="AH70" s="82">
        <v>0.44</v>
      </c>
      <c r="AI70" s="82">
        <v>8</v>
      </c>
      <c r="AJ70" s="82">
        <v>26</v>
      </c>
      <c r="AK70" s="82">
        <v>5.6</v>
      </c>
      <c r="AL70" s="82">
        <v>0.44</v>
      </c>
      <c r="AM70" s="82">
        <v>0</v>
      </c>
      <c r="AN70" s="93">
        <v>0</v>
      </c>
    </row>
    <row r="71" spans="1:40" ht="15" customHeight="1">
      <c r="A71" s="73"/>
      <c r="B71" s="106"/>
      <c r="C71" s="106" t="s">
        <v>156</v>
      </c>
      <c r="D71" s="225">
        <f>'Сырьё лето'!C71</f>
        <v>40</v>
      </c>
      <c r="E71" s="79">
        <f>Z71*'Сырьё лето'!AI71</f>
        <v>2.66</v>
      </c>
      <c r="F71" s="79">
        <v>0.24</v>
      </c>
      <c r="G71" s="69">
        <v>16.74</v>
      </c>
      <c r="H71" s="79">
        <f t="shared" si="17"/>
        <v>79.75999999999999</v>
      </c>
      <c r="I71" s="79">
        <v>0.11</v>
      </c>
      <c r="J71" s="79">
        <v>0.07</v>
      </c>
      <c r="K71" s="79">
        <v>0.14</v>
      </c>
      <c r="L71" s="79">
        <v>0</v>
      </c>
      <c r="M71" s="79">
        <v>0.11</v>
      </c>
      <c r="N71" s="79">
        <v>25.55</v>
      </c>
      <c r="O71" s="79">
        <v>43.75</v>
      </c>
      <c r="P71" s="79">
        <v>4</v>
      </c>
      <c r="Q71" s="80">
        <v>0.98</v>
      </c>
      <c r="R71" s="79">
        <v>0</v>
      </c>
      <c r="S71" s="203">
        <v>0.02</v>
      </c>
      <c r="V71" s="70"/>
      <c r="W71" s="60"/>
      <c r="X71" s="60" t="s">
        <v>156</v>
      </c>
      <c r="Y71" s="87">
        <f>'Сырьё лето'!X71</f>
        <v>0</v>
      </c>
      <c r="Z71" s="79">
        <v>1.33</v>
      </c>
      <c r="AA71" s="79">
        <v>0.24</v>
      </c>
      <c r="AB71" s="79">
        <v>8.37</v>
      </c>
      <c r="AC71" s="79">
        <f t="shared" si="18"/>
        <v>40.959999999999994</v>
      </c>
      <c r="AD71" s="79">
        <v>0.11</v>
      </c>
      <c r="AE71" s="79">
        <v>0.07</v>
      </c>
      <c r="AF71" s="79">
        <v>0.14</v>
      </c>
      <c r="AG71" s="79">
        <v>0</v>
      </c>
      <c r="AH71" s="79">
        <v>0.11</v>
      </c>
      <c r="AI71" s="79">
        <v>25.55</v>
      </c>
      <c r="AJ71" s="79">
        <v>43.75</v>
      </c>
      <c r="AK71" s="79">
        <v>14</v>
      </c>
      <c r="AL71" s="80">
        <v>0.98</v>
      </c>
      <c r="AM71" s="79">
        <v>0</v>
      </c>
      <c r="AN71" s="93">
        <v>0.02</v>
      </c>
    </row>
    <row r="72" spans="1:40" ht="15" customHeight="1">
      <c r="A72" s="73"/>
      <c r="B72" s="106"/>
      <c r="C72" s="106" t="s">
        <v>163</v>
      </c>
      <c r="D72" s="225">
        <f>'Сырьё лето'!C72</f>
        <v>120</v>
      </c>
      <c r="E72" s="69">
        <v>0.6</v>
      </c>
      <c r="F72" s="69">
        <v>0.6</v>
      </c>
      <c r="G72" s="69">
        <v>15.41</v>
      </c>
      <c r="H72" s="79">
        <f t="shared" si="17"/>
        <v>69.44</v>
      </c>
      <c r="I72" s="69">
        <v>0.05</v>
      </c>
      <c r="J72" s="69">
        <v>0.02</v>
      </c>
      <c r="K72" s="69">
        <v>6</v>
      </c>
      <c r="L72" s="69">
        <v>0</v>
      </c>
      <c r="M72" s="69">
        <v>0.41</v>
      </c>
      <c r="N72" s="69">
        <v>30</v>
      </c>
      <c r="O72" s="69">
        <v>22.01</v>
      </c>
      <c r="P72" s="69">
        <v>17</v>
      </c>
      <c r="Q72" s="69">
        <v>0.62</v>
      </c>
      <c r="R72" s="69">
        <v>0.18</v>
      </c>
      <c r="S72" s="203">
        <v>0</v>
      </c>
      <c r="V72" s="70"/>
      <c r="W72" s="60"/>
      <c r="X72" s="60" t="s">
        <v>163</v>
      </c>
      <c r="Y72" s="87">
        <f>'Сырьё лето'!X72</f>
        <v>0</v>
      </c>
      <c r="Z72" s="71">
        <v>0.6</v>
      </c>
      <c r="AA72" s="71">
        <v>0.6</v>
      </c>
      <c r="AB72" s="71">
        <v>15.41</v>
      </c>
      <c r="AC72" s="79">
        <f t="shared" si="18"/>
        <v>69.44</v>
      </c>
      <c r="AD72" s="71">
        <v>0.05</v>
      </c>
      <c r="AE72" s="71">
        <v>0.02</v>
      </c>
      <c r="AF72" s="71">
        <v>6</v>
      </c>
      <c r="AG72" s="71">
        <v>0</v>
      </c>
      <c r="AH72" s="71">
        <v>0.41</v>
      </c>
      <c r="AI72" s="71">
        <v>30</v>
      </c>
      <c r="AJ72" s="71">
        <v>22.01</v>
      </c>
      <c r="AK72" s="71">
        <v>17</v>
      </c>
      <c r="AL72" s="71">
        <v>0.62</v>
      </c>
      <c r="AM72" s="71">
        <v>0.18</v>
      </c>
      <c r="AN72" s="93">
        <v>0</v>
      </c>
    </row>
    <row r="73" spans="1:40" s="59" customFormat="1" ht="15" customHeight="1">
      <c r="A73" s="73"/>
      <c r="B73" s="106"/>
      <c r="C73" s="106" t="s">
        <v>168</v>
      </c>
      <c r="D73" s="225">
        <f>'Сырьё лето'!C73</f>
        <v>210</v>
      </c>
      <c r="E73" s="69">
        <v>4.37</v>
      </c>
      <c r="F73" s="69">
        <f>2.7*1.8</f>
        <v>4.86</v>
      </c>
      <c r="G73" s="69">
        <v>7.175</v>
      </c>
      <c r="H73" s="69">
        <f t="shared" si="17"/>
        <v>89.92</v>
      </c>
      <c r="I73" s="69">
        <v>0.035</v>
      </c>
      <c r="J73" s="69">
        <v>0.245</v>
      </c>
      <c r="K73" s="69">
        <v>0.52</v>
      </c>
      <c r="L73" s="69">
        <v>0.35</v>
      </c>
      <c r="M73" s="69">
        <v>0</v>
      </c>
      <c r="N73" s="69">
        <v>217</v>
      </c>
      <c r="O73" s="69">
        <v>57.96</v>
      </c>
      <c r="P73" s="69">
        <v>24.5</v>
      </c>
      <c r="Q73" s="69">
        <v>0.175</v>
      </c>
      <c r="R73" s="69">
        <v>0.7</v>
      </c>
      <c r="S73" s="203">
        <v>0</v>
      </c>
      <c r="V73" s="70"/>
      <c r="W73" s="60"/>
      <c r="X73" s="60" t="s">
        <v>168</v>
      </c>
      <c r="Y73" s="87">
        <f>'Сырьё лето'!X73</f>
        <v>0</v>
      </c>
      <c r="Z73" s="69">
        <v>4.37</v>
      </c>
      <c r="AA73" s="69">
        <f>2.7*1.8</f>
        <v>4.86</v>
      </c>
      <c r="AB73" s="69">
        <v>7.175</v>
      </c>
      <c r="AC73" s="69">
        <f t="shared" si="18"/>
        <v>89.92</v>
      </c>
      <c r="AD73" s="69">
        <v>0.035</v>
      </c>
      <c r="AE73" s="69">
        <v>0.245</v>
      </c>
      <c r="AF73" s="69">
        <v>0.52</v>
      </c>
      <c r="AG73" s="69">
        <v>0.35</v>
      </c>
      <c r="AH73" s="69">
        <v>0</v>
      </c>
      <c r="AI73" s="69">
        <v>217</v>
      </c>
      <c r="AJ73" s="69">
        <v>57.96</v>
      </c>
      <c r="AK73" s="69">
        <v>24.5</v>
      </c>
      <c r="AL73" s="69">
        <v>0.175</v>
      </c>
      <c r="AM73" s="69">
        <v>0.7</v>
      </c>
      <c r="AN73" s="93">
        <v>0</v>
      </c>
    </row>
    <row r="74" spans="1:40" ht="15" customHeight="1">
      <c r="A74" s="73"/>
      <c r="B74" s="211"/>
      <c r="C74" s="212" t="s">
        <v>15</v>
      </c>
      <c r="D74" s="213">
        <f>SUM(D66:D73)</f>
        <v>1180</v>
      </c>
      <c r="E74" s="208">
        <f aca="true" t="shared" si="19" ref="E74:S74">SUM(E66:E73)</f>
        <v>34.46333333333333</v>
      </c>
      <c r="F74" s="213">
        <f t="shared" si="19"/>
        <v>38.04</v>
      </c>
      <c r="G74" s="213">
        <f t="shared" si="19"/>
        <v>104.925</v>
      </c>
      <c r="H74" s="208">
        <f t="shared" si="19"/>
        <v>899.9133333333333</v>
      </c>
      <c r="I74" s="208">
        <f t="shared" si="19"/>
        <v>0.46699999999999997</v>
      </c>
      <c r="J74" s="208">
        <f t="shared" si="19"/>
        <v>1.017</v>
      </c>
      <c r="K74" s="208">
        <f t="shared" si="19"/>
        <v>27.2</v>
      </c>
      <c r="L74" s="208">
        <f t="shared" si="19"/>
        <v>0.73</v>
      </c>
      <c r="M74" s="208">
        <f t="shared" si="19"/>
        <v>4.14</v>
      </c>
      <c r="N74" s="208">
        <f t="shared" si="19"/>
        <v>622.6800000000001</v>
      </c>
      <c r="O74" s="213">
        <f t="shared" si="19"/>
        <v>730.5100000000001</v>
      </c>
      <c r="P74" s="213">
        <f t="shared" si="19"/>
        <v>112.03</v>
      </c>
      <c r="Q74" s="213">
        <f t="shared" si="19"/>
        <v>7.145</v>
      </c>
      <c r="R74" s="213">
        <f t="shared" si="19"/>
        <v>4.05</v>
      </c>
      <c r="S74" s="208">
        <f t="shared" si="19"/>
        <v>0.056999999999999995</v>
      </c>
      <c r="W74" s="16"/>
      <c r="X74" s="20" t="s">
        <v>15</v>
      </c>
      <c r="Y74" s="36">
        <f>SUM(Y66:Y73)</f>
        <v>5</v>
      </c>
      <c r="Z74" s="36">
        <f aca="true" t="shared" si="20" ref="Z74:AN74">SUM(Z66:Z73)</f>
        <v>32.44</v>
      </c>
      <c r="AA74" s="36">
        <f t="shared" si="20"/>
        <v>38.04</v>
      </c>
      <c r="AB74" s="36">
        <f t="shared" si="20"/>
        <v>86.555</v>
      </c>
      <c r="AC74" s="36">
        <f t="shared" si="20"/>
        <v>818.34</v>
      </c>
      <c r="AD74" s="36">
        <f t="shared" si="20"/>
        <v>0.46699999999999997</v>
      </c>
      <c r="AE74" s="36">
        <f t="shared" si="20"/>
        <v>1.017</v>
      </c>
      <c r="AF74" s="36">
        <f t="shared" si="20"/>
        <v>27.2</v>
      </c>
      <c r="AG74" s="36">
        <f t="shared" si="20"/>
        <v>4.302</v>
      </c>
      <c r="AH74" s="36">
        <f t="shared" si="20"/>
        <v>3.14</v>
      </c>
      <c r="AI74" s="36">
        <f t="shared" si="20"/>
        <v>622.6800000000001</v>
      </c>
      <c r="AJ74" s="36">
        <f t="shared" si="20"/>
        <v>582.7600000000001</v>
      </c>
      <c r="AK74" s="36">
        <f t="shared" si="20"/>
        <v>125.22999999999999</v>
      </c>
      <c r="AL74" s="36">
        <f t="shared" si="20"/>
        <v>9.145</v>
      </c>
      <c r="AM74" s="36">
        <f t="shared" si="20"/>
        <v>4.05</v>
      </c>
      <c r="AN74" s="36">
        <f t="shared" si="20"/>
        <v>0.39</v>
      </c>
    </row>
    <row r="75" spans="1:40" ht="15" customHeight="1">
      <c r="A75" s="73"/>
      <c r="B75" s="209"/>
      <c r="C75" s="69"/>
      <c r="D75" s="34"/>
      <c r="E75" s="69">
        <v>31.5</v>
      </c>
      <c r="F75" s="69">
        <v>32.2</v>
      </c>
      <c r="G75" s="69">
        <v>134.05</v>
      </c>
      <c r="H75" s="69">
        <v>949.55</v>
      </c>
      <c r="I75" s="69">
        <v>0.49</v>
      </c>
      <c r="J75" s="69">
        <v>0.56</v>
      </c>
      <c r="K75" s="69">
        <v>24.5</v>
      </c>
      <c r="L75" s="210">
        <v>0.315</v>
      </c>
      <c r="M75" s="69">
        <v>4.2</v>
      </c>
      <c r="N75" s="69">
        <v>420</v>
      </c>
      <c r="O75" s="69">
        <v>630</v>
      </c>
      <c r="P75" s="69">
        <v>105</v>
      </c>
      <c r="Q75" s="69">
        <v>5.95</v>
      </c>
      <c r="R75" s="69">
        <v>4.9</v>
      </c>
      <c r="S75" s="69">
        <v>0.042</v>
      </c>
      <c r="W75" s="17"/>
      <c r="X75" s="74"/>
      <c r="Y75" s="33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</row>
    <row r="76" spans="1:40" ht="15" customHeight="1">
      <c r="A76" s="73"/>
      <c r="B76" s="209"/>
      <c r="C76" s="73"/>
      <c r="D76" s="34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79"/>
      <c r="S76" s="203"/>
      <c r="V76" s="73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80"/>
      <c r="AM76" s="79"/>
      <c r="AN76" s="93"/>
    </row>
    <row r="77" spans="1:40" ht="15" customHeight="1">
      <c r="A77" s="73"/>
      <c r="B77" s="274" t="s">
        <v>150</v>
      </c>
      <c r="C77" s="275"/>
      <c r="D77" s="34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V77" s="19"/>
      <c r="W77" s="304" t="s">
        <v>150</v>
      </c>
      <c r="X77" s="305"/>
      <c r="Y77" s="35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</row>
    <row r="78" spans="1:40" ht="15" customHeight="1">
      <c r="A78" s="73"/>
      <c r="B78" s="217">
        <v>81</v>
      </c>
      <c r="C78" s="106" t="s">
        <v>63</v>
      </c>
      <c r="D78" s="225">
        <f>'Сырьё лето'!C78</f>
        <v>250</v>
      </c>
      <c r="E78" s="73">
        <v>1.6</v>
      </c>
      <c r="F78" s="73">
        <v>4.86</v>
      </c>
      <c r="G78" s="73">
        <v>8.56</v>
      </c>
      <c r="H78" s="73">
        <f>E78*4+F78*9+G78*4</f>
        <v>84.38</v>
      </c>
      <c r="I78" s="73">
        <v>0.03</v>
      </c>
      <c r="J78" s="73">
        <v>0.04</v>
      </c>
      <c r="K78" s="73">
        <v>10.93</v>
      </c>
      <c r="L78" s="73">
        <v>0</v>
      </c>
      <c r="M78" s="73">
        <v>0.5</v>
      </c>
      <c r="N78" s="73">
        <v>52.53</v>
      </c>
      <c r="O78" s="73">
        <v>46.1</v>
      </c>
      <c r="P78" s="73">
        <v>23.13</v>
      </c>
      <c r="Q78" s="81">
        <v>1.1</v>
      </c>
      <c r="R78" s="73">
        <v>0.74</v>
      </c>
      <c r="S78" s="203">
        <v>0.02</v>
      </c>
      <c r="W78" s="77">
        <v>81</v>
      </c>
      <c r="X78" s="60" t="s">
        <v>63</v>
      </c>
      <c r="Y78" s="87">
        <f>'Сырьё лето'!X78</f>
        <v>5</v>
      </c>
      <c r="Z78" s="73">
        <v>1.6</v>
      </c>
      <c r="AA78" s="73">
        <v>4.86</v>
      </c>
      <c r="AB78" s="73">
        <v>8.56</v>
      </c>
      <c r="AC78" s="73">
        <f>Z78*4+AA78*9+AB78*4</f>
        <v>84.38</v>
      </c>
      <c r="AD78" s="73">
        <v>0.03</v>
      </c>
      <c r="AE78" s="73">
        <v>0.04</v>
      </c>
      <c r="AF78" s="73">
        <v>10.93</v>
      </c>
      <c r="AG78" s="73">
        <v>0</v>
      </c>
      <c r="AH78" s="73">
        <v>0.5</v>
      </c>
      <c r="AI78" s="73">
        <v>52.53</v>
      </c>
      <c r="AJ78" s="73">
        <v>46.1</v>
      </c>
      <c r="AK78" s="73">
        <v>23.13</v>
      </c>
      <c r="AL78" s="81">
        <v>1.1</v>
      </c>
      <c r="AM78" s="73">
        <v>0.74</v>
      </c>
      <c r="AN78" s="93">
        <v>0.07</v>
      </c>
    </row>
    <row r="79" spans="1:40" ht="15" customHeight="1">
      <c r="A79" s="73"/>
      <c r="B79" s="106" t="s">
        <v>123</v>
      </c>
      <c r="C79" s="113" t="s">
        <v>128</v>
      </c>
      <c r="D79" s="225">
        <f>'Сырьё лето'!C79</f>
        <v>100</v>
      </c>
      <c r="E79" s="79">
        <f>Z79*'Сырьё лето'!AI79</f>
        <v>7.325</v>
      </c>
      <c r="F79" s="73">
        <f>14.8+1.51</f>
        <v>16.310000000000002</v>
      </c>
      <c r="G79" s="73">
        <v>13.07</v>
      </c>
      <c r="H79" s="73">
        <f>E79*4+F79*9+G79*4</f>
        <v>228.37000000000003</v>
      </c>
      <c r="I79" s="73">
        <v>0.14</v>
      </c>
      <c r="J79" s="73">
        <v>0.05</v>
      </c>
      <c r="K79" s="73">
        <v>0.09</v>
      </c>
      <c r="L79" s="73">
        <v>0</v>
      </c>
      <c r="M79" s="73">
        <v>0.3</v>
      </c>
      <c r="N79" s="73">
        <v>39.54</v>
      </c>
      <c r="O79" s="73">
        <v>63.38</v>
      </c>
      <c r="P79" s="73">
        <v>11.3</v>
      </c>
      <c r="Q79" s="81">
        <v>0.745</v>
      </c>
      <c r="R79" s="73">
        <v>1.12</v>
      </c>
      <c r="S79" s="203">
        <v>0</v>
      </c>
      <c r="V79" s="70"/>
      <c r="W79" s="60" t="s">
        <v>123</v>
      </c>
      <c r="X79" s="63" t="s">
        <v>128</v>
      </c>
      <c r="Y79" s="87">
        <f>'Сырьё лето'!X79</f>
        <v>6.25</v>
      </c>
      <c r="Z79" s="73">
        <f>5.29+0.57</f>
        <v>5.86</v>
      </c>
      <c r="AA79" s="73">
        <f>14.8+1.51</f>
        <v>16.310000000000002</v>
      </c>
      <c r="AB79" s="73">
        <f>1.28+1.79</f>
        <v>3.0700000000000003</v>
      </c>
      <c r="AC79" s="73">
        <f aca="true" t="shared" si="21" ref="AC79:AC84">Z79*4+AA79*9+AB79*4</f>
        <v>182.51000000000002</v>
      </c>
      <c r="AD79" s="73">
        <v>0.14</v>
      </c>
      <c r="AE79" s="73">
        <v>0.05</v>
      </c>
      <c r="AF79" s="73">
        <v>0.09</v>
      </c>
      <c r="AG79" s="73">
        <v>0</v>
      </c>
      <c r="AH79" s="73">
        <v>0.3</v>
      </c>
      <c r="AI79" s="73">
        <v>9.54</v>
      </c>
      <c r="AJ79" s="73">
        <v>63.38</v>
      </c>
      <c r="AK79" s="73">
        <v>11.3</v>
      </c>
      <c r="AL79" s="81">
        <v>0.745</v>
      </c>
      <c r="AM79" s="73">
        <v>1.12</v>
      </c>
      <c r="AN79" s="93">
        <v>0.02</v>
      </c>
    </row>
    <row r="80" spans="1:40" s="84" customFormat="1" ht="15" customHeight="1">
      <c r="A80" s="73"/>
      <c r="B80" s="106"/>
      <c r="C80" s="106" t="s">
        <v>127</v>
      </c>
      <c r="D80" s="225">
        <f>'Сырьё лето'!C80</f>
        <v>180</v>
      </c>
      <c r="E80" s="79">
        <f>Z80*'Сырьё лето'!AI80</f>
        <v>4.2912</v>
      </c>
      <c r="F80" s="73">
        <v>6.12</v>
      </c>
      <c r="G80" s="73">
        <v>30.9</v>
      </c>
      <c r="H80" s="73">
        <f>E80*4+F80*9+G80*4</f>
        <v>195.8448</v>
      </c>
      <c r="I80" s="73">
        <v>0.026</v>
      </c>
      <c r="J80" s="73">
        <v>0.026</v>
      </c>
      <c r="K80" s="73">
        <v>0</v>
      </c>
      <c r="L80" s="73">
        <v>0.11</v>
      </c>
      <c r="M80" s="73">
        <v>1.46</v>
      </c>
      <c r="N80" s="73">
        <v>13.42</v>
      </c>
      <c r="O80" s="73">
        <v>64.9</v>
      </c>
      <c r="P80" s="73">
        <v>21.97</v>
      </c>
      <c r="Q80" s="81">
        <v>0.46</v>
      </c>
      <c r="R80" s="73">
        <v>2.54</v>
      </c>
      <c r="S80" s="106">
        <v>0</v>
      </c>
      <c r="V80" s="70"/>
      <c r="W80" s="60"/>
      <c r="X80" s="60" t="s">
        <v>127</v>
      </c>
      <c r="Y80" s="87">
        <f>'Сырьё лето'!X80</f>
        <v>0</v>
      </c>
      <c r="Z80" s="73">
        <v>2.98</v>
      </c>
      <c r="AA80" s="73">
        <v>6.12</v>
      </c>
      <c r="AB80" s="73">
        <v>30.9</v>
      </c>
      <c r="AC80" s="73">
        <f t="shared" si="21"/>
        <v>190.6</v>
      </c>
      <c r="AD80" s="73">
        <v>0.026</v>
      </c>
      <c r="AE80" s="73">
        <v>0.026</v>
      </c>
      <c r="AF80" s="73">
        <v>0</v>
      </c>
      <c r="AG80" s="73">
        <v>0.31</v>
      </c>
      <c r="AH80" s="73">
        <v>0.46</v>
      </c>
      <c r="AI80" s="73">
        <v>13.42</v>
      </c>
      <c r="AJ80" s="73">
        <v>64.9</v>
      </c>
      <c r="AK80" s="73">
        <v>21.97</v>
      </c>
      <c r="AL80" s="81">
        <v>0.46</v>
      </c>
      <c r="AM80" s="73">
        <v>0.54</v>
      </c>
      <c r="AN80" s="95">
        <v>0</v>
      </c>
    </row>
    <row r="81" spans="1:40" ht="15" customHeight="1">
      <c r="A81" s="73"/>
      <c r="B81" s="106"/>
      <c r="C81" s="106" t="s">
        <v>51</v>
      </c>
      <c r="D81" s="225">
        <f>'Сырьё лето'!C81</f>
        <v>200</v>
      </c>
      <c r="E81" s="73">
        <v>0.68</v>
      </c>
      <c r="F81" s="73">
        <v>0.28</v>
      </c>
      <c r="G81" s="73">
        <v>20.76</v>
      </c>
      <c r="H81" s="73">
        <f>E81*4+F81*9+G81*4</f>
        <v>88.28</v>
      </c>
      <c r="I81" s="73">
        <v>0.01</v>
      </c>
      <c r="J81" s="73">
        <v>0.06</v>
      </c>
      <c r="K81" s="73">
        <v>10</v>
      </c>
      <c r="L81" s="73">
        <v>0</v>
      </c>
      <c r="M81" s="73">
        <v>0</v>
      </c>
      <c r="N81" s="73">
        <v>21.34</v>
      </c>
      <c r="O81" s="73">
        <v>3.44</v>
      </c>
      <c r="P81" s="73">
        <v>3.44</v>
      </c>
      <c r="Q81" s="81">
        <v>0.634</v>
      </c>
      <c r="R81" s="73">
        <v>0.02</v>
      </c>
      <c r="S81" s="203">
        <v>0</v>
      </c>
      <c r="V81" s="70"/>
      <c r="W81" s="62"/>
      <c r="X81" s="62" t="s">
        <v>51</v>
      </c>
      <c r="Y81" s="87">
        <f>'Сырьё лето'!X81</f>
        <v>0</v>
      </c>
      <c r="Z81" s="73">
        <v>0.68</v>
      </c>
      <c r="AA81" s="73">
        <v>0.28</v>
      </c>
      <c r="AB81" s="73">
        <v>20.76</v>
      </c>
      <c r="AC81" s="73">
        <f t="shared" si="21"/>
        <v>88.28</v>
      </c>
      <c r="AD81" s="73">
        <v>0.01</v>
      </c>
      <c r="AE81" s="73">
        <v>0.06</v>
      </c>
      <c r="AF81" s="73">
        <v>100</v>
      </c>
      <c r="AG81" s="73">
        <v>0</v>
      </c>
      <c r="AH81" s="73">
        <v>0</v>
      </c>
      <c r="AI81" s="73">
        <v>21.34</v>
      </c>
      <c r="AJ81" s="73">
        <v>3.44</v>
      </c>
      <c r="AK81" s="73">
        <v>3.44</v>
      </c>
      <c r="AL81" s="81">
        <v>0.634</v>
      </c>
      <c r="AM81" s="73">
        <v>0.02</v>
      </c>
      <c r="AN81" s="93">
        <v>0.4</v>
      </c>
    </row>
    <row r="82" spans="1:40" ht="15" customHeight="1">
      <c r="A82" s="73"/>
      <c r="B82" s="204"/>
      <c r="C82" s="106" t="s">
        <v>53</v>
      </c>
      <c r="D82" s="225">
        <f>'Сырьё лето'!C82</f>
        <v>70</v>
      </c>
      <c r="E82" s="79">
        <f>Z82*'Сырьё лето'!AI82</f>
        <v>4.7250000000000005</v>
      </c>
      <c r="F82" s="79">
        <v>0.51</v>
      </c>
      <c r="G82" s="69">
        <v>30.06</v>
      </c>
      <c r="H82" s="73">
        <f>E82*4+F82*9+G82*4</f>
        <v>143.73</v>
      </c>
      <c r="I82" s="79">
        <v>0.06</v>
      </c>
      <c r="J82" s="79" t="s">
        <v>119</v>
      </c>
      <c r="K82" s="79">
        <v>0</v>
      </c>
      <c r="L82" s="79">
        <v>0</v>
      </c>
      <c r="M82" s="79">
        <v>1.44</v>
      </c>
      <c r="N82" s="79">
        <v>12</v>
      </c>
      <c r="O82" s="79">
        <v>53.75</v>
      </c>
      <c r="P82" s="79">
        <v>2.4</v>
      </c>
      <c r="Q82" s="79">
        <v>0.66</v>
      </c>
      <c r="R82" s="79">
        <v>0</v>
      </c>
      <c r="S82" s="203">
        <v>0</v>
      </c>
      <c r="V82" s="70"/>
      <c r="W82" s="61"/>
      <c r="X82" s="60" t="s">
        <v>53</v>
      </c>
      <c r="Y82" s="87">
        <f>'Сырьё лето'!X82</f>
        <v>0</v>
      </c>
      <c r="Z82" s="82">
        <v>4.05</v>
      </c>
      <c r="AA82" s="82">
        <v>0.51</v>
      </c>
      <c r="AB82" s="82">
        <v>30.09</v>
      </c>
      <c r="AC82" s="73">
        <f t="shared" si="21"/>
        <v>141.15</v>
      </c>
      <c r="AD82" s="82">
        <v>0.06</v>
      </c>
      <c r="AE82" s="82" t="s">
        <v>119</v>
      </c>
      <c r="AF82" s="82">
        <v>0</v>
      </c>
      <c r="AG82" s="82">
        <v>0</v>
      </c>
      <c r="AH82" s="82">
        <v>0.66</v>
      </c>
      <c r="AI82" s="82">
        <v>12</v>
      </c>
      <c r="AJ82" s="82">
        <v>39</v>
      </c>
      <c r="AK82" s="82">
        <v>8.4</v>
      </c>
      <c r="AL82" s="82">
        <v>0.66</v>
      </c>
      <c r="AM82" s="82">
        <v>0</v>
      </c>
      <c r="AN82" s="93">
        <v>0</v>
      </c>
    </row>
    <row r="83" spans="1:40" ht="15" customHeight="1">
      <c r="A83" s="73"/>
      <c r="B83" s="106"/>
      <c r="C83" s="106" t="s">
        <v>156</v>
      </c>
      <c r="D83" s="225">
        <f>'Сырьё лето'!C83</f>
        <v>40</v>
      </c>
      <c r="E83" s="79">
        <f>Z83*'Сырьё лето'!AI83</f>
        <v>2.66</v>
      </c>
      <c r="F83" s="79">
        <v>0.24</v>
      </c>
      <c r="G83" s="69">
        <v>16.74</v>
      </c>
      <c r="H83" s="73">
        <f>E83*4+F83*9+G83*4</f>
        <v>79.75999999999999</v>
      </c>
      <c r="I83" s="79">
        <v>0.11</v>
      </c>
      <c r="J83" s="79">
        <v>0.07</v>
      </c>
      <c r="K83" s="79">
        <v>0.14</v>
      </c>
      <c r="L83" s="79">
        <v>0</v>
      </c>
      <c r="M83" s="79">
        <v>0.11</v>
      </c>
      <c r="N83" s="79">
        <v>25.55</v>
      </c>
      <c r="O83" s="79">
        <v>43.75</v>
      </c>
      <c r="P83" s="79">
        <v>4</v>
      </c>
      <c r="Q83" s="80">
        <v>0.98</v>
      </c>
      <c r="R83" s="79">
        <v>0</v>
      </c>
      <c r="S83" s="203">
        <v>0.02</v>
      </c>
      <c r="V83" s="70"/>
      <c r="W83" s="60"/>
      <c r="X83" s="60" t="s">
        <v>156</v>
      </c>
      <c r="Y83" s="87">
        <f>'Сырьё лето'!X83</f>
        <v>0</v>
      </c>
      <c r="Z83" s="79">
        <v>1.33</v>
      </c>
      <c r="AA83" s="79">
        <v>0.24</v>
      </c>
      <c r="AB83" s="79">
        <v>8.37</v>
      </c>
      <c r="AC83" s="73">
        <f t="shared" si="21"/>
        <v>40.959999999999994</v>
      </c>
      <c r="AD83" s="79">
        <v>0.11</v>
      </c>
      <c r="AE83" s="79">
        <v>0.07</v>
      </c>
      <c r="AF83" s="79">
        <v>0.14</v>
      </c>
      <c r="AG83" s="79">
        <v>0</v>
      </c>
      <c r="AH83" s="79">
        <v>0.11</v>
      </c>
      <c r="AI83" s="79">
        <v>25.55</v>
      </c>
      <c r="AJ83" s="79">
        <v>43.75</v>
      </c>
      <c r="AK83" s="79">
        <v>14</v>
      </c>
      <c r="AL83" s="80">
        <v>0.98</v>
      </c>
      <c r="AM83" s="79">
        <v>0</v>
      </c>
      <c r="AN83" s="93">
        <v>0.02</v>
      </c>
    </row>
    <row r="84" spans="1:40" ht="15" customHeight="1">
      <c r="A84" s="73"/>
      <c r="B84" s="106"/>
      <c r="C84" s="106" t="s">
        <v>157</v>
      </c>
      <c r="D84" s="225">
        <f>'Сырьё лето'!C84</f>
        <v>200</v>
      </c>
      <c r="E84" s="79">
        <f>2.5*2</f>
        <v>5</v>
      </c>
      <c r="F84" s="79">
        <f>2.5*2</f>
        <v>5</v>
      </c>
      <c r="G84" s="79">
        <v>16</v>
      </c>
      <c r="H84" s="73">
        <v>109</v>
      </c>
      <c r="I84" s="79">
        <v>0.08</v>
      </c>
      <c r="J84" s="79">
        <v>0.3</v>
      </c>
      <c r="K84" s="79">
        <v>2.6</v>
      </c>
      <c r="L84" s="79">
        <v>0.4</v>
      </c>
      <c r="M84" s="79">
        <v>0</v>
      </c>
      <c r="N84" s="79">
        <v>240</v>
      </c>
      <c r="O84" s="79">
        <v>180</v>
      </c>
      <c r="P84" s="79">
        <v>28</v>
      </c>
      <c r="Q84" s="79">
        <v>0.2</v>
      </c>
      <c r="R84" s="79">
        <v>0</v>
      </c>
      <c r="S84" s="203">
        <v>0</v>
      </c>
      <c r="V84" s="70"/>
      <c r="W84" s="60"/>
      <c r="X84" s="60" t="s">
        <v>157</v>
      </c>
      <c r="Y84" s="87">
        <f>'Сырьё лето'!X84</f>
        <v>0</v>
      </c>
      <c r="Z84" s="82">
        <f>2.5*2</f>
        <v>5</v>
      </c>
      <c r="AA84" s="82">
        <f>2.5*2</f>
        <v>5</v>
      </c>
      <c r="AB84" s="82">
        <f>8*0.75</f>
        <v>6</v>
      </c>
      <c r="AC84" s="73">
        <f t="shared" si="21"/>
        <v>89</v>
      </c>
      <c r="AD84" s="82">
        <v>0.08</v>
      </c>
      <c r="AE84" s="82">
        <v>0.3</v>
      </c>
      <c r="AF84" s="82">
        <v>2.6</v>
      </c>
      <c r="AG84" s="82">
        <v>0.4</v>
      </c>
      <c r="AH84" s="82">
        <v>0</v>
      </c>
      <c r="AI84" s="82">
        <v>240</v>
      </c>
      <c r="AJ84" s="82">
        <v>180</v>
      </c>
      <c r="AK84" s="82">
        <v>28</v>
      </c>
      <c r="AL84" s="82">
        <v>0.2</v>
      </c>
      <c r="AM84" s="82">
        <v>0</v>
      </c>
      <c r="AN84" s="93">
        <v>0</v>
      </c>
    </row>
    <row r="85" spans="1:40" ht="15" customHeight="1">
      <c r="A85" s="73"/>
      <c r="B85" s="211"/>
      <c r="C85" s="212" t="s">
        <v>15</v>
      </c>
      <c r="D85" s="213">
        <f aca="true" t="shared" si="22" ref="D85:S85">SUM(D78:D84)</f>
        <v>1040</v>
      </c>
      <c r="E85" s="208">
        <f t="shared" si="22"/>
        <v>26.281200000000002</v>
      </c>
      <c r="F85" s="208">
        <f t="shared" si="22"/>
        <v>33.32000000000001</v>
      </c>
      <c r="G85" s="208">
        <f t="shared" si="22"/>
        <v>136.09</v>
      </c>
      <c r="H85" s="208">
        <f t="shared" si="22"/>
        <v>929.3648</v>
      </c>
      <c r="I85" s="208">
        <f t="shared" si="22"/>
        <v>0.456</v>
      </c>
      <c r="J85" s="208">
        <f t="shared" si="22"/>
        <v>0.546</v>
      </c>
      <c r="K85" s="208">
        <f t="shared" si="22"/>
        <v>23.76</v>
      </c>
      <c r="L85" s="208">
        <f t="shared" si="22"/>
        <v>0.51</v>
      </c>
      <c r="M85" s="208">
        <f t="shared" si="22"/>
        <v>3.8099999999999996</v>
      </c>
      <c r="N85" s="208">
        <f t="shared" si="22"/>
        <v>404.38</v>
      </c>
      <c r="O85" s="208">
        <v>555.32</v>
      </c>
      <c r="P85" s="208">
        <f t="shared" si="22"/>
        <v>94.24</v>
      </c>
      <c r="Q85" s="208">
        <f t="shared" si="22"/>
        <v>4.779000000000001</v>
      </c>
      <c r="R85" s="208">
        <f t="shared" si="22"/>
        <v>4.42</v>
      </c>
      <c r="S85" s="208">
        <f t="shared" si="22"/>
        <v>0.04</v>
      </c>
      <c r="V85" s="70"/>
      <c r="W85" s="16"/>
      <c r="X85" s="20" t="s">
        <v>15</v>
      </c>
      <c r="Y85" s="36">
        <f aca="true" t="shared" si="23" ref="Y85:AN85">SUM(Y78:Y84)</f>
        <v>11.25</v>
      </c>
      <c r="Z85" s="72">
        <f t="shared" si="23"/>
        <v>21.5</v>
      </c>
      <c r="AA85" s="72">
        <f t="shared" si="23"/>
        <v>33.32000000000001</v>
      </c>
      <c r="AB85" s="72">
        <f t="shared" si="23"/>
        <v>107.75000000000001</v>
      </c>
      <c r="AC85" s="72">
        <f t="shared" si="23"/>
        <v>816.88</v>
      </c>
      <c r="AD85" s="72">
        <f t="shared" si="23"/>
        <v>0.456</v>
      </c>
      <c r="AE85" s="72">
        <f t="shared" si="23"/>
        <v>0.546</v>
      </c>
      <c r="AF85" s="72">
        <f t="shared" si="23"/>
        <v>113.75999999999999</v>
      </c>
      <c r="AG85" s="72">
        <f t="shared" si="23"/>
        <v>0.71</v>
      </c>
      <c r="AH85" s="72">
        <f t="shared" si="23"/>
        <v>2.03</v>
      </c>
      <c r="AI85" s="72">
        <f t="shared" si="23"/>
        <v>374.38</v>
      </c>
      <c r="AJ85" s="72">
        <f t="shared" si="23"/>
        <v>440.57</v>
      </c>
      <c r="AK85" s="72">
        <f t="shared" si="23"/>
        <v>110.24</v>
      </c>
      <c r="AL85" s="72">
        <f t="shared" si="23"/>
        <v>4.779000000000001</v>
      </c>
      <c r="AM85" s="72">
        <f t="shared" si="23"/>
        <v>2.4200000000000004</v>
      </c>
      <c r="AN85" s="72">
        <f t="shared" si="23"/>
        <v>0.51</v>
      </c>
    </row>
    <row r="86" spans="1:40" ht="15" customHeight="1">
      <c r="A86" s="73"/>
      <c r="B86" s="209"/>
      <c r="C86" s="69"/>
      <c r="D86" s="34"/>
      <c r="E86" s="69">
        <v>31.5</v>
      </c>
      <c r="F86" s="69">
        <v>32.2</v>
      </c>
      <c r="G86" s="69">
        <v>134.05</v>
      </c>
      <c r="H86" s="69">
        <v>949.55</v>
      </c>
      <c r="I86" s="69">
        <v>0.49</v>
      </c>
      <c r="J86" s="69">
        <v>0.56</v>
      </c>
      <c r="K86" s="69">
        <v>24.5</v>
      </c>
      <c r="L86" s="210">
        <v>0.315</v>
      </c>
      <c r="M86" s="69">
        <v>4.2</v>
      </c>
      <c r="N86" s="69">
        <v>420</v>
      </c>
      <c r="O86" s="69">
        <v>630</v>
      </c>
      <c r="P86" s="69">
        <v>105</v>
      </c>
      <c r="Q86" s="69">
        <v>5.95</v>
      </c>
      <c r="R86" s="69">
        <v>4.9</v>
      </c>
      <c r="S86" s="69">
        <v>0.042</v>
      </c>
      <c r="W86" s="17"/>
      <c r="X86" s="74"/>
      <c r="Y86" s="33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</row>
    <row r="87" spans="1:40" ht="15" customHeight="1">
      <c r="A87" s="73"/>
      <c r="B87" s="209"/>
      <c r="C87" s="73"/>
      <c r="D87" s="34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203"/>
      <c r="V87" s="73"/>
      <c r="AN87" s="93"/>
    </row>
    <row r="88" spans="1:40" ht="15" customHeight="1">
      <c r="A88" s="73"/>
      <c r="B88" s="274" t="s">
        <v>151</v>
      </c>
      <c r="C88" s="275"/>
      <c r="D88" s="34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V88" s="19"/>
      <c r="W88" s="304" t="s">
        <v>151</v>
      </c>
      <c r="X88" s="305"/>
      <c r="Y88" s="35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</row>
    <row r="89" spans="1:40" s="59" customFormat="1" ht="15" customHeight="1">
      <c r="A89" s="73"/>
      <c r="B89" s="108"/>
      <c r="C89" s="106" t="s">
        <v>111</v>
      </c>
      <c r="D89" s="225">
        <f>'Сырьё лето'!C89</f>
        <v>100</v>
      </c>
      <c r="E89" s="79">
        <f>Z89*'Сырьё лето'!AI89</f>
        <v>0.7</v>
      </c>
      <c r="F89" s="69">
        <v>0.06</v>
      </c>
      <c r="G89" s="69">
        <v>1.14</v>
      </c>
      <c r="H89" s="69">
        <f>E89*4+F89*9+G89*4</f>
        <v>7.8999999999999995</v>
      </c>
      <c r="I89" s="69">
        <v>0.024</v>
      </c>
      <c r="J89" s="69">
        <v>0.012</v>
      </c>
      <c r="K89" s="69">
        <v>2.94</v>
      </c>
      <c r="L89" s="69">
        <v>0</v>
      </c>
      <c r="M89" s="69">
        <v>0</v>
      </c>
      <c r="N89" s="69">
        <v>10.2</v>
      </c>
      <c r="O89" s="69">
        <v>18</v>
      </c>
      <c r="P89" s="69">
        <v>8.4</v>
      </c>
      <c r="Q89" s="69">
        <v>0.3</v>
      </c>
      <c r="R89" s="69">
        <v>0.12</v>
      </c>
      <c r="S89" s="203">
        <v>0</v>
      </c>
      <c r="V89" s="70"/>
      <c r="W89" s="66"/>
      <c r="X89" s="60" t="s">
        <v>111</v>
      </c>
      <c r="Y89" s="87">
        <f>'Сырьё лето'!X89</f>
        <v>0</v>
      </c>
      <c r="Z89" s="71">
        <v>0.42</v>
      </c>
      <c r="AA89" s="71">
        <v>0.06</v>
      </c>
      <c r="AB89" s="71">
        <v>1.14</v>
      </c>
      <c r="AC89" s="71">
        <f>Z89*4+AA89*9+AB89*4</f>
        <v>6.779999999999999</v>
      </c>
      <c r="AD89" s="71">
        <v>0.024</v>
      </c>
      <c r="AE89" s="71">
        <v>0.012</v>
      </c>
      <c r="AF89" s="71">
        <v>2.94</v>
      </c>
      <c r="AG89" s="71">
        <v>0</v>
      </c>
      <c r="AH89" s="71">
        <v>0</v>
      </c>
      <c r="AI89" s="71">
        <v>10.2</v>
      </c>
      <c r="AJ89" s="71">
        <v>18</v>
      </c>
      <c r="AK89" s="71">
        <v>8.4</v>
      </c>
      <c r="AL89" s="71">
        <v>0.3</v>
      </c>
      <c r="AM89" s="71">
        <v>0.12</v>
      </c>
      <c r="AN89" s="93">
        <v>0</v>
      </c>
    </row>
    <row r="90" spans="1:40" s="59" customFormat="1" ht="15" customHeight="1">
      <c r="A90" s="73"/>
      <c r="B90" s="197" t="s">
        <v>121</v>
      </c>
      <c r="C90" s="198" t="s">
        <v>108</v>
      </c>
      <c r="D90" s="225">
        <f>'Сырьё лето'!C90</f>
        <v>250</v>
      </c>
      <c r="E90" s="69">
        <v>2.38</v>
      </c>
      <c r="F90" s="69">
        <v>15.077</v>
      </c>
      <c r="G90" s="69">
        <v>12.9</v>
      </c>
      <c r="H90" s="69">
        <f aca="true" t="shared" si="24" ref="H90:H96">E90*4+F90*9+G90*4</f>
        <v>196.81300000000002</v>
      </c>
      <c r="I90" s="69">
        <v>0.055</v>
      </c>
      <c r="J90" s="69">
        <v>0.022</v>
      </c>
      <c r="K90" s="69">
        <v>0.95</v>
      </c>
      <c r="L90" s="69">
        <v>0</v>
      </c>
      <c r="M90" s="69">
        <v>0.2</v>
      </c>
      <c r="N90" s="69">
        <v>27.3</v>
      </c>
      <c r="O90" s="69">
        <v>36.77</v>
      </c>
      <c r="P90" s="69">
        <v>15.22</v>
      </c>
      <c r="Q90" s="69">
        <v>0.72</v>
      </c>
      <c r="R90" s="69">
        <v>0.21</v>
      </c>
      <c r="S90" s="203">
        <v>0.02</v>
      </c>
      <c r="V90" s="70"/>
      <c r="W90" s="91" t="s">
        <v>121</v>
      </c>
      <c r="X90" s="67" t="s">
        <v>108</v>
      </c>
      <c r="Y90" s="87">
        <f>'Сырьё лето'!X90</f>
        <v>0</v>
      </c>
      <c r="Z90" s="71">
        <v>2.38</v>
      </c>
      <c r="AA90" s="71">
        <v>5.077</v>
      </c>
      <c r="AB90" s="71">
        <v>12.9</v>
      </c>
      <c r="AC90" s="71">
        <f aca="true" t="shared" si="25" ref="AC90:AC96">Z90*4+AA90*9+AB90*4</f>
        <v>106.81299999999999</v>
      </c>
      <c r="AD90" s="71">
        <v>0.055</v>
      </c>
      <c r="AE90" s="71">
        <v>0.022</v>
      </c>
      <c r="AF90" s="71">
        <v>0.95</v>
      </c>
      <c r="AG90" s="71">
        <v>0</v>
      </c>
      <c r="AH90" s="71">
        <v>0.2</v>
      </c>
      <c r="AI90" s="71">
        <v>27.3</v>
      </c>
      <c r="AJ90" s="71">
        <v>36.77</v>
      </c>
      <c r="AK90" s="71">
        <v>15.22</v>
      </c>
      <c r="AL90" s="71">
        <v>0.72</v>
      </c>
      <c r="AM90" s="71">
        <v>0.21</v>
      </c>
      <c r="AN90" s="93">
        <v>0</v>
      </c>
    </row>
    <row r="91" spans="1:40" ht="15" customHeight="1">
      <c r="A91" s="73"/>
      <c r="B91" s="106">
        <v>234</v>
      </c>
      <c r="C91" s="106" t="s">
        <v>103</v>
      </c>
      <c r="D91" s="225">
        <f>'Сырьё лето'!C91</f>
        <v>100</v>
      </c>
      <c r="E91" s="79">
        <f>Z91*'Сырьё лето'!AI91</f>
        <v>8.7375</v>
      </c>
      <c r="F91" s="69">
        <v>5.8</v>
      </c>
      <c r="G91" s="69">
        <v>19.97</v>
      </c>
      <c r="H91" s="69">
        <f t="shared" si="24"/>
        <v>167.03</v>
      </c>
      <c r="I91" s="69">
        <v>0.047</v>
      </c>
      <c r="J91" s="69">
        <v>0.07</v>
      </c>
      <c r="K91" s="69">
        <v>0.88</v>
      </c>
      <c r="L91" s="69">
        <v>0.15</v>
      </c>
      <c r="M91" s="69">
        <v>1.4</v>
      </c>
      <c r="N91" s="69">
        <v>40.92</v>
      </c>
      <c r="O91" s="69">
        <v>92.31</v>
      </c>
      <c r="P91" s="69">
        <v>27.56</v>
      </c>
      <c r="Q91" s="69">
        <v>0.77</v>
      </c>
      <c r="R91" s="69">
        <v>2.9</v>
      </c>
      <c r="S91" s="203">
        <v>0</v>
      </c>
      <c r="V91" s="70"/>
      <c r="W91" s="62">
        <v>234</v>
      </c>
      <c r="X91" s="62" t="s">
        <v>103</v>
      </c>
      <c r="Y91" s="87">
        <f>'Сырьё лето'!X91</f>
        <v>9.375</v>
      </c>
      <c r="Z91" s="71">
        <v>6.99</v>
      </c>
      <c r="AA91" s="71">
        <v>5.8</v>
      </c>
      <c r="AB91" s="71">
        <v>9.97</v>
      </c>
      <c r="AC91" s="71">
        <f t="shared" si="25"/>
        <v>120.03999999999999</v>
      </c>
      <c r="AD91" s="71">
        <v>0.047</v>
      </c>
      <c r="AE91" s="71">
        <v>0.07</v>
      </c>
      <c r="AF91" s="71">
        <v>0.88</v>
      </c>
      <c r="AG91" s="71">
        <v>0.15</v>
      </c>
      <c r="AH91" s="71">
        <v>0.4</v>
      </c>
      <c r="AI91" s="71">
        <v>40.92</v>
      </c>
      <c r="AJ91" s="71">
        <v>92.31</v>
      </c>
      <c r="AK91" s="71">
        <v>27.56</v>
      </c>
      <c r="AL91" s="71">
        <v>0.77</v>
      </c>
      <c r="AM91" s="71">
        <v>0.9</v>
      </c>
      <c r="AN91" s="93">
        <v>0.86</v>
      </c>
    </row>
    <row r="92" spans="1:40" s="59" customFormat="1" ht="15" customHeight="1">
      <c r="A92" s="73"/>
      <c r="B92" s="137">
        <v>125</v>
      </c>
      <c r="C92" s="113" t="s">
        <v>56</v>
      </c>
      <c r="D92" s="225">
        <f>'Сырьё лето'!C92</f>
        <v>180</v>
      </c>
      <c r="E92" s="79">
        <f>Z92*'Сырьё лето'!AI92</f>
        <v>3.432857142857143</v>
      </c>
      <c r="F92" s="73">
        <v>5.24</v>
      </c>
      <c r="G92" s="73">
        <v>18.54</v>
      </c>
      <c r="H92" s="69">
        <f t="shared" si="24"/>
        <v>135.05142857142857</v>
      </c>
      <c r="I92" s="73">
        <v>0.15</v>
      </c>
      <c r="J92" s="73">
        <v>0.1</v>
      </c>
      <c r="K92" s="73">
        <v>10.11</v>
      </c>
      <c r="L92" s="73">
        <v>0.08</v>
      </c>
      <c r="M92" s="73">
        <v>0</v>
      </c>
      <c r="N92" s="73">
        <v>18.1</v>
      </c>
      <c r="O92" s="73">
        <v>73.9</v>
      </c>
      <c r="P92" s="73">
        <v>26.92</v>
      </c>
      <c r="Q92" s="81">
        <v>1.08</v>
      </c>
      <c r="R92" s="73">
        <v>0.37</v>
      </c>
      <c r="S92" s="203">
        <v>0</v>
      </c>
      <c r="V92" s="70"/>
      <c r="W92" s="64">
        <v>125</v>
      </c>
      <c r="X92" s="65" t="s">
        <v>56</v>
      </c>
      <c r="Y92" s="87">
        <f>'Сырьё лето'!X92</f>
        <v>0</v>
      </c>
      <c r="Z92" s="73">
        <v>2.67</v>
      </c>
      <c r="AA92" s="73">
        <v>5.24</v>
      </c>
      <c r="AB92" s="73">
        <v>18.54</v>
      </c>
      <c r="AC92" s="71">
        <f t="shared" si="25"/>
        <v>132</v>
      </c>
      <c r="AD92" s="73">
        <v>0.15</v>
      </c>
      <c r="AE92" s="73">
        <v>0.1</v>
      </c>
      <c r="AF92" s="73">
        <v>19.11</v>
      </c>
      <c r="AG92" s="73">
        <v>0.08</v>
      </c>
      <c r="AH92" s="73">
        <v>0</v>
      </c>
      <c r="AI92" s="73">
        <v>18.1</v>
      </c>
      <c r="AJ92" s="73">
        <v>73.9</v>
      </c>
      <c r="AK92" s="73">
        <v>26.92</v>
      </c>
      <c r="AL92" s="81">
        <v>1.08</v>
      </c>
      <c r="AM92" s="73">
        <v>0.37</v>
      </c>
      <c r="AN92" s="93">
        <v>0</v>
      </c>
    </row>
    <row r="93" spans="1:40" s="59" customFormat="1" ht="15" customHeight="1">
      <c r="A93" s="73"/>
      <c r="B93" s="106">
        <v>397</v>
      </c>
      <c r="C93" s="106" t="s">
        <v>100</v>
      </c>
      <c r="D93" s="225">
        <f>'Сырьё лето'!C93</f>
        <v>200</v>
      </c>
      <c r="E93" s="79">
        <v>0.12</v>
      </c>
      <c r="F93" s="79">
        <v>0.1</v>
      </c>
      <c r="G93" s="79">
        <v>27.5</v>
      </c>
      <c r="H93" s="73">
        <f t="shared" si="24"/>
        <v>111.38</v>
      </c>
      <c r="I93" s="79">
        <v>0.01</v>
      </c>
      <c r="J93" s="79" t="s">
        <v>118</v>
      </c>
      <c r="K93" s="79">
        <v>2.07</v>
      </c>
      <c r="L93" s="79">
        <v>0</v>
      </c>
      <c r="M93" s="79">
        <v>0</v>
      </c>
      <c r="N93" s="79">
        <v>16.2</v>
      </c>
      <c r="O93" s="79">
        <v>7.2</v>
      </c>
      <c r="P93" s="79">
        <v>7.51</v>
      </c>
      <c r="Q93" s="80">
        <v>0.89</v>
      </c>
      <c r="R93" s="79">
        <v>0.07</v>
      </c>
      <c r="S93" s="203">
        <v>0</v>
      </c>
      <c r="V93" s="70"/>
      <c r="W93" s="60">
        <v>397</v>
      </c>
      <c r="X93" s="60" t="s">
        <v>100</v>
      </c>
      <c r="Y93" s="87">
        <f>'Сырьё лето'!X93</f>
        <v>0</v>
      </c>
      <c r="Z93" s="79">
        <v>0.12</v>
      </c>
      <c r="AA93" s="79">
        <v>0.1</v>
      </c>
      <c r="AB93" s="79">
        <v>27.5</v>
      </c>
      <c r="AC93" s="73">
        <f t="shared" si="25"/>
        <v>111.38</v>
      </c>
      <c r="AD93" s="79">
        <v>0.01</v>
      </c>
      <c r="AE93" s="79" t="s">
        <v>118</v>
      </c>
      <c r="AF93" s="79">
        <v>2.07</v>
      </c>
      <c r="AG93" s="79">
        <v>0</v>
      </c>
      <c r="AH93" s="79">
        <v>0</v>
      </c>
      <c r="AI93" s="79">
        <v>16.2</v>
      </c>
      <c r="AJ93" s="79">
        <v>7.2</v>
      </c>
      <c r="AK93" s="79">
        <v>7.51</v>
      </c>
      <c r="AL93" s="80">
        <v>0.89</v>
      </c>
      <c r="AM93" s="79">
        <v>0.07</v>
      </c>
      <c r="AN93" s="93">
        <v>0</v>
      </c>
    </row>
    <row r="94" spans="1:40" s="59" customFormat="1" ht="15" customHeight="1">
      <c r="A94" s="73"/>
      <c r="B94" s="204"/>
      <c r="C94" s="106" t="s">
        <v>53</v>
      </c>
      <c r="D94" s="225">
        <f>'Сырьё лето'!C94</f>
        <v>60</v>
      </c>
      <c r="E94" s="79">
        <f>Z94*'Сырьё лето'!AI94</f>
        <v>4.05</v>
      </c>
      <c r="F94" s="79">
        <v>0.51</v>
      </c>
      <c r="G94" s="69">
        <v>30.06</v>
      </c>
      <c r="H94" s="73">
        <f t="shared" si="24"/>
        <v>141.03</v>
      </c>
      <c r="I94" s="79">
        <v>0.06</v>
      </c>
      <c r="J94" s="79" t="s">
        <v>119</v>
      </c>
      <c r="K94" s="79">
        <v>0</v>
      </c>
      <c r="L94" s="79">
        <v>0</v>
      </c>
      <c r="M94" s="79">
        <v>1.44</v>
      </c>
      <c r="N94" s="79">
        <v>12</v>
      </c>
      <c r="O94" s="79">
        <v>53.75</v>
      </c>
      <c r="P94" s="79">
        <v>2.4</v>
      </c>
      <c r="Q94" s="79">
        <v>0.66</v>
      </c>
      <c r="R94" s="79">
        <v>0</v>
      </c>
      <c r="S94" s="203">
        <v>0</v>
      </c>
      <c r="V94" s="70"/>
      <c r="W94" s="61"/>
      <c r="X94" s="60" t="s">
        <v>53</v>
      </c>
      <c r="Y94" s="87">
        <f>'Сырьё лето'!X94</f>
        <v>0</v>
      </c>
      <c r="Z94" s="82">
        <v>4.05</v>
      </c>
      <c r="AA94" s="82">
        <v>0.51</v>
      </c>
      <c r="AB94" s="82">
        <v>30.09</v>
      </c>
      <c r="AC94" s="73">
        <f t="shared" si="25"/>
        <v>141.15</v>
      </c>
      <c r="AD94" s="82">
        <v>0.06</v>
      </c>
      <c r="AE94" s="82" t="s">
        <v>119</v>
      </c>
      <c r="AF94" s="82">
        <v>0</v>
      </c>
      <c r="AG94" s="82">
        <v>0</v>
      </c>
      <c r="AH94" s="82">
        <v>0.66</v>
      </c>
      <c r="AI94" s="82">
        <v>12</v>
      </c>
      <c r="AJ94" s="82">
        <v>39</v>
      </c>
      <c r="AK94" s="82">
        <v>8.4</v>
      </c>
      <c r="AL94" s="82">
        <v>0.66</v>
      </c>
      <c r="AM94" s="82">
        <v>0</v>
      </c>
      <c r="AN94" s="93">
        <v>0</v>
      </c>
    </row>
    <row r="95" spans="1:40" s="59" customFormat="1" ht="15" customHeight="1">
      <c r="A95" s="73"/>
      <c r="B95" s="106"/>
      <c r="C95" s="106" t="s">
        <v>156</v>
      </c>
      <c r="D95" s="225">
        <f>'Сырьё лето'!C95</f>
        <v>40</v>
      </c>
      <c r="E95" s="79">
        <f>Z95*'Сырьё лето'!AI95</f>
        <v>2.66</v>
      </c>
      <c r="F95" s="79">
        <v>0.48</v>
      </c>
      <c r="G95" s="69">
        <v>16.74</v>
      </c>
      <c r="H95" s="69">
        <f t="shared" si="24"/>
        <v>81.91999999999999</v>
      </c>
      <c r="I95" s="79">
        <v>0.22</v>
      </c>
      <c r="J95" s="79">
        <v>0.14</v>
      </c>
      <c r="K95" s="79">
        <v>0.28</v>
      </c>
      <c r="L95" s="79">
        <v>0</v>
      </c>
      <c r="M95" s="79">
        <v>0.22</v>
      </c>
      <c r="N95" s="79">
        <v>51.1</v>
      </c>
      <c r="O95" s="79">
        <v>87.5</v>
      </c>
      <c r="P95" s="79">
        <v>4</v>
      </c>
      <c r="Q95" s="80">
        <v>0.96</v>
      </c>
      <c r="R95" s="79">
        <v>0</v>
      </c>
      <c r="S95" s="203">
        <v>0.02</v>
      </c>
      <c r="V95" s="70"/>
      <c r="W95" s="60"/>
      <c r="X95" s="60" t="s">
        <v>156</v>
      </c>
      <c r="Y95" s="87">
        <f>'Сырьё лето'!X95</f>
        <v>0</v>
      </c>
      <c r="Z95" s="79">
        <v>2.66</v>
      </c>
      <c r="AA95" s="79">
        <v>0.48</v>
      </c>
      <c r="AB95" s="79">
        <v>16.74</v>
      </c>
      <c r="AC95" s="71">
        <f t="shared" si="25"/>
        <v>81.91999999999999</v>
      </c>
      <c r="AD95" s="79">
        <v>0.22</v>
      </c>
      <c r="AE95" s="79">
        <v>0.14</v>
      </c>
      <c r="AF95" s="79">
        <v>0.28</v>
      </c>
      <c r="AG95" s="79">
        <v>0</v>
      </c>
      <c r="AH95" s="79">
        <v>0.22</v>
      </c>
      <c r="AI95" s="79">
        <v>51.1</v>
      </c>
      <c r="AJ95" s="79">
        <v>87.5</v>
      </c>
      <c r="AK95" s="79">
        <v>28</v>
      </c>
      <c r="AL95" s="80">
        <v>1.96</v>
      </c>
      <c r="AM95" s="79">
        <v>0</v>
      </c>
      <c r="AN95" s="93">
        <v>0.04</v>
      </c>
    </row>
    <row r="96" spans="1:40" ht="15" customHeight="1">
      <c r="A96" s="73"/>
      <c r="B96" s="106"/>
      <c r="C96" s="106" t="s">
        <v>159</v>
      </c>
      <c r="D96" s="225">
        <f>'Сырьё лето'!C96</f>
        <v>160</v>
      </c>
      <c r="E96" s="69">
        <v>0.64</v>
      </c>
      <c r="F96" s="69">
        <v>0.64</v>
      </c>
      <c r="G96" s="69">
        <v>25.68</v>
      </c>
      <c r="H96" s="69">
        <f t="shared" si="24"/>
        <v>111.03999999999999</v>
      </c>
      <c r="I96" s="69">
        <v>0.05</v>
      </c>
      <c r="J96" s="69">
        <v>0.03</v>
      </c>
      <c r="K96" s="69">
        <v>6</v>
      </c>
      <c r="L96" s="69">
        <v>0</v>
      </c>
      <c r="M96" s="69">
        <v>0.2</v>
      </c>
      <c r="N96" s="69">
        <v>25.6</v>
      </c>
      <c r="O96" s="69">
        <v>17.6</v>
      </c>
      <c r="P96" s="69">
        <v>14.4</v>
      </c>
      <c r="Q96" s="69">
        <v>0.62</v>
      </c>
      <c r="R96" s="69">
        <v>0.24</v>
      </c>
      <c r="S96" s="203">
        <v>0</v>
      </c>
      <c r="V96" s="70"/>
      <c r="W96" s="60"/>
      <c r="X96" s="60" t="s">
        <v>159</v>
      </c>
      <c r="Y96" s="87">
        <f>'Сырьё лето'!X96</f>
        <v>0</v>
      </c>
      <c r="Z96" s="75">
        <v>0.64</v>
      </c>
      <c r="AA96" s="75">
        <v>0.64</v>
      </c>
      <c r="AB96" s="75">
        <v>15.68</v>
      </c>
      <c r="AC96" s="71">
        <f t="shared" si="25"/>
        <v>71.03999999999999</v>
      </c>
      <c r="AD96" s="69">
        <v>0.05</v>
      </c>
      <c r="AE96" s="69">
        <v>0.03</v>
      </c>
      <c r="AF96" s="69">
        <v>16</v>
      </c>
      <c r="AG96" s="69">
        <v>0</v>
      </c>
      <c r="AH96" s="69">
        <v>0.2</v>
      </c>
      <c r="AI96" s="69">
        <v>25.6</v>
      </c>
      <c r="AJ96" s="69">
        <v>17.6</v>
      </c>
      <c r="AK96" s="69">
        <v>14.4</v>
      </c>
      <c r="AL96" s="69">
        <v>3.52</v>
      </c>
      <c r="AM96" s="69">
        <v>0.24</v>
      </c>
      <c r="AN96" s="93">
        <v>0</v>
      </c>
    </row>
    <row r="97" spans="1:40" ht="15" customHeight="1">
      <c r="A97" s="73"/>
      <c r="B97" s="211"/>
      <c r="C97" s="212" t="s">
        <v>15</v>
      </c>
      <c r="D97" s="213">
        <f aca="true" t="shared" si="26" ref="D97:S97">SUM(D89:D96)</f>
        <v>1090</v>
      </c>
      <c r="E97" s="208">
        <f t="shared" si="26"/>
        <v>22.720357142857143</v>
      </c>
      <c r="F97" s="208">
        <f t="shared" si="26"/>
        <v>27.907000000000004</v>
      </c>
      <c r="G97" s="208">
        <f t="shared" si="26"/>
        <v>152.53</v>
      </c>
      <c r="H97" s="208">
        <f t="shared" si="26"/>
        <v>952.1644285714285</v>
      </c>
      <c r="I97" s="208">
        <f t="shared" si="26"/>
        <v>0.6160000000000001</v>
      </c>
      <c r="J97" s="208">
        <f t="shared" si="26"/>
        <v>0.374</v>
      </c>
      <c r="K97" s="208">
        <f t="shared" si="26"/>
        <v>23.23</v>
      </c>
      <c r="L97" s="208">
        <f t="shared" si="26"/>
        <v>0.22999999999999998</v>
      </c>
      <c r="M97" s="208">
        <f t="shared" si="26"/>
        <v>3.4600000000000004</v>
      </c>
      <c r="N97" s="208">
        <v>301.42</v>
      </c>
      <c r="O97" s="208">
        <v>587.03</v>
      </c>
      <c r="P97" s="208">
        <f t="shared" si="26"/>
        <v>106.41000000000001</v>
      </c>
      <c r="Q97" s="208">
        <f t="shared" si="26"/>
        <v>6</v>
      </c>
      <c r="R97" s="208">
        <f t="shared" si="26"/>
        <v>3.91</v>
      </c>
      <c r="S97" s="208">
        <f t="shared" si="26"/>
        <v>0.04</v>
      </c>
      <c r="W97" s="16"/>
      <c r="X97" s="20" t="s">
        <v>15</v>
      </c>
      <c r="Y97" s="36">
        <f aca="true" t="shared" si="27" ref="Y97:AN97">SUM(Y89:Y96)</f>
        <v>9.375</v>
      </c>
      <c r="Z97" s="72">
        <f t="shared" si="27"/>
        <v>19.93</v>
      </c>
      <c r="AA97" s="72">
        <f t="shared" si="27"/>
        <v>17.907000000000004</v>
      </c>
      <c r="AB97" s="72">
        <f t="shared" si="27"/>
        <v>132.56</v>
      </c>
      <c r="AC97" s="72">
        <f t="shared" si="27"/>
        <v>771.1229999999999</v>
      </c>
      <c r="AD97" s="72">
        <f t="shared" si="27"/>
        <v>0.6160000000000001</v>
      </c>
      <c r="AE97" s="72">
        <f t="shared" si="27"/>
        <v>0.374</v>
      </c>
      <c r="AF97" s="72">
        <f t="shared" si="27"/>
        <v>42.230000000000004</v>
      </c>
      <c r="AG97" s="72">
        <f t="shared" si="27"/>
        <v>0.22999999999999998</v>
      </c>
      <c r="AH97" s="72">
        <f t="shared" si="27"/>
        <v>1.6800000000000002</v>
      </c>
      <c r="AI97" s="72">
        <f t="shared" si="27"/>
        <v>201.42000000000002</v>
      </c>
      <c r="AJ97" s="72">
        <f t="shared" si="27"/>
        <v>372.28000000000003</v>
      </c>
      <c r="AK97" s="72">
        <f t="shared" si="27"/>
        <v>136.41</v>
      </c>
      <c r="AL97" s="72">
        <f t="shared" si="27"/>
        <v>9.9</v>
      </c>
      <c r="AM97" s="72">
        <f t="shared" si="27"/>
        <v>1.9100000000000001</v>
      </c>
      <c r="AN97" s="72">
        <f t="shared" si="27"/>
        <v>0.9</v>
      </c>
    </row>
    <row r="98" spans="1:40" ht="15" customHeight="1">
      <c r="A98" s="73"/>
      <c r="B98" s="209"/>
      <c r="C98" s="69"/>
      <c r="D98" s="34"/>
      <c r="E98" s="69">
        <v>31.5</v>
      </c>
      <c r="F98" s="69">
        <v>32.2</v>
      </c>
      <c r="G98" s="69">
        <v>134.05</v>
      </c>
      <c r="H98" s="69">
        <v>949.55</v>
      </c>
      <c r="I98" s="69">
        <v>0.49</v>
      </c>
      <c r="J98" s="69">
        <v>0.56</v>
      </c>
      <c r="K98" s="69">
        <v>24.5</v>
      </c>
      <c r="L98" s="210">
        <v>0.315</v>
      </c>
      <c r="M98" s="69">
        <v>4.2</v>
      </c>
      <c r="N98" s="69">
        <v>420</v>
      </c>
      <c r="O98" s="69">
        <v>630</v>
      </c>
      <c r="P98" s="69">
        <v>105</v>
      </c>
      <c r="Q98" s="69">
        <v>5.95</v>
      </c>
      <c r="R98" s="69">
        <v>4.9</v>
      </c>
      <c r="S98" s="69">
        <v>0.042</v>
      </c>
      <c r="W98" s="17"/>
      <c r="X98" s="74"/>
      <c r="Y98" s="33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</row>
    <row r="99" spans="1:40" s="59" customFormat="1" ht="15" customHeight="1">
      <c r="A99" s="73"/>
      <c r="B99" s="209"/>
      <c r="C99" s="69"/>
      <c r="D99" s="34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V99" s="15"/>
      <c r="W99" s="17"/>
      <c r="X99" s="74"/>
      <c r="Y99" s="33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</row>
    <row r="100" spans="1:40" ht="15" customHeight="1">
      <c r="A100" s="73"/>
      <c r="B100" s="209"/>
      <c r="C100" s="73"/>
      <c r="D100" s="34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203"/>
      <c r="V100" s="73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93"/>
    </row>
    <row r="101" spans="1:40" ht="15" customHeight="1">
      <c r="A101" s="73"/>
      <c r="B101" s="274" t="s">
        <v>152</v>
      </c>
      <c r="C101" s="275"/>
      <c r="D101" s="34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V101" s="19"/>
      <c r="W101" s="304" t="s">
        <v>152</v>
      </c>
      <c r="X101" s="305"/>
      <c r="Y101" s="35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</row>
    <row r="102" spans="1:40" ht="15" customHeight="1">
      <c r="A102" s="73"/>
      <c r="B102" s="195" t="s">
        <v>67</v>
      </c>
      <c r="C102" s="106" t="s">
        <v>68</v>
      </c>
      <c r="D102" s="225">
        <f>'Сырьё лето'!C102</f>
        <v>250</v>
      </c>
      <c r="E102" s="69">
        <v>1.59</v>
      </c>
      <c r="F102" s="69">
        <v>4.9</v>
      </c>
      <c r="G102" s="69">
        <v>9.15</v>
      </c>
      <c r="H102" s="69">
        <f>E102*4+F102*9+G102*4</f>
        <v>87.06</v>
      </c>
      <c r="I102" s="69">
        <v>0.07</v>
      </c>
      <c r="J102" s="69">
        <v>0.05</v>
      </c>
      <c r="K102" s="69">
        <v>10.38</v>
      </c>
      <c r="L102" s="69">
        <v>0</v>
      </c>
      <c r="M102" s="69">
        <v>0.3</v>
      </c>
      <c r="N102" s="69">
        <v>34.85</v>
      </c>
      <c r="O102" s="69">
        <v>49.28</v>
      </c>
      <c r="P102" s="69">
        <v>20.75</v>
      </c>
      <c r="Q102" s="24">
        <v>0.78</v>
      </c>
      <c r="R102" s="69">
        <v>0.58</v>
      </c>
      <c r="S102" s="203">
        <v>0.01</v>
      </c>
      <c r="W102" s="26" t="s">
        <v>67</v>
      </c>
      <c r="X102" s="62" t="s">
        <v>68</v>
      </c>
      <c r="Y102" s="87">
        <f>'Сырьё лето'!X102</f>
        <v>0</v>
      </c>
      <c r="Z102" s="69">
        <v>1.59</v>
      </c>
      <c r="AA102" s="69">
        <v>4.9</v>
      </c>
      <c r="AB102" s="69">
        <v>9.15</v>
      </c>
      <c r="AC102" s="69">
        <f>Z102*4+AA102*9+AB102*4</f>
        <v>87.06</v>
      </c>
      <c r="AD102" s="69">
        <v>0.07</v>
      </c>
      <c r="AE102" s="69">
        <v>0.05</v>
      </c>
      <c r="AF102" s="69">
        <v>10.38</v>
      </c>
      <c r="AG102" s="69">
        <v>0</v>
      </c>
      <c r="AH102" s="69">
        <v>0.3</v>
      </c>
      <c r="AI102" s="69">
        <v>34.85</v>
      </c>
      <c r="AJ102" s="69">
        <v>49.28</v>
      </c>
      <c r="AK102" s="69">
        <v>20.75</v>
      </c>
      <c r="AL102" s="24">
        <v>0.78</v>
      </c>
      <c r="AM102" s="69">
        <v>0.58</v>
      </c>
      <c r="AN102" s="93">
        <v>0.01</v>
      </c>
    </row>
    <row r="103" spans="1:40" ht="15" customHeight="1">
      <c r="A103" s="73"/>
      <c r="B103" s="195">
        <v>267</v>
      </c>
      <c r="C103" s="106" t="s">
        <v>65</v>
      </c>
      <c r="D103" s="225">
        <f>'Сырьё лето'!C103</f>
        <v>100</v>
      </c>
      <c r="E103" s="79">
        <v>10.6</v>
      </c>
      <c r="F103" s="69">
        <v>18.8</v>
      </c>
      <c r="G103" s="69">
        <v>19.1</v>
      </c>
      <c r="H103" s="69">
        <f>E103*4+F103*9+G103*4</f>
        <v>288</v>
      </c>
      <c r="I103" s="69">
        <v>0.09</v>
      </c>
      <c r="J103" s="69">
        <v>0.08</v>
      </c>
      <c r="K103" s="69">
        <v>0</v>
      </c>
      <c r="L103" s="69">
        <v>0.15</v>
      </c>
      <c r="M103" s="69">
        <v>0.3</v>
      </c>
      <c r="N103" s="69">
        <v>18.33</v>
      </c>
      <c r="O103" s="69">
        <v>208.98</v>
      </c>
      <c r="P103" s="69">
        <v>32.3</v>
      </c>
      <c r="Q103" s="24">
        <v>0.81</v>
      </c>
      <c r="R103" s="69">
        <v>2.86</v>
      </c>
      <c r="S103" s="203">
        <v>0</v>
      </c>
      <c r="W103" s="26">
        <v>267</v>
      </c>
      <c r="X103" s="62" t="s">
        <v>65</v>
      </c>
      <c r="Y103" s="87">
        <f>'Сырьё лето'!X103</f>
        <v>2.6666666666666665</v>
      </c>
      <c r="Z103" s="69">
        <v>13.2</v>
      </c>
      <c r="AA103" s="69">
        <v>18.8</v>
      </c>
      <c r="AB103" s="69">
        <v>9.1</v>
      </c>
      <c r="AC103" s="69">
        <f>Z103*4+AA103*9+AB103*4</f>
        <v>258.4</v>
      </c>
      <c r="AD103" s="69">
        <v>0.09</v>
      </c>
      <c r="AE103" s="69">
        <v>0.18</v>
      </c>
      <c r="AF103" s="69">
        <v>0</v>
      </c>
      <c r="AG103" s="69">
        <v>0.45</v>
      </c>
      <c r="AH103" s="69">
        <v>0.3</v>
      </c>
      <c r="AI103" s="69">
        <v>18.33</v>
      </c>
      <c r="AJ103" s="69">
        <v>208.98</v>
      </c>
      <c r="AK103" s="69">
        <v>32.3</v>
      </c>
      <c r="AL103" s="24">
        <v>3.81</v>
      </c>
      <c r="AM103" s="69">
        <v>1.86</v>
      </c>
      <c r="AN103" s="93">
        <v>0.06</v>
      </c>
    </row>
    <row r="104" spans="1:40" s="84" customFormat="1" ht="15" customHeight="1">
      <c r="A104" s="73"/>
      <c r="B104" s="204"/>
      <c r="C104" s="106" t="s">
        <v>170</v>
      </c>
      <c r="D104" s="225">
        <f>'Сырьё лето'!C104</f>
        <v>180</v>
      </c>
      <c r="E104" s="79">
        <f>Z104*'Сырьё лето'!AI104</f>
        <v>3.84</v>
      </c>
      <c r="F104" s="69">
        <v>5.2</v>
      </c>
      <c r="G104" s="69">
        <v>20.8</v>
      </c>
      <c r="H104" s="79">
        <f>E104*4+F104*9+G104*4</f>
        <v>145.36</v>
      </c>
      <c r="I104" s="69">
        <v>0.06</v>
      </c>
      <c r="J104" s="69">
        <v>0.02</v>
      </c>
      <c r="K104" s="69">
        <v>0</v>
      </c>
      <c r="L104" s="69">
        <v>0</v>
      </c>
      <c r="M104" s="69">
        <v>0.5</v>
      </c>
      <c r="N104" s="69">
        <v>26.82</v>
      </c>
      <c r="O104" s="69">
        <v>111.2</v>
      </c>
      <c r="P104" s="69">
        <v>15.99</v>
      </c>
      <c r="Q104" s="69">
        <v>0.58</v>
      </c>
      <c r="R104" s="69">
        <v>0</v>
      </c>
      <c r="S104" s="203">
        <v>0</v>
      </c>
      <c r="V104" s="70"/>
      <c r="W104" s="61"/>
      <c r="X104" s="60" t="s">
        <v>170</v>
      </c>
      <c r="Y104" s="87">
        <f>'Сырьё лето'!X104</f>
        <v>0</v>
      </c>
      <c r="Z104" s="71">
        <v>3.2</v>
      </c>
      <c r="AA104" s="71">
        <v>5.2</v>
      </c>
      <c r="AB104" s="71">
        <v>20.8</v>
      </c>
      <c r="AC104" s="79">
        <f>Z104*4+AA104*9+AB104*4</f>
        <v>142.8</v>
      </c>
      <c r="AD104" s="71">
        <v>0.06</v>
      </c>
      <c r="AE104" s="71">
        <v>0.02</v>
      </c>
      <c r="AF104" s="71">
        <v>0</v>
      </c>
      <c r="AG104" s="71">
        <v>0</v>
      </c>
      <c r="AH104" s="69">
        <v>0.5</v>
      </c>
      <c r="AI104" s="71">
        <v>26.82</v>
      </c>
      <c r="AJ104" s="71">
        <v>111.2</v>
      </c>
      <c r="AK104" s="71">
        <v>15.99</v>
      </c>
      <c r="AL104" s="71">
        <v>0.58</v>
      </c>
      <c r="AM104" s="71">
        <v>0</v>
      </c>
      <c r="AN104" s="93">
        <v>0</v>
      </c>
    </row>
    <row r="105" spans="1:40" s="59" customFormat="1" ht="15" customHeight="1">
      <c r="A105" s="73"/>
      <c r="B105" s="106"/>
      <c r="C105" s="106" t="s">
        <v>167</v>
      </c>
      <c r="D105" s="225">
        <f>'Сырьё лето'!C105</f>
        <v>200</v>
      </c>
      <c r="E105" s="205">
        <v>1</v>
      </c>
      <c r="F105" s="205">
        <v>0</v>
      </c>
      <c r="G105" s="205">
        <v>20.200000000000003</v>
      </c>
      <c r="H105" s="79">
        <f>E105*4+F105*9+G105*4</f>
        <v>84.80000000000001</v>
      </c>
      <c r="I105" s="69">
        <v>0.022000000000000002</v>
      </c>
      <c r="J105" s="69">
        <v>0.022000000000000002</v>
      </c>
      <c r="K105" s="69">
        <v>4</v>
      </c>
      <c r="L105" s="69">
        <v>0</v>
      </c>
      <c r="M105" s="69">
        <v>0.2</v>
      </c>
      <c r="N105" s="69">
        <v>14</v>
      </c>
      <c r="O105" s="69">
        <v>34</v>
      </c>
      <c r="P105" s="69">
        <v>8</v>
      </c>
      <c r="Q105" s="69">
        <v>1.8</v>
      </c>
      <c r="R105" s="69">
        <v>0</v>
      </c>
      <c r="S105" s="203">
        <v>0</v>
      </c>
      <c r="V105" s="70"/>
      <c r="W105" s="62"/>
      <c r="X105" s="62" t="s">
        <v>167</v>
      </c>
      <c r="Y105" s="87">
        <f>'Сырьё лето'!X105</f>
        <v>0</v>
      </c>
      <c r="Z105" s="76">
        <v>1</v>
      </c>
      <c r="AA105" s="76">
        <v>0</v>
      </c>
      <c r="AB105" s="76">
        <v>20.200000000000003</v>
      </c>
      <c r="AC105" s="79">
        <f>Z105*4+AA105*9+AB105*4</f>
        <v>84.80000000000001</v>
      </c>
      <c r="AD105" s="71">
        <v>0.022000000000000002</v>
      </c>
      <c r="AE105" s="71">
        <v>0.022000000000000002</v>
      </c>
      <c r="AF105" s="71">
        <v>4</v>
      </c>
      <c r="AG105" s="71">
        <v>0</v>
      </c>
      <c r="AH105" s="71">
        <v>0.2</v>
      </c>
      <c r="AI105" s="71">
        <v>14</v>
      </c>
      <c r="AJ105" s="71">
        <v>14</v>
      </c>
      <c r="AK105" s="71">
        <v>8</v>
      </c>
      <c r="AL105" s="71">
        <v>2.8000000000000003</v>
      </c>
      <c r="AM105" s="71">
        <v>0</v>
      </c>
      <c r="AN105" s="93">
        <v>0</v>
      </c>
    </row>
    <row r="106" spans="1:40" ht="15" customHeight="1">
      <c r="A106" s="73"/>
      <c r="B106" s="106"/>
      <c r="C106" s="106" t="s">
        <v>53</v>
      </c>
      <c r="D106" s="225">
        <f>'Сырьё лето'!C106</f>
        <v>60</v>
      </c>
      <c r="E106" s="79">
        <f>Z106*'Сырьё лето'!AI106</f>
        <v>4.050000000000001</v>
      </c>
      <c r="F106" s="79">
        <v>0.34</v>
      </c>
      <c r="G106" s="69">
        <v>30.06</v>
      </c>
      <c r="H106" s="79">
        <v>94.1</v>
      </c>
      <c r="I106" s="79">
        <v>0.04</v>
      </c>
      <c r="J106" s="79">
        <v>0.01</v>
      </c>
      <c r="K106" s="79">
        <v>0</v>
      </c>
      <c r="L106" s="79">
        <v>0</v>
      </c>
      <c r="M106" s="79">
        <v>1.44</v>
      </c>
      <c r="N106" s="79">
        <v>8</v>
      </c>
      <c r="O106" s="79">
        <v>53.75</v>
      </c>
      <c r="P106" s="79">
        <v>2.4</v>
      </c>
      <c r="Q106" s="79">
        <v>0.44</v>
      </c>
      <c r="R106" s="79">
        <v>0</v>
      </c>
      <c r="S106" s="203">
        <v>0</v>
      </c>
      <c r="V106" s="70"/>
      <c r="W106" s="60"/>
      <c r="X106" s="60" t="s">
        <v>53</v>
      </c>
      <c r="Y106" s="87">
        <f>'Сырьё лето'!X106</f>
        <v>0</v>
      </c>
      <c r="Z106" s="82">
        <v>2.7</v>
      </c>
      <c r="AA106" s="82">
        <v>0.34</v>
      </c>
      <c r="AB106" s="82">
        <v>20.06</v>
      </c>
      <c r="AC106" s="82">
        <v>94.1</v>
      </c>
      <c r="AD106" s="82">
        <v>0.04</v>
      </c>
      <c r="AE106" s="82">
        <v>0.01</v>
      </c>
      <c r="AF106" s="82">
        <v>0</v>
      </c>
      <c r="AG106" s="82">
        <v>0</v>
      </c>
      <c r="AH106" s="82">
        <v>0.44</v>
      </c>
      <c r="AI106" s="82">
        <v>8</v>
      </c>
      <c r="AJ106" s="82">
        <v>26</v>
      </c>
      <c r="AK106" s="82">
        <v>5.6</v>
      </c>
      <c r="AL106" s="82">
        <v>0.44</v>
      </c>
      <c r="AM106" s="82">
        <v>0</v>
      </c>
      <c r="AN106" s="93">
        <v>0</v>
      </c>
    </row>
    <row r="107" spans="1:40" s="59" customFormat="1" ht="15" customHeight="1">
      <c r="A107" s="73"/>
      <c r="B107" s="106"/>
      <c r="C107" s="106" t="s">
        <v>156</v>
      </c>
      <c r="D107" s="225">
        <f>'Сырьё лето'!C107</f>
        <v>40</v>
      </c>
      <c r="E107" s="79">
        <f>Z107*'Сырьё лето'!AI107</f>
        <v>2.66</v>
      </c>
      <c r="F107" s="79">
        <v>0.24</v>
      </c>
      <c r="G107" s="69">
        <v>16.74</v>
      </c>
      <c r="H107" s="73">
        <f>E107*4+F107*9+G107*4</f>
        <v>79.75999999999999</v>
      </c>
      <c r="I107" s="79">
        <v>0.11</v>
      </c>
      <c r="J107" s="79">
        <v>0.07</v>
      </c>
      <c r="K107" s="79">
        <v>0.14</v>
      </c>
      <c r="L107" s="79">
        <v>0</v>
      </c>
      <c r="M107" s="79">
        <v>0.11</v>
      </c>
      <c r="N107" s="79">
        <v>25.55</v>
      </c>
      <c r="O107" s="79">
        <v>43.75</v>
      </c>
      <c r="P107" s="79">
        <v>4</v>
      </c>
      <c r="Q107" s="80">
        <v>0.98</v>
      </c>
      <c r="R107" s="79">
        <v>0</v>
      </c>
      <c r="S107" s="203">
        <v>0.02</v>
      </c>
      <c r="V107" s="70"/>
      <c r="W107" s="60"/>
      <c r="X107" s="60" t="s">
        <v>156</v>
      </c>
      <c r="Y107" s="87">
        <f>'Сырьё лето'!X107</f>
        <v>0</v>
      </c>
      <c r="Z107" s="79">
        <v>1.33</v>
      </c>
      <c r="AA107" s="79">
        <v>0.24</v>
      </c>
      <c r="AB107" s="79">
        <v>8.37</v>
      </c>
      <c r="AC107" s="73">
        <f>Z107*4+AA107*9+AB107*4</f>
        <v>40.959999999999994</v>
      </c>
      <c r="AD107" s="79">
        <v>0.11</v>
      </c>
      <c r="AE107" s="79">
        <v>0.07</v>
      </c>
      <c r="AF107" s="79">
        <v>0.14</v>
      </c>
      <c r="AG107" s="79">
        <v>0</v>
      </c>
      <c r="AH107" s="79">
        <v>0.11</v>
      </c>
      <c r="AI107" s="79">
        <v>25.55</v>
      </c>
      <c r="AJ107" s="79">
        <v>43.75</v>
      </c>
      <c r="AK107" s="79">
        <v>14</v>
      </c>
      <c r="AL107" s="80">
        <v>0.98</v>
      </c>
      <c r="AM107" s="79">
        <v>0</v>
      </c>
      <c r="AN107" s="93">
        <v>0.02</v>
      </c>
    </row>
    <row r="108" spans="1:40" s="59" customFormat="1" ht="15" customHeight="1">
      <c r="A108" s="73"/>
      <c r="B108" s="106"/>
      <c r="C108" s="106" t="s">
        <v>166</v>
      </c>
      <c r="D108" s="225">
        <f>'Сырьё лето'!C108</f>
        <v>210</v>
      </c>
      <c r="E108" s="69">
        <v>4.37</v>
      </c>
      <c r="F108" s="69">
        <f>2.7*1.8</f>
        <v>4.86</v>
      </c>
      <c r="G108" s="69">
        <v>7.175</v>
      </c>
      <c r="H108" s="69">
        <f>E108*4+F108*9+G108*4</f>
        <v>89.92</v>
      </c>
      <c r="I108" s="69">
        <v>0.035</v>
      </c>
      <c r="J108" s="69">
        <v>0.245</v>
      </c>
      <c r="K108" s="69">
        <v>0.52</v>
      </c>
      <c r="L108" s="69">
        <v>0.35</v>
      </c>
      <c r="M108" s="69">
        <v>0</v>
      </c>
      <c r="N108" s="69">
        <v>217</v>
      </c>
      <c r="O108" s="69">
        <v>57.96</v>
      </c>
      <c r="P108" s="69">
        <v>24.5</v>
      </c>
      <c r="Q108" s="69">
        <v>0.175</v>
      </c>
      <c r="R108" s="69">
        <v>0.7</v>
      </c>
      <c r="S108" s="203">
        <v>0</v>
      </c>
      <c r="V108" s="70"/>
      <c r="W108" s="60"/>
      <c r="X108" s="60" t="s">
        <v>166</v>
      </c>
      <c r="Y108" s="87">
        <f>'Сырьё лето'!X108</f>
        <v>0</v>
      </c>
      <c r="Z108" s="69">
        <v>4.37</v>
      </c>
      <c r="AA108" s="69">
        <f>2.7*1.8</f>
        <v>4.86</v>
      </c>
      <c r="AB108" s="69">
        <v>7.175</v>
      </c>
      <c r="AC108" s="69">
        <f>Z108*4+AA108*9+AB108*4</f>
        <v>89.92</v>
      </c>
      <c r="AD108" s="69">
        <v>0.035</v>
      </c>
      <c r="AE108" s="69">
        <v>0.245</v>
      </c>
      <c r="AF108" s="69">
        <v>0.52</v>
      </c>
      <c r="AG108" s="69">
        <v>0.35</v>
      </c>
      <c r="AH108" s="69">
        <v>0</v>
      </c>
      <c r="AI108" s="69">
        <v>217</v>
      </c>
      <c r="AJ108" s="69">
        <v>57.96</v>
      </c>
      <c r="AK108" s="69">
        <v>24.5</v>
      </c>
      <c r="AL108" s="69">
        <v>0.175</v>
      </c>
      <c r="AM108" s="69">
        <v>0.7</v>
      </c>
      <c r="AN108" s="93">
        <v>0</v>
      </c>
    </row>
    <row r="109" spans="1:40" ht="15" customHeight="1">
      <c r="A109" s="73"/>
      <c r="B109" s="211"/>
      <c r="C109" s="208" t="s">
        <v>15</v>
      </c>
      <c r="D109" s="213">
        <f aca="true" t="shared" si="28" ref="D109:S109">SUM(D102:D108)</f>
        <v>1040</v>
      </c>
      <c r="E109" s="213">
        <f t="shared" si="28"/>
        <v>28.110000000000003</v>
      </c>
      <c r="F109" s="213">
        <f t="shared" si="28"/>
        <v>34.34</v>
      </c>
      <c r="G109" s="213">
        <f t="shared" si="28"/>
        <v>123.225</v>
      </c>
      <c r="H109" s="213">
        <f t="shared" si="28"/>
        <v>869</v>
      </c>
      <c r="I109" s="213">
        <f t="shared" si="28"/>
        <v>0.42699999999999994</v>
      </c>
      <c r="J109" s="208">
        <f t="shared" si="28"/>
        <v>0.497</v>
      </c>
      <c r="K109" s="213">
        <f t="shared" si="28"/>
        <v>15.040000000000001</v>
      </c>
      <c r="L109" s="208">
        <f t="shared" si="28"/>
        <v>0.5</v>
      </c>
      <c r="M109" s="213">
        <f t="shared" si="28"/>
        <v>2.85</v>
      </c>
      <c r="N109" s="213">
        <v>384.25</v>
      </c>
      <c r="O109" s="213">
        <v>608.92</v>
      </c>
      <c r="P109" s="213">
        <f t="shared" si="28"/>
        <v>107.94</v>
      </c>
      <c r="Q109" s="213">
        <f t="shared" si="28"/>
        <v>5.565</v>
      </c>
      <c r="R109" s="213">
        <f t="shared" si="28"/>
        <v>4.14</v>
      </c>
      <c r="S109" s="213">
        <f t="shared" si="28"/>
        <v>0.03</v>
      </c>
      <c r="W109" s="16"/>
      <c r="X109" s="72" t="s">
        <v>15</v>
      </c>
      <c r="Y109" s="36">
        <f aca="true" t="shared" si="29" ref="Y109:AN109">SUM(Y102:Y108)</f>
        <v>2.6666666666666665</v>
      </c>
      <c r="Z109" s="36">
        <f t="shared" si="29"/>
        <v>27.389999999999997</v>
      </c>
      <c r="AA109" s="36">
        <f t="shared" si="29"/>
        <v>34.34</v>
      </c>
      <c r="AB109" s="36">
        <f t="shared" si="29"/>
        <v>94.855</v>
      </c>
      <c r="AC109" s="36">
        <f t="shared" si="29"/>
        <v>798.04</v>
      </c>
      <c r="AD109" s="36">
        <f t="shared" si="29"/>
        <v>0.42699999999999994</v>
      </c>
      <c r="AE109" s="36">
        <f t="shared" si="29"/>
        <v>0.597</v>
      </c>
      <c r="AF109" s="36">
        <f t="shared" si="29"/>
        <v>15.040000000000001</v>
      </c>
      <c r="AG109" s="36">
        <f t="shared" si="29"/>
        <v>0.8</v>
      </c>
      <c r="AH109" s="36">
        <f t="shared" si="29"/>
        <v>1.85</v>
      </c>
      <c r="AI109" s="36">
        <f t="shared" si="29"/>
        <v>344.55</v>
      </c>
      <c r="AJ109" s="36">
        <f t="shared" si="29"/>
        <v>511.16999999999996</v>
      </c>
      <c r="AK109" s="36">
        <f t="shared" si="29"/>
        <v>121.13999999999999</v>
      </c>
      <c r="AL109" s="36">
        <f t="shared" si="29"/>
        <v>9.565000000000001</v>
      </c>
      <c r="AM109" s="36">
        <f t="shared" si="29"/>
        <v>3.1399999999999997</v>
      </c>
      <c r="AN109" s="36">
        <f t="shared" si="29"/>
        <v>0.09</v>
      </c>
    </row>
    <row r="110" spans="1:40" ht="15" customHeight="1">
      <c r="A110" s="73"/>
      <c r="B110" s="209"/>
      <c r="C110" s="69"/>
      <c r="D110" s="34"/>
      <c r="E110" s="69">
        <v>31.5</v>
      </c>
      <c r="F110" s="69">
        <v>32.2</v>
      </c>
      <c r="G110" s="69">
        <v>134.05</v>
      </c>
      <c r="H110" s="69">
        <v>949.55</v>
      </c>
      <c r="I110" s="69">
        <v>0.49</v>
      </c>
      <c r="J110" s="69">
        <v>0.56</v>
      </c>
      <c r="K110" s="69">
        <v>24.5</v>
      </c>
      <c r="L110" s="69">
        <v>0.315</v>
      </c>
      <c r="M110" s="69">
        <v>4.2</v>
      </c>
      <c r="N110" s="69">
        <v>420</v>
      </c>
      <c r="O110" s="69">
        <v>630</v>
      </c>
      <c r="P110" s="69">
        <v>105</v>
      </c>
      <c r="Q110" s="69">
        <v>5.95</v>
      </c>
      <c r="R110" s="69">
        <v>4.9</v>
      </c>
      <c r="S110" s="69">
        <v>0.042</v>
      </c>
      <c r="W110" s="17"/>
      <c r="X110" s="74"/>
      <c r="Y110" s="33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</row>
    <row r="111" spans="1:40" ht="15" customHeight="1">
      <c r="A111" s="73"/>
      <c r="B111" s="209"/>
      <c r="C111" s="73"/>
      <c r="D111" s="34"/>
      <c r="E111" s="205"/>
      <c r="F111" s="205"/>
      <c r="G111" s="205"/>
      <c r="H111" s="205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203"/>
      <c r="V111" s="73"/>
      <c r="Z111" s="76"/>
      <c r="AA111" s="76"/>
      <c r="AB111" s="76"/>
      <c r="AC111" s="76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93"/>
    </row>
    <row r="112" spans="1:40" ht="15" customHeight="1">
      <c r="A112" s="73"/>
      <c r="B112" s="274" t="s">
        <v>153</v>
      </c>
      <c r="C112" s="275"/>
      <c r="D112" s="34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203"/>
      <c r="V112" s="22"/>
      <c r="W112" s="304" t="s">
        <v>153</v>
      </c>
      <c r="X112" s="305"/>
      <c r="Y112" s="40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93"/>
    </row>
    <row r="113" spans="1:40" ht="15" customHeight="1">
      <c r="A113" s="73"/>
      <c r="B113" s="137">
        <v>82</v>
      </c>
      <c r="C113" s="113" t="s">
        <v>64</v>
      </c>
      <c r="D113" s="225">
        <f>'Сырьё лето'!C113</f>
        <v>250</v>
      </c>
      <c r="E113" s="73">
        <v>1.8</v>
      </c>
      <c r="F113" s="73">
        <v>4.92</v>
      </c>
      <c r="G113" s="73">
        <v>10.93</v>
      </c>
      <c r="H113" s="73">
        <f aca="true" t="shared" si="30" ref="H113:H119">E113*4+F113*9+G113*4</f>
        <v>95.2</v>
      </c>
      <c r="I113" s="73">
        <v>0.05</v>
      </c>
      <c r="J113" s="73">
        <v>0.05</v>
      </c>
      <c r="K113" s="73">
        <v>10.68</v>
      </c>
      <c r="L113" s="73">
        <v>0</v>
      </c>
      <c r="M113" s="73">
        <v>0.5</v>
      </c>
      <c r="N113" s="73">
        <v>49.73</v>
      </c>
      <c r="O113" s="73">
        <v>54.6</v>
      </c>
      <c r="P113" s="73">
        <v>26.13</v>
      </c>
      <c r="Q113" s="81">
        <v>0.23</v>
      </c>
      <c r="R113" s="73">
        <v>0.74</v>
      </c>
      <c r="S113" s="203">
        <v>0.02</v>
      </c>
      <c r="V113" s="70"/>
      <c r="W113" s="6">
        <v>82</v>
      </c>
      <c r="X113" s="63" t="s">
        <v>64</v>
      </c>
      <c r="Y113" s="87">
        <f>'Сырьё лето'!X113</f>
        <v>4.91</v>
      </c>
      <c r="Z113" s="73">
        <v>1.8</v>
      </c>
      <c r="AA113" s="73">
        <v>4.92</v>
      </c>
      <c r="AB113" s="73">
        <v>10.93</v>
      </c>
      <c r="AC113" s="73">
        <f aca="true" t="shared" si="31" ref="AC113:AC120">Z113*4+AA113*9+AB113*4</f>
        <v>95.2</v>
      </c>
      <c r="AD113" s="73">
        <v>0.05</v>
      </c>
      <c r="AE113" s="73">
        <v>0.05</v>
      </c>
      <c r="AF113" s="73">
        <v>10.68</v>
      </c>
      <c r="AG113" s="73">
        <v>0</v>
      </c>
      <c r="AH113" s="73">
        <v>0.5</v>
      </c>
      <c r="AI113" s="73">
        <v>49.73</v>
      </c>
      <c r="AJ113" s="73">
        <v>54.6</v>
      </c>
      <c r="AK113" s="73">
        <v>26.13</v>
      </c>
      <c r="AL113" s="81">
        <v>1.23</v>
      </c>
      <c r="AM113" s="73">
        <v>0.74</v>
      </c>
      <c r="AN113" s="93">
        <v>0.07</v>
      </c>
    </row>
    <row r="114" spans="1:40" ht="15" customHeight="1">
      <c r="A114" s="73"/>
      <c r="B114" s="106">
        <v>250</v>
      </c>
      <c r="C114" s="106" t="s">
        <v>99</v>
      </c>
      <c r="D114" s="225">
        <f>'Сырьё лето'!C114</f>
        <v>100</v>
      </c>
      <c r="E114" s="79">
        <v>10.86</v>
      </c>
      <c r="F114" s="73">
        <v>6.4</v>
      </c>
      <c r="G114" s="73">
        <v>6.3</v>
      </c>
      <c r="H114" s="73">
        <f t="shared" si="30"/>
        <v>126.24</v>
      </c>
      <c r="I114" s="73">
        <v>0.027</v>
      </c>
      <c r="J114" s="73">
        <v>0.046</v>
      </c>
      <c r="K114" s="73">
        <v>1.13</v>
      </c>
      <c r="L114" s="73">
        <v>0</v>
      </c>
      <c r="M114" s="73">
        <v>0.5</v>
      </c>
      <c r="N114" s="73">
        <v>74.63</v>
      </c>
      <c r="O114" s="73">
        <v>189</v>
      </c>
      <c r="P114" s="73">
        <v>16.85</v>
      </c>
      <c r="Q114" s="81">
        <v>0.53</v>
      </c>
      <c r="R114" s="73">
        <v>0.67</v>
      </c>
      <c r="S114" s="203">
        <v>0</v>
      </c>
      <c r="W114" s="60">
        <v>250</v>
      </c>
      <c r="X114" s="60" t="s">
        <v>99</v>
      </c>
      <c r="Y114" s="87">
        <f>'Сырьё лето'!X114</f>
        <v>0</v>
      </c>
      <c r="Z114" s="73">
        <v>12.5</v>
      </c>
      <c r="AA114" s="73">
        <v>6.4</v>
      </c>
      <c r="AB114" s="73">
        <v>1.3</v>
      </c>
      <c r="AC114" s="73">
        <f t="shared" si="31"/>
        <v>112.8</v>
      </c>
      <c r="AD114" s="73">
        <v>0.027</v>
      </c>
      <c r="AE114" s="73">
        <v>0.046</v>
      </c>
      <c r="AF114" s="73">
        <v>1.13</v>
      </c>
      <c r="AG114" s="73">
        <v>0.3</v>
      </c>
      <c r="AH114" s="73">
        <v>0.5</v>
      </c>
      <c r="AI114" s="73">
        <v>74.63</v>
      </c>
      <c r="AJ114" s="73">
        <v>89</v>
      </c>
      <c r="AK114" s="73">
        <v>26.85</v>
      </c>
      <c r="AL114" s="81">
        <v>0.53</v>
      </c>
      <c r="AM114" s="73">
        <v>0.67</v>
      </c>
      <c r="AN114" s="93">
        <v>0</v>
      </c>
    </row>
    <row r="115" spans="1:40" ht="15" customHeight="1">
      <c r="A115" s="73"/>
      <c r="B115" s="204">
        <v>205</v>
      </c>
      <c r="C115" s="113" t="s">
        <v>107</v>
      </c>
      <c r="D115" s="225">
        <f>'Сырьё лето'!C115</f>
        <v>180</v>
      </c>
      <c r="E115" s="79">
        <f>Z115*'Сырьё лето'!AI115</f>
        <v>6.2063999999999995</v>
      </c>
      <c r="F115" s="69">
        <v>4.99</v>
      </c>
      <c r="G115" s="69">
        <v>23.77</v>
      </c>
      <c r="H115" s="73">
        <f t="shared" si="30"/>
        <v>164.81560000000002</v>
      </c>
      <c r="I115" s="69">
        <v>0.06</v>
      </c>
      <c r="J115" s="69">
        <v>0.03</v>
      </c>
      <c r="K115" s="69">
        <v>2.26</v>
      </c>
      <c r="L115" s="69">
        <v>0</v>
      </c>
      <c r="M115" s="73">
        <v>0.05</v>
      </c>
      <c r="N115" s="69">
        <v>16.18</v>
      </c>
      <c r="O115" s="69">
        <v>42.4</v>
      </c>
      <c r="P115" s="69">
        <v>14.45</v>
      </c>
      <c r="Q115" s="69">
        <v>0.86</v>
      </c>
      <c r="R115" s="69">
        <v>2.99</v>
      </c>
      <c r="S115" s="203">
        <v>0</v>
      </c>
      <c r="V115" s="70"/>
      <c r="W115" s="61">
        <v>205</v>
      </c>
      <c r="X115" s="63" t="s">
        <v>107</v>
      </c>
      <c r="Y115" s="87">
        <f>'Сырьё лето'!X115</f>
        <v>0</v>
      </c>
      <c r="Z115" s="71">
        <v>4.31</v>
      </c>
      <c r="AA115" s="71">
        <v>4.99</v>
      </c>
      <c r="AB115" s="71">
        <v>23.77</v>
      </c>
      <c r="AC115" s="73">
        <f t="shared" si="31"/>
        <v>157.23000000000002</v>
      </c>
      <c r="AD115" s="71">
        <v>0.06</v>
      </c>
      <c r="AE115" s="71">
        <v>0.03</v>
      </c>
      <c r="AF115" s="71">
        <v>2.26</v>
      </c>
      <c r="AG115" s="71">
        <v>0</v>
      </c>
      <c r="AH115" s="73">
        <v>0.05</v>
      </c>
      <c r="AI115" s="71">
        <v>16.18</v>
      </c>
      <c r="AJ115" s="71">
        <v>42.4</v>
      </c>
      <c r="AK115" s="71">
        <v>14.45</v>
      </c>
      <c r="AL115" s="71">
        <v>0.86</v>
      </c>
      <c r="AM115" s="71">
        <v>0.95</v>
      </c>
      <c r="AN115" s="93">
        <v>0</v>
      </c>
    </row>
    <row r="116" spans="1:40" ht="15" customHeight="1">
      <c r="A116" s="73"/>
      <c r="B116" s="195">
        <v>392</v>
      </c>
      <c r="C116" s="106" t="s">
        <v>69</v>
      </c>
      <c r="D116" s="225">
        <f>'Сырьё лето'!C116</f>
        <v>200</v>
      </c>
      <c r="E116" s="73">
        <v>0.07</v>
      </c>
      <c r="F116" s="73">
        <v>0.02</v>
      </c>
      <c r="G116" s="73">
        <v>10.06</v>
      </c>
      <c r="H116" s="73">
        <f t="shared" si="30"/>
        <v>40.7</v>
      </c>
      <c r="I116" s="73">
        <v>0</v>
      </c>
      <c r="J116" s="73">
        <v>0</v>
      </c>
      <c r="K116" s="73">
        <v>0.03</v>
      </c>
      <c r="L116" s="73">
        <v>0</v>
      </c>
      <c r="M116" s="73">
        <v>0</v>
      </c>
      <c r="N116" s="73">
        <v>11.1</v>
      </c>
      <c r="O116" s="73">
        <v>22.8</v>
      </c>
      <c r="P116" s="73">
        <v>1.4</v>
      </c>
      <c r="Q116" s="81">
        <v>0.28</v>
      </c>
      <c r="R116" s="73">
        <v>0</v>
      </c>
      <c r="S116" s="203">
        <v>0</v>
      </c>
      <c r="V116" s="70"/>
      <c r="W116" s="78">
        <v>392</v>
      </c>
      <c r="X116" s="60" t="s">
        <v>69</v>
      </c>
      <c r="Y116" s="87">
        <f>'Сырьё лето'!X116</f>
        <v>0</v>
      </c>
      <c r="Z116" s="73">
        <v>0.07</v>
      </c>
      <c r="AA116" s="73">
        <v>0.02</v>
      </c>
      <c r="AB116" s="73">
        <v>10.06</v>
      </c>
      <c r="AC116" s="73">
        <f t="shared" si="31"/>
        <v>40.7</v>
      </c>
      <c r="AD116" s="73">
        <v>0</v>
      </c>
      <c r="AE116" s="73">
        <v>0</v>
      </c>
      <c r="AF116" s="73">
        <v>0.03</v>
      </c>
      <c r="AG116" s="73">
        <v>0</v>
      </c>
      <c r="AH116" s="73">
        <v>0</v>
      </c>
      <c r="AI116" s="73">
        <v>11.1</v>
      </c>
      <c r="AJ116" s="73">
        <v>2.8</v>
      </c>
      <c r="AK116" s="73">
        <v>1.4</v>
      </c>
      <c r="AL116" s="81">
        <v>0.28</v>
      </c>
      <c r="AM116" s="73">
        <v>0</v>
      </c>
      <c r="AN116" s="93">
        <v>0</v>
      </c>
    </row>
    <row r="117" spans="1:40" s="59" customFormat="1" ht="15" customHeight="1">
      <c r="A117" s="73"/>
      <c r="B117" s="204"/>
      <c r="C117" s="106" t="s">
        <v>53</v>
      </c>
      <c r="D117" s="225">
        <f>'Сырьё лето'!C117</f>
        <v>60</v>
      </c>
      <c r="E117" s="79">
        <f>Z117*'Сырьё лето'!AI117</f>
        <v>4.05</v>
      </c>
      <c r="F117" s="79">
        <v>0.51</v>
      </c>
      <c r="G117" s="69">
        <v>30.06</v>
      </c>
      <c r="H117" s="73">
        <v>94.1</v>
      </c>
      <c r="I117" s="79">
        <v>0.06</v>
      </c>
      <c r="J117" s="79">
        <v>0.015</v>
      </c>
      <c r="K117" s="79">
        <v>0</v>
      </c>
      <c r="L117" s="79">
        <v>0</v>
      </c>
      <c r="M117" s="79">
        <v>1.44</v>
      </c>
      <c r="N117" s="79">
        <v>12</v>
      </c>
      <c r="O117" s="79">
        <v>39</v>
      </c>
      <c r="P117" s="79">
        <v>2.4</v>
      </c>
      <c r="Q117" s="79">
        <v>0.66</v>
      </c>
      <c r="R117" s="79">
        <v>0</v>
      </c>
      <c r="S117" s="203">
        <v>0</v>
      </c>
      <c r="V117" s="70"/>
      <c r="W117" s="61"/>
      <c r="X117" s="60" t="s">
        <v>53</v>
      </c>
      <c r="Y117" s="87">
        <f>'Сырьё лето'!X117</f>
        <v>0</v>
      </c>
      <c r="Z117" s="82">
        <v>4.05</v>
      </c>
      <c r="AA117" s="82">
        <v>0.51</v>
      </c>
      <c r="AB117" s="82">
        <v>30.09</v>
      </c>
      <c r="AC117" s="73">
        <f t="shared" si="31"/>
        <v>141.15</v>
      </c>
      <c r="AD117" s="82">
        <v>0.06</v>
      </c>
      <c r="AE117" s="82">
        <v>0.015</v>
      </c>
      <c r="AF117" s="82">
        <v>0</v>
      </c>
      <c r="AG117" s="82">
        <v>0</v>
      </c>
      <c r="AH117" s="82">
        <v>0.66</v>
      </c>
      <c r="AI117" s="82">
        <v>12</v>
      </c>
      <c r="AJ117" s="82">
        <v>39</v>
      </c>
      <c r="AK117" s="82">
        <v>8.4</v>
      </c>
      <c r="AL117" s="82">
        <v>0.66</v>
      </c>
      <c r="AM117" s="82">
        <v>0</v>
      </c>
      <c r="AN117" s="93">
        <v>0</v>
      </c>
    </row>
    <row r="118" spans="1:40" ht="15" customHeight="1">
      <c r="A118" s="73"/>
      <c r="B118" s="217"/>
      <c r="C118" s="106" t="s">
        <v>164</v>
      </c>
      <c r="D118" s="225">
        <f>'Сырьё лето'!C118</f>
        <v>40</v>
      </c>
      <c r="E118" s="79">
        <f>Z118*'Сырьё лето'!AI118</f>
        <v>2.66</v>
      </c>
      <c r="F118" s="79">
        <v>0.24</v>
      </c>
      <c r="G118" s="69">
        <v>16.74</v>
      </c>
      <c r="H118" s="73">
        <f t="shared" si="30"/>
        <v>79.75999999999999</v>
      </c>
      <c r="I118" s="79">
        <v>0.11</v>
      </c>
      <c r="J118" s="79">
        <v>0.07</v>
      </c>
      <c r="K118" s="79">
        <v>0.14</v>
      </c>
      <c r="L118" s="79">
        <v>0</v>
      </c>
      <c r="M118" s="79">
        <v>0.11</v>
      </c>
      <c r="N118" s="79">
        <v>25.55</v>
      </c>
      <c r="O118" s="79">
        <v>53.75</v>
      </c>
      <c r="P118" s="79">
        <v>4</v>
      </c>
      <c r="Q118" s="80">
        <v>0.98</v>
      </c>
      <c r="R118" s="79">
        <v>0</v>
      </c>
      <c r="S118" s="203">
        <v>0.02</v>
      </c>
      <c r="V118" s="70"/>
      <c r="W118" s="77"/>
      <c r="X118" s="60" t="s">
        <v>164</v>
      </c>
      <c r="Y118" s="87">
        <f>'Сырьё лето'!X118</f>
        <v>0</v>
      </c>
      <c r="Z118" s="79">
        <v>1.33</v>
      </c>
      <c r="AA118" s="79">
        <v>0.24</v>
      </c>
      <c r="AB118" s="79">
        <v>8.37</v>
      </c>
      <c r="AC118" s="73">
        <f t="shared" si="31"/>
        <v>40.959999999999994</v>
      </c>
      <c r="AD118" s="79">
        <v>0.11</v>
      </c>
      <c r="AE118" s="79">
        <v>0.07</v>
      </c>
      <c r="AF118" s="79">
        <v>0.14</v>
      </c>
      <c r="AG118" s="79">
        <v>0</v>
      </c>
      <c r="AH118" s="79">
        <v>0.11</v>
      </c>
      <c r="AI118" s="79">
        <v>25.55</v>
      </c>
      <c r="AJ118" s="79">
        <v>43.75</v>
      </c>
      <c r="AK118" s="79">
        <v>14</v>
      </c>
      <c r="AL118" s="80">
        <v>0.98</v>
      </c>
      <c r="AM118" s="79">
        <v>0</v>
      </c>
      <c r="AN118" s="93">
        <v>0.2</v>
      </c>
    </row>
    <row r="119" spans="1:40" s="59" customFormat="1" ht="15" customHeight="1">
      <c r="A119" s="73"/>
      <c r="B119" s="217"/>
      <c r="C119" s="106" t="s">
        <v>165</v>
      </c>
      <c r="D119" s="225">
        <f>'Сырьё лето'!C119</f>
        <v>52</v>
      </c>
      <c r="E119" s="73">
        <f>6.8*0.32</f>
        <v>2.176</v>
      </c>
      <c r="F119" s="73">
        <f>32.4*0.35</f>
        <v>11.339999999999998</v>
      </c>
      <c r="G119" s="73">
        <f>65.6*0.35</f>
        <v>22.959999999999997</v>
      </c>
      <c r="H119" s="73">
        <f t="shared" si="30"/>
        <v>202.60399999999998</v>
      </c>
      <c r="I119" s="73">
        <v>0.04</v>
      </c>
      <c r="J119" s="73">
        <v>0.06</v>
      </c>
      <c r="K119" s="73">
        <v>0</v>
      </c>
      <c r="L119" s="73">
        <v>0.09</v>
      </c>
      <c r="M119" s="73">
        <f>7.7*0.45</f>
        <v>3.4650000000000003</v>
      </c>
      <c r="N119" s="73">
        <v>10.14</v>
      </c>
      <c r="O119" s="73">
        <v>37.59</v>
      </c>
      <c r="P119" s="73">
        <v>7.69</v>
      </c>
      <c r="Q119" s="81">
        <v>0.64</v>
      </c>
      <c r="R119" s="73">
        <v>0</v>
      </c>
      <c r="S119" s="203">
        <v>0</v>
      </c>
      <c r="V119" s="70"/>
      <c r="W119" s="77"/>
      <c r="X119" s="60" t="s">
        <v>165</v>
      </c>
      <c r="Y119" s="87">
        <f>'Сырьё лето'!X119</f>
        <v>0</v>
      </c>
      <c r="Z119" s="73">
        <f>6.8*0.32</f>
        <v>2.176</v>
      </c>
      <c r="AA119" s="73">
        <f>32.4*0.35</f>
        <v>11.339999999999998</v>
      </c>
      <c r="AB119" s="73">
        <f>65.6*0.35</f>
        <v>22.959999999999997</v>
      </c>
      <c r="AC119" s="73">
        <f t="shared" si="31"/>
        <v>202.60399999999998</v>
      </c>
      <c r="AD119" s="73">
        <v>0.04</v>
      </c>
      <c r="AE119" s="73">
        <v>0.06</v>
      </c>
      <c r="AF119" s="73">
        <v>0</v>
      </c>
      <c r="AG119" s="73">
        <v>0.2797</v>
      </c>
      <c r="AH119" s="73">
        <f>7.7*0.45</f>
        <v>3.4650000000000003</v>
      </c>
      <c r="AI119" s="73">
        <v>10.14</v>
      </c>
      <c r="AJ119" s="73">
        <v>37.59</v>
      </c>
      <c r="AK119" s="73">
        <v>7.69</v>
      </c>
      <c r="AL119" s="81">
        <v>0.64</v>
      </c>
      <c r="AM119" s="73">
        <v>0</v>
      </c>
      <c r="AN119" s="93">
        <v>0</v>
      </c>
    </row>
    <row r="120" spans="1:40" s="59" customFormat="1" ht="15" customHeight="1">
      <c r="A120" s="73"/>
      <c r="B120" s="106"/>
      <c r="C120" s="106" t="s">
        <v>157</v>
      </c>
      <c r="D120" s="225">
        <f>'Сырьё лето'!C120</f>
        <v>200</v>
      </c>
      <c r="E120" s="79">
        <f>2.5*2</f>
        <v>5</v>
      </c>
      <c r="F120" s="79">
        <f>2.5*2</f>
        <v>5</v>
      </c>
      <c r="G120" s="79">
        <f>8*0.75</f>
        <v>6</v>
      </c>
      <c r="H120" s="73">
        <f>E120*4+F120*9+G120*4</f>
        <v>89</v>
      </c>
      <c r="I120" s="79">
        <v>0.08</v>
      </c>
      <c r="J120" s="79">
        <v>0.3</v>
      </c>
      <c r="K120" s="79">
        <v>2.6</v>
      </c>
      <c r="L120" s="79">
        <v>0.4</v>
      </c>
      <c r="M120" s="79">
        <v>0</v>
      </c>
      <c r="N120" s="79">
        <v>240</v>
      </c>
      <c r="O120" s="79">
        <v>180</v>
      </c>
      <c r="P120" s="79">
        <v>28</v>
      </c>
      <c r="Q120" s="79">
        <v>0.2</v>
      </c>
      <c r="R120" s="79">
        <v>0</v>
      </c>
      <c r="S120" s="203">
        <v>0</v>
      </c>
      <c r="V120" s="70"/>
      <c r="W120" s="60"/>
      <c r="X120" s="60" t="s">
        <v>157</v>
      </c>
      <c r="Y120" s="87">
        <f>'Сырьё лето'!X120</f>
        <v>0</v>
      </c>
      <c r="Z120" s="82">
        <f>2.5*2</f>
        <v>5</v>
      </c>
      <c r="AA120" s="82">
        <f>2.5*2</f>
        <v>5</v>
      </c>
      <c r="AB120" s="82">
        <f>8*0.75</f>
        <v>6</v>
      </c>
      <c r="AC120" s="73">
        <f t="shared" si="31"/>
        <v>89</v>
      </c>
      <c r="AD120" s="82">
        <v>0.08</v>
      </c>
      <c r="AE120" s="82">
        <v>0.3</v>
      </c>
      <c r="AF120" s="82">
        <v>2.6</v>
      </c>
      <c r="AG120" s="82">
        <v>0.4</v>
      </c>
      <c r="AH120" s="82">
        <v>0</v>
      </c>
      <c r="AI120" s="82">
        <v>240</v>
      </c>
      <c r="AJ120" s="82">
        <v>180</v>
      </c>
      <c r="AK120" s="82">
        <v>28</v>
      </c>
      <c r="AL120" s="82">
        <v>0.2</v>
      </c>
      <c r="AM120" s="82">
        <v>0</v>
      </c>
      <c r="AN120" s="93">
        <v>0</v>
      </c>
    </row>
    <row r="121" spans="1:40" ht="15" customHeight="1">
      <c r="A121" s="73"/>
      <c r="B121" s="209"/>
      <c r="C121" s="208" t="s">
        <v>15</v>
      </c>
      <c r="D121" s="213">
        <f>SUM(D113:D120)</f>
        <v>1082</v>
      </c>
      <c r="E121" s="208">
        <f aca="true" t="shared" si="32" ref="E121:S121">SUM(E113:E120)</f>
        <v>32.8224</v>
      </c>
      <c r="F121" s="208">
        <f t="shared" si="32"/>
        <v>33.42</v>
      </c>
      <c r="G121" s="208">
        <f t="shared" si="32"/>
        <v>126.82</v>
      </c>
      <c r="H121" s="208">
        <f t="shared" si="32"/>
        <v>892.4196</v>
      </c>
      <c r="I121" s="208">
        <f t="shared" si="32"/>
        <v>0.427</v>
      </c>
      <c r="J121" s="208">
        <f t="shared" si="32"/>
        <v>0.571</v>
      </c>
      <c r="K121" s="208">
        <f t="shared" si="32"/>
        <v>16.84</v>
      </c>
      <c r="L121" s="208">
        <f t="shared" si="32"/>
        <v>0.49</v>
      </c>
      <c r="M121" s="208">
        <f t="shared" si="32"/>
        <v>6.065</v>
      </c>
      <c r="N121" s="208">
        <f t="shared" si="32"/>
        <v>439.33</v>
      </c>
      <c r="O121" s="208">
        <v>619.14</v>
      </c>
      <c r="P121" s="208">
        <f t="shared" si="32"/>
        <v>100.92</v>
      </c>
      <c r="Q121" s="208">
        <f t="shared" si="32"/>
        <v>4.38</v>
      </c>
      <c r="R121" s="208">
        <f t="shared" si="32"/>
        <v>4.4</v>
      </c>
      <c r="S121" s="208">
        <f t="shared" si="32"/>
        <v>0.04</v>
      </c>
      <c r="W121" s="17"/>
      <c r="X121" s="72" t="s">
        <v>15</v>
      </c>
      <c r="Y121" s="36">
        <f>SUM(Y113:Y120)</f>
        <v>4.91</v>
      </c>
      <c r="Z121" s="72">
        <f aca="true" t="shared" si="33" ref="Z121:AN121">SUM(Z113:Z120)</f>
        <v>31.236000000000004</v>
      </c>
      <c r="AA121" s="72">
        <f t="shared" si="33"/>
        <v>33.42</v>
      </c>
      <c r="AB121" s="72">
        <f t="shared" si="33"/>
        <v>113.48</v>
      </c>
      <c r="AC121" s="72">
        <f t="shared" si="33"/>
        <v>879.644</v>
      </c>
      <c r="AD121" s="72">
        <f t="shared" si="33"/>
        <v>0.427</v>
      </c>
      <c r="AE121" s="72">
        <f t="shared" si="33"/>
        <v>0.571</v>
      </c>
      <c r="AF121" s="72">
        <f t="shared" si="33"/>
        <v>16.84</v>
      </c>
      <c r="AG121" s="72">
        <f t="shared" si="33"/>
        <v>0.9797</v>
      </c>
      <c r="AH121" s="72">
        <f t="shared" si="33"/>
        <v>5.285</v>
      </c>
      <c r="AI121" s="72">
        <f t="shared" si="33"/>
        <v>439.33</v>
      </c>
      <c r="AJ121" s="72">
        <f t="shared" si="33"/>
        <v>489.14</v>
      </c>
      <c r="AK121" s="72">
        <f t="shared" si="33"/>
        <v>126.92000000000002</v>
      </c>
      <c r="AL121" s="72">
        <f t="shared" si="33"/>
        <v>5.380000000000001</v>
      </c>
      <c r="AM121" s="72">
        <f t="shared" si="33"/>
        <v>2.3600000000000003</v>
      </c>
      <c r="AN121" s="72">
        <f t="shared" si="33"/>
        <v>0.27</v>
      </c>
    </row>
    <row r="122" spans="1:40" ht="15" customHeight="1">
      <c r="A122" s="73"/>
      <c r="B122" s="209"/>
      <c r="C122" s="69"/>
      <c r="D122" s="34"/>
      <c r="E122" s="69">
        <v>31.5</v>
      </c>
      <c r="F122" s="69">
        <v>32.2</v>
      </c>
      <c r="G122" s="69">
        <v>134.05</v>
      </c>
      <c r="H122" s="69">
        <v>949.55</v>
      </c>
      <c r="I122" s="69">
        <v>0.49</v>
      </c>
      <c r="J122" s="69">
        <v>0.56</v>
      </c>
      <c r="K122" s="69">
        <v>24.5</v>
      </c>
      <c r="L122" s="210">
        <v>0.315</v>
      </c>
      <c r="M122" s="69">
        <v>4.2</v>
      </c>
      <c r="N122" s="69">
        <v>420</v>
      </c>
      <c r="O122" s="69">
        <v>630</v>
      </c>
      <c r="P122" s="69">
        <v>105</v>
      </c>
      <c r="Q122" s="69">
        <v>5.95</v>
      </c>
      <c r="R122" s="69">
        <v>4.9</v>
      </c>
      <c r="S122" s="69">
        <v>0.042</v>
      </c>
      <c r="W122" s="17"/>
      <c r="X122" s="74"/>
      <c r="Y122" s="33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</row>
    <row r="123" spans="1:40" ht="15" customHeight="1">
      <c r="A123" s="73"/>
      <c r="B123" s="209"/>
      <c r="C123" s="224" t="s">
        <v>73</v>
      </c>
      <c r="D123" s="213"/>
      <c r="E123" s="208"/>
      <c r="F123" s="208"/>
      <c r="G123" s="208" t="s">
        <v>74</v>
      </c>
      <c r="H123" s="208"/>
      <c r="I123" s="208" t="s">
        <v>75</v>
      </c>
      <c r="J123" s="208"/>
      <c r="K123" s="208"/>
      <c r="L123" s="208"/>
      <c r="M123" s="208" t="s">
        <v>76</v>
      </c>
      <c r="N123" s="208"/>
      <c r="O123" s="69"/>
      <c r="P123" s="69"/>
      <c r="Q123" s="69"/>
      <c r="R123" s="69"/>
      <c r="S123" s="199"/>
      <c r="X123" s="97" t="s">
        <v>73</v>
      </c>
      <c r="AB123" s="75" t="s">
        <v>74</v>
      </c>
      <c r="AD123" s="69" t="s">
        <v>75</v>
      </c>
      <c r="AH123" s="69" t="s">
        <v>76</v>
      </c>
      <c r="AN123" s="56"/>
    </row>
    <row r="124" spans="1:40" ht="15" customHeight="1">
      <c r="A124" s="73"/>
      <c r="B124" s="209"/>
      <c r="C124" s="218"/>
      <c r="D124" s="34"/>
      <c r="E124" s="34" t="s">
        <v>77</v>
      </c>
      <c r="F124" s="69" t="s">
        <v>78</v>
      </c>
      <c r="G124" s="69" t="s">
        <v>79</v>
      </c>
      <c r="H124" s="69" t="s">
        <v>120</v>
      </c>
      <c r="I124" s="69" t="s">
        <v>80</v>
      </c>
      <c r="J124" s="69" t="s">
        <v>81</v>
      </c>
      <c r="K124" s="69" t="s">
        <v>82</v>
      </c>
      <c r="L124" s="69" t="s">
        <v>83</v>
      </c>
      <c r="M124" s="69" t="s">
        <v>84</v>
      </c>
      <c r="N124" s="69" t="s">
        <v>85</v>
      </c>
      <c r="O124" s="69" t="s">
        <v>86</v>
      </c>
      <c r="P124" s="69" t="s">
        <v>87</v>
      </c>
      <c r="Q124" s="69" t="s">
        <v>88</v>
      </c>
      <c r="R124" s="69" t="s">
        <v>114</v>
      </c>
      <c r="S124" s="69" t="s">
        <v>115</v>
      </c>
      <c r="T124" s="100"/>
      <c r="X124" s="98"/>
      <c r="Z124" s="38" t="s">
        <v>77</v>
      </c>
      <c r="AA124" s="75" t="s">
        <v>78</v>
      </c>
      <c r="AB124" s="75" t="s">
        <v>79</v>
      </c>
      <c r="AC124" s="75" t="s">
        <v>120</v>
      </c>
      <c r="AD124" s="69" t="s">
        <v>80</v>
      </c>
      <c r="AE124" s="69" t="s">
        <v>81</v>
      </c>
      <c r="AF124" s="69" t="s">
        <v>82</v>
      </c>
      <c r="AG124" s="69" t="s">
        <v>83</v>
      </c>
      <c r="AH124" s="69" t="s">
        <v>84</v>
      </c>
      <c r="AI124" s="69" t="s">
        <v>85</v>
      </c>
      <c r="AJ124" s="69" t="s">
        <v>86</v>
      </c>
      <c r="AK124" s="69" t="s">
        <v>87</v>
      </c>
      <c r="AL124" s="69" t="s">
        <v>88</v>
      </c>
      <c r="AM124" s="69" t="s">
        <v>114</v>
      </c>
      <c r="AN124" s="69" t="s">
        <v>115</v>
      </c>
    </row>
    <row r="125" spans="1:40" ht="15" customHeight="1">
      <c r="A125" s="73"/>
      <c r="B125" s="209"/>
      <c r="C125" s="218" t="s">
        <v>126</v>
      </c>
      <c r="D125" s="34"/>
      <c r="E125" s="34">
        <v>90</v>
      </c>
      <c r="F125" s="69">
        <v>92</v>
      </c>
      <c r="G125" s="69">
        <v>383</v>
      </c>
      <c r="H125" s="69">
        <v>2713</v>
      </c>
      <c r="I125" s="69">
        <v>1.4</v>
      </c>
      <c r="J125" s="69">
        <v>1.6</v>
      </c>
      <c r="K125" s="69">
        <v>70</v>
      </c>
      <c r="L125" s="69">
        <v>0.9</v>
      </c>
      <c r="M125" s="69">
        <v>12</v>
      </c>
      <c r="N125" s="69">
        <v>1200</v>
      </c>
      <c r="O125" s="69">
        <v>1800</v>
      </c>
      <c r="P125" s="69">
        <v>300</v>
      </c>
      <c r="Q125" s="69">
        <v>17</v>
      </c>
      <c r="R125" s="69">
        <v>14</v>
      </c>
      <c r="S125" s="69">
        <v>0.12</v>
      </c>
      <c r="T125" s="100"/>
      <c r="X125" s="98" t="s">
        <v>126</v>
      </c>
      <c r="Z125" s="38">
        <v>77</v>
      </c>
      <c r="AA125" s="75">
        <v>79</v>
      </c>
      <c r="AB125" s="75">
        <v>335</v>
      </c>
      <c r="AC125" s="75">
        <v>2350</v>
      </c>
      <c r="AD125" s="69">
        <v>1.2</v>
      </c>
      <c r="AE125" s="69">
        <v>1.4</v>
      </c>
      <c r="AF125" s="69">
        <v>60</v>
      </c>
      <c r="AG125" s="69">
        <v>0.7</v>
      </c>
      <c r="AH125" s="69">
        <v>10</v>
      </c>
      <c r="AI125" s="69">
        <v>1100</v>
      </c>
      <c r="AJ125" s="69">
        <v>1650</v>
      </c>
      <c r="AK125" s="69">
        <v>250</v>
      </c>
      <c r="AL125" s="69">
        <v>12</v>
      </c>
      <c r="AM125" s="69">
        <v>10</v>
      </c>
      <c r="AN125" s="69">
        <v>0.1</v>
      </c>
    </row>
    <row r="126" spans="1:40" ht="15" customHeight="1">
      <c r="A126" s="73"/>
      <c r="B126" s="209"/>
      <c r="C126" s="218"/>
      <c r="D126" s="34"/>
      <c r="E126" s="34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100"/>
      <c r="X126" s="98"/>
      <c r="Z126" s="38"/>
      <c r="AC126" s="75"/>
      <c r="AN126" s="69"/>
    </row>
    <row r="127" spans="1:40" ht="15" customHeight="1">
      <c r="A127" s="73"/>
      <c r="B127" s="209"/>
      <c r="C127" s="222" t="s">
        <v>173</v>
      </c>
      <c r="D127" s="34"/>
      <c r="E127" s="223">
        <f>E125*35%</f>
        <v>31.499999999999996</v>
      </c>
      <c r="F127" s="223">
        <f>F125*35%</f>
        <v>32.199999999999996</v>
      </c>
      <c r="G127" s="223">
        <f>G125*35%</f>
        <v>134.04999999999998</v>
      </c>
      <c r="H127" s="223">
        <f aca="true" t="shared" si="34" ref="H127:S127">H125*35%</f>
        <v>949.55</v>
      </c>
      <c r="I127" s="223">
        <f>I125*35%</f>
        <v>0.48999999999999994</v>
      </c>
      <c r="J127" s="223">
        <f t="shared" si="34"/>
        <v>0.5599999999999999</v>
      </c>
      <c r="K127" s="223">
        <f t="shared" si="34"/>
        <v>24.5</v>
      </c>
      <c r="L127" s="213">
        <f t="shared" si="34"/>
        <v>0.315</v>
      </c>
      <c r="M127" s="223">
        <f t="shared" si="34"/>
        <v>4.199999999999999</v>
      </c>
      <c r="N127" s="223">
        <f t="shared" si="34"/>
        <v>420</v>
      </c>
      <c r="O127" s="223">
        <f t="shared" si="34"/>
        <v>630</v>
      </c>
      <c r="P127" s="223">
        <f t="shared" si="34"/>
        <v>105</v>
      </c>
      <c r="Q127" s="223">
        <f t="shared" si="34"/>
        <v>5.949999999999999</v>
      </c>
      <c r="R127" s="223">
        <f t="shared" si="34"/>
        <v>4.8999999999999995</v>
      </c>
      <c r="S127" s="223">
        <f t="shared" si="34"/>
        <v>0.041999999999999996</v>
      </c>
      <c r="T127" s="100"/>
      <c r="X127" s="143" t="s">
        <v>89</v>
      </c>
      <c r="Y127" s="144"/>
      <c r="Z127" s="145">
        <v>26.95</v>
      </c>
      <c r="AA127" s="146">
        <v>27.65</v>
      </c>
      <c r="AB127" s="146">
        <v>117.24999999999999</v>
      </c>
      <c r="AC127" s="146">
        <v>822.5</v>
      </c>
      <c r="AD127" s="146">
        <v>0.42</v>
      </c>
      <c r="AE127" s="146">
        <v>0.48999999999999994</v>
      </c>
      <c r="AF127" s="146">
        <v>21</v>
      </c>
      <c r="AG127" s="146">
        <v>0.24499999999999997</v>
      </c>
      <c r="AH127" s="146">
        <v>3.5</v>
      </c>
      <c r="AI127" s="146">
        <v>385</v>
      </c>
      <c r="AJ127" s="146">
        <v>577.5</v>
      </c>
      <c r="AK127" s="146">
        <v>87.5</v>
      </c>
      <c r="AL127" s="146">
        <v>4.199999999999999</v>
      </c>
      <c r="AM127" s="146">
        <v>3.5</v>
      </c>
      <c r="AN127" s="146">
        <v>0.034999999999999996</v>
      </c>
    </row>
    <row r="128" spans="1:40" ht="15" customHeight="1">
      <c r="A128" s="73"/>
      <c r="B128" s="209"/>
      <c r="C128" s="73"/>
      <c r="D128" s="34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219"/>
      <c r="T128" s="100"/>
      <c r="AN128" s="99"/>
    </row>
    <row r="129" spans="1:40" s="102" customFormat="1" ht="15" customHeight="1">
      <c r="A129" s="220"/>
      <c r="B129" s="209"/>
      <c r="C129" s="178" t="s">
        <v>125</v>
      </c>
      <c r="D129" s="34"/>
      <c r="E129" s="221">
        <f aca="true" t="shared" si="35" ref="E129:S129">(E121+E109+E97+E85+E74+E62+E52+E39+E27+E16)/10</f>
        <v>32.42448648351648</v>
      </c>
      <c r="F129" s="221">
        <f t="shared" si="35"/>
        <v>33.142450000000004</v>
      </c>
      <c r="G129" s="221">
        <f t="shared" si="35"/>
        <v>132.9835</v>
      </c>
      <c r="H129" s="221">
        <f t="shared" si="35"/>
        <v>949.7609959340658</v>
      </c>
      <c r="I129" s="221">
        <f t="shared" si="35"/>
        <v>0.4932</v>
      </c>
      <c r="J129" s="221">
        <f>(J121+J109+J97+J85+J74+J62+J52+J39+J27+J16)/10</f>
        <v>0.5874</v>
      </c>
      <c r="K129" s="221">
        <f t="shared" si="35"/>
        <v>25.743650000000002</v>
      </c>
      <c r="L129" s="221">
        <f t="shared" si="35"/>
        <v>0.445</v>
      </c>
      <c r="M129" s="221">
        <f t="shared" si="35"/>
        <v>3.8982799999999997</v>
      </c>
      <c r="N129" s="221">
        <f t="shared" si="35"/>
        <v>417.1000000000001</v>
      </c>
      <c r="O129" s="221">
        <f t="shared" si="35"/>
        <v>628.337</v>
      </c>
      <c r="P129" s="221">
        <f t="shared" si="35"/>
        <v>107.083</v>
      </c>
      <c r="Q129" s="221">
        <f t="shared" si="35"/>
        <v>6.433600000000001</v>
      </c>
      <c r="R129" s="221">
        <f t="shared" si="35"/>
        <v>4.0995</v>
      </c>
      <c r="S129" s="221">
        <f t="shared" si="35"/>
        <v>0.0504</v>
      </c>
      <c r="V129" s="96"/>
      <c r="W129" s="101"/>
      <c r="X129" s="140" t="s">
        <v>125</v>
      </c>
      <c r="Y129" s="141"/>
      <c r="Z129" s="142">
        <f aca="true" t="shared" si="36" ref="Z129:AN129">(Z121+Z109+Z97+Z85+Z74+Z62+Z52+Z39+Z27+Z16)/10</f>
        <v>29.3396</v>
      </c>
      <c r="AA129" s="142">
        <f t="shared" si="36"/>
        <v>29.506700000000006</v>
      </c>
      <c r="AB129" s="142">
        <f t="shared" si="36"/>
        <v>112.4155</v>
      </c>
      <c r="AC129" s="142">
        <f t="shared" si="36"/>
        <v>832.6607</v>
      </c>
      <c r="AD129" s="142">
        <f t="shared" si="36"/>
        <v>0.49260000000000004</v>
      </c>
      <c r="AE129" s="142">
        <f t="shared" si="36"/>
        <v>0.5953999999999999</v>
      </c>
      <c r="AF129" s="142">
        <f t="shared" si="36"/>
        <v>37.6254</v>
      </c>
      <c r="AG129" s="142">
        <f t="shared" si="36"/>
        <v>1.1081699999999999</v>
      </c>
      <c r="AH129" s="142">
        <f t="shared" si="36"/>
        <v>2.6787799999999997</v>
      </c>
      <c r="AI129" s="142">
        <f t="shared" si="36"/>
        <v>379.72700000000003</v>
      </c>
      <c r="AJ129" s="142">
        <f t="shared" si="36"/>
        <v>504.16900000000004</v>
      </c>
      <c r="AK129" s="142">
        <f t="shared" si="36"/>
        <v>131.47599999999997</v>
      </c>
      <c r="AL129" s="142">
        <f t="shared" si="36"/>
        <v>7.4626</v>
      </c>
      <c r="AM129" s="142">
        <f t="shared" si="36"/>
        <v>2.5134999999999996</v>
      </c>
      <c r="AN129" s="142">
        <f t="shared" si="36"/>
        <v>0.3477</v>
      </c>
    </row>
    <row r="130" spans="19:40" ht="15" customHeight="1">
      <c r="S130" s="56"/>
      <c r="AN130" s="56"/>
    </row>
    <row r="131" spans="19:40" ht="15" customHeight="1">
      <c r="S131" s="56"/>
      <c r="AN131" s="56"/>
    </row>
    <row r="132" spans="6:40" ht="15" customHeight="1"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AN132" s="56"/>
    </row>
    <row r="133" spans="19:40" ht="15" customHeight="1">
      <c r="S133" s="56"/>
      <c r="AN133" s="56"/>
    </row>
    <row r="134" spans="19:40" ht="15" customHeight="1">
      <c r="S134" s="56"/>
      <c r="AN134" s="56"/>
    </row>
    <row r="135" spans="19:40" ht="15" customHeight="1">
      <c r="S135" s="56"/>
      <c r="AN135" s="56"/>
    </row>
    <row r="136" spans="19:40" ht="15" customHeight="1">
      <c r="S136" s="56"/>
      <c r="AN136" s="56"/>
    </row>
    <row r="137" spans="19:40" ht="15" customHeight="1">
      <c r="S137" s="56"/>
      <c r="AN137" s="56"/>
    </row>
    <row r="138" spans="19:40" ht="15" customHeight="1">
      <c r="S138" s="56"/>
      <c r="AN138" s="56"/>
    </row>
    <row r="139" spans="19:40" ht="15" customHeight="1">
      <c r="S139" s="56"/>
      <c r="AN139" s="56"/>
    </row>
    <row r="140" spans="19:40" ht="15" customHeight="1">
      <c r="S140" s="56"/>
      <c r="AN140" s="56"/>
    </row>
    <row r="141" spans="19:40" ht="15" customHeight="1">
      <c r="S141" s="56"/>
      <c r="AN141" s="56"/>
    </row>
    <row r="142" spans="19:40" ht="15" customHeight="1">
      <c r="S142" s="56"/>
      <c r="AN142" s="56"/>
    </row>
    <row r="143" spans="19:40" ht="15" customHeight="1">
      <c r="S143" s="56"/>
      <c r="AN143" s="56"/>
    </row>
    <row r="144" spans="19:40" ht="15" customHeight="1">
      <c r="S144" s="56"/>
      <c r="AN144" s="56"/>
    </row>
    <row r="145" spans="19:40" ht="15" customHeight="1">
      <c r="S145" s="56"/>
      <c r="AN145" s="56"/>
    </row>
    <row r="146" spans="19:40" ht="15" customHeight="1">
      <c r="S146" s="56"/>
      <c r="AN146" s="56"/>
    </row>
    <row r="147" spans="19:40" ht="15" customHeight="1">
      <c r="S147" s="56"/>
      <c r="AN147" s="56"/>
    </row>
    <row r="148" spans="19:40" ht="15" customHeight="1">
      <c r="S148" s="56"/>
      <c r="AN148" s="56"/>
    </row>
    <row r="149" spans="19:40" ht="15" customHeight="1">
      <c r="S149" s="56"/>
      <c r="AN149" s="56"/>
    </row>
    <row r="150" spans="19:40" ht="15" customHeight="1">
      <c r="S150" s="56"/>
      <c r="AN150" s="56"/>
    </row>
    <row r="151" spans="19:40" ht="15" customHeight="1">
      <c r="S151" s="56"/>
      <c r="AN151" s="56"/>
    </row>
    <row r="152" spans="19:40" ht="15" customHeight="1">
      <c r="S152" s="56"/>
      <c r="AN152" s="56"/>
    </row>
    <row r="153" spans="19:40" ht="15" customHeight="1">
      <c r="S153" s="56"/>
      <c r="AN153" s="56"/>
    </row>
    <row r="154" spans="19:40" ht="15" customHeight="1">
      <c r="S154" s="56"/>
      <c r="AN154" s="56"/>
    </row>
    <row r="155" spans="19:40" ht="15" customHeight="1">
      <c r="S155" s="56"/>
      <c r="AN155" s="56"/>
    </row>
    <row r="156" spans="19:40" ht="15" customHeight="1">
      <c r="S156" s="56"/>
      <c r="AN156" s="56"/>
    </row>
    <row r="157" spans="19:40" ht="15" customHeight="1">
      <c r="S157" s="56"/>
      <c r="AN157" s="56"/>
    </row>
    <row r="158" spans="19:40" ht="15" customHeight="1">
      <c r="S158" s="56"/>
      <c r="AN158" s="56"/>
    </row>
    <row r="159" spans="19:40" ht="15" customHeight="1">
      <c r="S159" s="56"/>
      <c r="AN159" s="56"/>
    </row>
    <row r="160" spans="19:40" ht="15" customHeight="1">
      <c r="S160" s="56"/>
      <c r="AN160" s="56"/>
    </row>
    <row r="161" spans="19:40" ht="15" customHeight="1">
      <c r="S161" s="56"/>
      <c r="AN161" s="56"/>
    </row>
    <row r="162" spans="19:40" ht="15" customHeight="1">
      <c r="S162" s="56"/>
      <c r="AN162" s="56"/>
    </row>
    <row r="163" spans="19:40" ht="15" customHeight="1">
      <c r="S163" s="56"/>
      <c r="AN163" s="56"/>
    </row>
    <row r="164" spans="19:40" ht="15" customHeight="1">
      <c r="S164" s="56"/>
      <c r="AN164" s="56"/>
    </row>
    <row r="165" spans="19:40" ht="15" customHeight="1">
      <c r="S165" s="56"/>
      <c r="AN165" s="56"/>
    </row>
    <row r="166" spans="19:40" ht="15" customHeight="1">
      <c r="S166" s="56"/>
      <c r="AN166" s="56"/>
    </row>
    <row r="167" spans="19:40" ht="15" customHeight="1">
      <c r="S167" s="56"/>
      <c r="AN167" s="56"/>
    </row>
    <row r="168" spans="19:40" ht="15" customHeight="1">
      <c r="S168" s="56"/>
      <c r="AN168" s="56"/>
    </row>
    <row r="169" spans="19:40" ht="15" customHeight="1">
      <c r="S169" s="56"/>
      <c r="AN169" s="56"/>
    </row>
    <row r="170" spans="19:40" ht="15" customHeight="1">
      <c r="S170" s="56"/>
      <c r="AN170" s="56"/>
    </row>
    <row r="171" spans="19:40" ht="15" customHeight="1">
      <c r="S171" s="56"/>
      <c r="AN171" s="56"/>
    </row>
    <row r="172" spans="19:40" ht="15" customHeight="1">
      <c r="S172" s="56"/>
      <c r="AN172" s="56"/>
    </row>
    <row r="173" spans="19:40" ht="15" customHeight="1">
      <c r="S173" s="56"/>
      <c r="AN173" s="56"/>
    </row>
    <row r="174" spans="19:40" ht="15" customHeight="1">
      <c r="S174" s="56"/>
      <c r="AN174" s="56"/>
    </row>
    <row r="175" spans="19:40" ht="15" customHeight="1">
      <c r="S175" s="56"/>
      <c r="AN175" s="56"/>
    </row>
    <row r="176" spans="19:40" ht="15" customHeight="1">
      <c r="S176" s="56"/>
      <c r="AN176" s="56"/>
    </row>
    <row r="177" spans="19:40" ht="15" customHeight="1">
      <c r="S177" s="56"/>
      <c r="AN177" s="56"/>
    </row>
    <row r="178" spans="19:40" ht="15" customHeight="1">
      <c r="S178" s="56"/>
      <c r="AN178" s="56"/>
    </row>
    <row r="179" spans="19:40" ht="15" customHeight="1">
      <c r="S179" s="56"/>
      <c r="AN179" s="56"/>
    </row>
    <row r="180" spans="19:40" ht="15" customHeight="1">
      <c r="S180" s="56"/>
      <c r="AN180" s="56"/>
    </row>
    <row r="181" spans="19:40" ht="15" customHeight="1">
      <c r="S181" s="56"/>
      <c r="AN181" s="56"/>
    </row>
    <row r="182" spans="19:40" ht="15" customHeight="1">
      <c r="S182" s="56"/>
      <c r="AN182" s="56"/>
    </row>
    <row r="183" spans="19:40" ht="15" customHeight="1">
      <c r="S183" s="56"/>
      <c r="AN183" s="56"/>
    </row>
    <row r="184" spans="19:40" ht="15" customHeight="1">
      <c r="S184" s="56"/>
      <c r="AN184" s="56"/>
    </row>
    <row r="185" spans="19:40" ht="15" customHeight="1">
      <c r="S185" s="56"/>
      <c r="AN185" s="56"/>
    </row>
    <row r="186" spans="19:40" ht="15" customHeight="1">
      <c r="S186" s="56"/>
      <c r="AN186" s="56"/>
    </row>
    <row r="187" spans="19:40" ht="15" customHeight="1">
      <c r="S187" s="56"/>
      <c r="AN187" s="56"/>
    </row>
    <row r="188" spans="19:40" ht="15" customHeight="1">
      <c r="S188" s="56"/>
      <c r="AN188" s="56"/>
    </row>
    <row r="189" spans="19:40" ht="15" customHeight="1">
      <c r="S189" s="56"/>
      <c r="AN189" s="56"/>
    </row>
    <row r="190" spans="19:40" ht="15" customHeight="1">
      <c r="S190" s="56"/>
      <c r="AN190" s="56"/>
    </row>
    <row r="191" spans="19:40" ht="15" customHeight="1">
      <c r="S191" s="56"/>
      <c r="AN191" s="56"/>
    </row>
    <row r="192" spans="19:40" ht="15" customHeight="1">
      <c r="S192" s="56"/>
      <c r="AN192" s="56"/>
    </row>
    <row r="193" spans="19:40" ht="15" customHeight="1">
      <c r="S193" s="56"/>
      <c r="AN193" s="56"/>
    </row>
    <row r="194" spans="19:40" ht="15" customHeight="1">
      <c r="S194" s="56"/>
      <c r="AN194" s="56"/>
    </row>
    <row r="195" spans="19:40" ht="15" customHeight="1">
      <c r="S195" s="56"/>
      <c r="AN195" s="56"/>
    </row>
    <row r="196" spans="19:40" ht="15" customHeight="1">
      <c r="S196" s="56"/>
      <c r="AN196" s="56"/>
    </row>
    <row r="197" spans="19:40" ht="15" customHeight="1">
      <c r="S197" s="56"/>
      <c r="AN197" s="56"/>
    </row>
    <row r="198" spans="19:40" ht="15" customHeight="1">
      <c r="S198" s="56"/>
      <c r="AN198" s="56"/>
    </row>
    <row r="199" spans="19:40" ht="15" customHeight="1">
      <c r="S199" s="56"/>
      <c r="AN199" s="56"/>
    </row>
    <row r="200" spans="19:40" ht="15" customHeight="1">
      <c r="S200" s="56"/>
      <c r="AN200" s="56"/>
    </row>
    <row r="201" spans="19:40" ht="15" customHeight="1">
      <c r="S201" s="56"/>
      <c r="AN201" s="56"/>
    </row>
    <row r="202" spans="19:40" ht="15" customHeight="1">
      <c r="S202" s="56"/>
      <c r="AN202" s="56"/>
    </row>
    <row r="203" spans="19:40" ht="15" customHeight="1">
      <c r="S203" s="56"/>
      <c r="AN203" s="56"/>
    </row>
    <row r="204" spans="19:40" ht="15" customHeight="1">
      <c r="S204" s="56"/>
      <c r="AN204" s="56"/>
    </row>
    <row r="205" spans="19:40" ht="15" customHeight="1">
      <c r="S205" s="56"/>
      <c r="AN205" s="56"/>
    </row>
    <row r="206" spans="19:40" ht="15" customHeight="1">
      <c r="S206" s="56"/>
      <c r="AN206" s="56"/>
    </row>
    <row r="207" spans="19:40" ht="15" customHeight="1">
      <c r="S207" s="56"/>
      <c r="AN207" s="56"/>
    </row>
    <row r="208" spans="19:40" ht="15" customHeight="1">
      <c r="S208" s="56"/>
      <c r="AN208" s="56"/>
    </row>
    <row r="209" spans="19:40" ht="15" customHeight="1">
      <c r="S209" s="56"/>
      <c r="AN209" s="56"/>
    </row>
    <row r="210" spans="19:40" ht="15" customHeight="1">
      <c r="S210" s="56"/>
      <c r="AN210" s="56"/>
    </row>
    <row r="211" spans="19:40" ht="15" customHeight="1">
      <c r="S211" s="56"/>
      <c r="AN211" s="56"/>
    </row>
    <row r="212" spans="19:40" ht="15" customHeight="1">
      <c r="S212" s="56"/>
      <c r="AN212" s="56"/>
    </row>
    <row r="213" spans="19:40" ht="15" customHeight="1">
      <c r="S213" s="56"/>
      <c r="AN213" s="56"/>
    </row>
    <row r="214" spans="19:40" ht="15" customHeight="1">
      <c r="S214" s="56"/>
      <c r="AN214" s="56"/>
    </row>
    <row r="215" spans="19:40" ht="15" customHeight="1">
      <c r="S215" s="56"/>
      <c r="AN215" s="56"/>
    </row>
    <row r="216" spans="19:40" ht="15" customHeight="1">
      <c r="S216" s="56"/>
      <c r="AN216" s="56"/>
    </row>
    <row r="217" spans="19:40" ht="15" customHeight="1">
      <c r="S217" s="56"/>
      <c r="AN217" s="56"/>
    </row>
    <row r="218" spans="19:40" ht="15" customHeight="1">
      <c r="S218" s="56"/>
      <c r="AN218" s="56"/>
    </row>
    <row r="219" spans="19:40" ht="15" customHeight="1">
      <c r="S219" s="56"/>
      <c r="AN219" s="56"/>
    </row>
    <row r="220" spans="19:40" ht="15" customHeight="1">
      <c r="S220" s="56"/>
      <c r="AN220" s="56"/>
    </row>
    <row r="221" spans="19:40" ht="15" customHeight="1">
      <c r="S221" s="56"/>
      <c r="AN221" s="56"/>
    </row>
    <row r="222" spans="19:40" ht="15" customHeight="1">
      <c r="S222" s="56"/>
      <c r="AN222" s="56"/>
    </row>
    <row r="223" spans="19:40" ht="15" customHeight="1">
      <c r="S223" s="56"/>
      <c r="AN223" s="56"/>
    </row>
    <row r="224" spans="19:40" ht="15" customHeight="1">
      <c r="S224" s="56"/>
      <c r="AN224" s="56"/>
    </row>
    <row r="225" spans="19:40" ht="15" customHeight="1">
      <c r="S225" s="56"/>
      <c r="AN225" s="56"/>
    </row>
    <row r="226" spans="19:40" ht="15" customHeight="1">
      <c r="S226" s="56"/>
      <c r="AN226" s="56"/>
    </row>
    <row r="227" spans="19:40" ht="15" customHeight="1">
      <c r="S227" s="56"/>
      <c r="AN227" s="56"/>
    </row>
    <row r="228" spans="19:40" ht="15" customHeight="1">
      <c r="S228" s="56"/>
      <c r="AN228" s="56"/>
    </row>
    <row r="229" spans="19:40" ht="15" customHeight="1">
      <c r="S229" s="56"/>
      <c r="AN229" s="56"/>
    </row>
    <row r="230" spans="19:40" ht="15" customHeight="1">
      <c r="S230" s="56"/>
      <c r="AN230" s="56"/>
    </row>
    <row r="231" spans="19:40" ht="15" customHeight="1">
      <c r="S231" s="56"/>
      <c r="AN231" s="56"/>
    </row>
    <row r="232" spans="19:40" ht="15" customHeight="1">
      <c r="S232" s="56"/>
      <c r="AN232" s="56"/>
    </row>
    <row r="233" spans="19:40" ht="15" customHeight="1">
      <c r="S233" s="56"/>
      <c r="AN233" s="56"/>
    </row>
    <row r="234" spans="19:40" ht="15" customHeight="1">
      <c r="S234" s="56"/>
      <c r="AN234" s="56"/>
    </row>
    <row r="235" spans="19:40" ht="15" customHeight="1">
      <c r="S235" s="56"/>
      <c r="AN235" s="56"/>
    </row>
  </sheetData>
  <sheetProtection/>
  <mergeCells count="36">
    <mergeCell ref="W88:X88"/>
    <mergeCell ref="W101:X101"/>
    <mergeCell ref="W112:X112"/>
    <mergeCell ref="W30:X30"/>
    <mergeCell ref="W42:X42"/>
    <mergeCell ref="W54:X54"/>
    <mergeCell ref="W65:X65"/>
    <mergeCell ref="W77:X77"/>
    <mergeCell ref="AC5:AC6"/>
    <mergeCell ref="AD5:AH5"/>
    <mergeCell ref="AI5:AM5"/>
    <mergeCell ref="W7:X7"/>
    <mergeCell ref="W18:X18"/>
    <mergeCell ref="V5:V6"/>
    <mergeCell ref="W5:W6"/>
    <mergeCell ref="X5:X6"/>
    <mergeCell ref="Y5:Y6"/>
    <mergeCell ref="Z5:AB5"/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2:C42"/>
    <mergeCell ref="B30:C30"/>
    <mergeCell ref="B18:C18"/>
    <mergeCell ref="B7:C7"/>
    <mergeCell ref="B112:C112"/>
    <mergeCell ref="B101:C101"/>
    <mergeCell ref="B88:C88"/>
    <mergeCell ref="B77:C77"/>
    <mergeCell ref="B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2020-10-09T08:08:22Z</dcterms:modified>
  <cp:category/>
  <cp:version/>
  <cp:contentType/>
  <cp:contentStatus/>
</cp:coreProperties>
</file>