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192.168.1.90\обмен\ЗАКУПКИ\ФХД 2025\"/>
    </mc:Choice>
  </mc:AlternateContent>
  <bookViews>
    <workbookView xWindow="0" yWindow="0" windowWidth="28800" windowHeight="12300" tabRatio="875" firstSheet="7" activeTab="14"/>
  </bookViews>
  <sheets>
    <sheet name="СВОД (2)" sheetId="111" state="hidden" r:id="rId1"/>
    <sheet name="СВОД" sheetId="42" state="hidden" r:id="rId2"/>
    <sheet name="музей 2020" sheetId="80" state="hidden" r:id="rId3"/>
    <sheet name="Родина 2020" sheetId="81" state="hidden" r:id="rId4"/>
    <sheet name="ФХД_ Поступления и выплаты" sheetId="519" r:id="rId5"/>
    <sheet name="Поступления всего" sheetId="174" r:id="rId6"/>
    <sheet name="поступления 810 25-27" sheetId="535" r:id="rId7"/>
    <sheet name="поступления 831, 841 25-27" sheetId="177" r:id="rId8"/>
    <sheet name="концерты строка 1220 (131)+" sheetId="436" state="hidden" r:id="rId9"/>
    <sheet name="возмещ ком услстрока 1230(135)+" sheetId="180" state="hidden" r:id="rId10"/>
    <sheet name="постуления 820 25-27" sheetId="183" r:id="rId11"/>
    <sheet name="прочие поступ строка 1980 (510)" sheetId="185" r:id="rId12"/>
    <sheet name="КВР" sheetId="136" r:id="rId13"/>
    <sheet name="расходы 831, 841 25" sheetId="537" r:id="rId14"/>
    <sheet name="расходы 810 25" sheetId="538" r:id="rId15"/>
    <sheet name="расходы 820 25" sheetId="539" r:id="rId16"/>
    <sheet name="расходы 831, 841 26-27" sheetId="540" r:id="rId17"/>
    <sheet name="расходы 810 26-27" sheetId="543" r:id="rId18"/>
    <sheet name="расходы 820 26-27" sheetId="542" r:id="rId19"/>
    <sheet name="ГЦК+Энергия 2020" sheetId="84" state="hidden" r:id="rId20"/>
    <sheet name="Юбилейный 2020" sheetId="85" state="hidden" r:id="rId21"/>
    <sheet name="Высоцкий 2020" sheetId="86" state="hidden" r:id="rId22"/>
    <sheet name="музей 2021" sheetId="99" state="hidden" r:id="rId23"/>
    <sheet name="Родина 2021" sheetId="100" state="hidden" r:id="rId24"/>
    <sheet name="ЦБС 2021" sheetId="101" state="hidden" r:id="rId25"/>
    <sheet name="ГЦК+Энергия 2021" sheetId="102" state="hidden" r:id="rId26"/>
    <sheet name="Юбилейный 2021" sheetId="103" state="hidden" r:id="rId27"/>
    <sheet name="Высоцкий 2021" sheetId="104" state="hidden" r:id="rId28"/>
    <sheet name="музей 2022" sheetId="105" state="hidden" r:id="rId29"/>
    <sheet name="Родина 2022" sheetId="106" state="hidden" r:id="rId30"/>
    <sheet name="ЦБС 2022" sheetId="107" state="hidden" r:id="rId31"/>
    <sheet name="ГЦК+Энергия 2022" sheetId="108" state="hidden" r:id="rId32"/>
    <sheet name="Юбилейный 2022" sheetId="109" state="hidden" r:id="rId33"/>
    <sheet name="Высоцкий 2022" sheetId="110" state="hidden" r:id="rId34"/>
  </sheets>
  <externalReferences>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_in2007" localSheetId="12">#REF!</definedName>
    <definedName name="_in2007" localSheetId="6">#REF!</definedName>
    <definedName name="_in2007" localSheetId="14">#REF!</definedName>
    <definedName name="_in2007" localSheetId="17">#REF!</definedName>
    <definedName name="_in2007" localSheetId="15">#REF!</definedName>
    <definedName name="_in2007" localSheetId="18">#REF!</definedName>
    <definedName name="_in2007" localSheetId="16">#REF!</definedName>
    <definedName name="_in2007">#REF!</definedName>
    <definedName name="_in2007_14" localSheetId="12">#REF!</definedName>
    <definedName name="_in2007_14" localSheetId="6">#REF!</definedName>
    <definedName name="_in2007_14" localSheetId="14">#REF!</definedName>
    <definedName name="_in2007_14" localSheetId="17">#REF!</definedName>
    <definedName name="_in2007_14" localSheetId="15">#REF!</definedName>
    <definedName name="_in2007_14" localSheetId="18">#REF!</definedName>
    <definedName name="_in2007_14" localSheetId="16">#REF!</definedName>
    <definedName name="_in2007_14">#REF!</definedName>
    <definedName name="_in2008" localSheetId="12">#REF!</definedName>
    <definedName name="_in2008" localSheetId="6">#REF!</definedName>
    <definedName name="_in2008" localSheetId="14">#REF!</definedName>
    <definedName name="_in2008" localSheetId="17">#REF!</definedName>
    <definedName name="_in2008" localSheetId="15">#REF!</definedName>
    <definedName name="_in2008" localSheetId="18">#REF!</definedName>
    <definedName name="_in2008" localSheetId="16">#REF!</definedName>
    <definedName name="_in2008">#REF!</definedName>
    <definedName name="_in2008_14" localSheetId="12">#REF!</definedName>
    <definedName name="_in2008_14" localSheetId="6">#REF!</definedName>
    <definedName name="_in2008_14" localSheetId="14">#REF!</definedName>
    <definedName name="_in2008_14" localSheetId="17">#REF!</definedName>
    <definedName name="_in2008_14" localSheetId="15">#REF!</definedName>
    <definedName name="_in2008_14" localSheetId="18">#REF!</definedName>
    <definedName name="_in2008_14" localSheetId="16">#REF!</definedName>
    <definedName name="_in2008_14">#REF!</definedName>
    <definedName name="_in2009" localSheetId="12">#REF!</definedName>
    <definedName name="_in2009" localSheetId="6">#REF!</definedName>
    <definedName name="_in2009" localSheetId="14">#REF!</definedName>
    <definedName name="_in2009" localSheetId="17">#REF!</definedName>
    <definedName name="_in2009" localSheetId="15">#REF!</definedName>
    <definedName name="_in2009" localSheetId="18">#REF!</definedName>
    <definedName name="_in2009" localSheetId="16">#REF!</definedName>
    <definedName name="_in2009">#REF!</definedName>
    <definedName name="_in2009_14" localSheetId="12">#REF!</definedName>
    <definedName name="_in2009_14" localSheetId="6">#REF!</definedName>
    <definedName name="_in2009_14" localSheetId="14">#REF!</definedName>
    <definedName name="_in2009_14" localSheetId="17">#REF!</definedName>
    <definedName name="_in2009_14" localSheetId="15">#REF!</definedName>
    <definedName name="_in2009_14" localSheetId="18">#REF!</definedName>
    <definedName name="_in2009_14" localSheetId="16">#REF!</definedName>
    <definedName name="_in2009_14">#REF!</definedName>
    <definedName name="_in2010" localSheetId="12">#REF!</definedName>
    <definedName name="_in2010" localSheetId="6">#REF!</definedName>
    <definedName name="_in2010" localSheetId="14">#REF!</definedName>
    <definedName name="_in2010" localSheetId="17">#REF!</definedName>
    <definedName name="_in2010" localSheetId="15">#REF!</definedName>
    <definedName name="_in2010" localSheetId="18">#REF!</definedName>
    <definedName name="_in2010" localSheetId="16">#REF!</definedName>
    <definedName name="_in2010">#REF!</definedName>
    <definedName name="_in2010_14" localSheetId="12">#REF!</definedName>
    <definedName name="_in2010_14" localSheetId="6">#REF!</definedName>
    <definedName name="_in2010_14" localSheetId="14">#REF!</definedName>
    <definedName name="_in2010_14" localSheetId="17">#REF!</definedName>
    <definedName name="_in2010_14" localSheetId="15">#REF!</definedName>
    <definedName name="_in2010_14" localSheetId="18">#REF!</definedName>
    <definedName name="_in2010_14" localSheetId="16">#REF!</definedName>
    <definedName name="_in2010_14">#REF!</definedName>
    <definedName name="_in2011" localSheetId="12">#REF!</definedName>
    <definedName name="_in2011" localSheetId="6">#REF!</definedName>
    <definedName name="_in2011" localSheetId="14">#REF!</definedName>
    <definedName name="_in2011" localSheetId="17">#REF!</definedName>
    <definedName name="_in2011" localSheetId="15">#REF!</definedName>
    <definedName name="_in2011" localSheetId="18">#REF!</definedName>
    <definedName name="_in2011" localSheetId="16">#REF!</definedName>
    <definedName name="_in2011">#REF!</definedName>
    <definedName name="_in2011_14" localSheetId="12">#REF!</definedName>
    <definedName name="_in2011_14" localSheetId="6">#REF!</definedName>
    <definedName name="_in2011_14" localSheetId="14">#REF!</definedName>
    <definedName name="_in2011_14" localSheetId="17">#REF!</definedName>
    <definedName name="_in2011_14" localSheetId="15">#REF!</definedName>
    <definedName name="_in2011_14" localSheetId="18">#REF!</definedName>
    <definedName name="_in2011_14" localSheetId="16">#REF!</definedName>
    <definedName name="_in2011_14">#REF!</definedName>
    <definedName name="_in2012" localSheetId="12">#REF!</definedName>
    <definedName name="_in2012" localSheetId="6">#REF!</definedName>
    <definedName name="_in2012" localSheetId="14">#REF!</definedName>
    <definedName name="_in2012" localSheetId="17">#REF!</definedName>
    <definedName name="_in2012" localSheetId="15">#REF!</definedName>
    <definedName name="_in2012" localSheetId="18">#REF!</definedName>
    <definedName name="_in2012" localSheetId="16">#REF!</definedName>
    <definedName name="_in2012">#REF!</definedName>
    <definedName name="_in2012_14" localSheetId="12">#REF!</definedName>
    <definedName name="_in2012_14" localSheetId="6">#REF!</definedName>
    <definedName name="_in2012_14" localSheetId="14">#REF!</definedName>
    <definedName name="_in2012_14" localSheetId="17">#REF!</definedName>
    <definedName name="_in2012_14" localSheetId="15">#REF!</definedName>
    <definedName name="_in2012_14" localSheetId="18">#REF!</definedName>
    <definedName name="_in2012_14" localSheetId="16">#REF!</definedName>
    <definedName name="_in2012_14">#REF!</definedName>
    <definedName name="_in2013" localSheetId="12">#REF!</definedName>
    <definedName name="_in2013" localSheetId="6">#REF!</definedName>
    <definedName name="_in2013" localSheetId="14">#REF!</definedName>
    <definedName name="_in2013" localSheetId="17">#REF!</definedName>
    <definedName name="_in2013" localSheetId="15">#REF!</definedName>
    <definedName name="_in2013" localSheetId="18">#REF!</definedName>
    <definedName name="_in2013" localSheetId="16">#REF!</definedName>
    <definedName name="_in2013">#REF!</definedName>
    <definedName name="_in2013_14" localSheetId="12">#REF!</definedName>
    <definedName name="_in2013_14" localSheetId="6">#REF!</definedName>
    <definedName name="_in2013_14" localSheetId="14">#REF!</definedName>
    <definedName name="_in2013_14" localSheetId="17">#REF!</definedName>
    <definedName name="_in2013_14" localSheetId="15">#REF!</definedName>
    <definedName name="_in2013_14" localSheetId="18">#REF!</definedName>
    <definedName name="_in2013_14" localSheetId="16">#REF!</definedName>
    <definedName name="_in2013_14">#REF!</definedName>
    <definedName name="_in2014" localSheetId="12">#REF!</definedName>
    <definedName name="_in2014" localSheetId="6">#REF!</definedName>
    <definedName name="_in2014" localSheetId="14">#REF!</definedName>
    <definedName name="_in2014" localSheetId="17">#REF!</definedName>
    <definedName name="_in2014" localSheetId="15">#REF!</definedName>
    <definedName name="_in2014" localSheetId="18">#REF!</definedName>
    <definedName name="_in2014" localSheetId="16">#REF!</definedName>
    <definedName name="_in2014">#REF!</definedName>
    <definedName name="_in2014_14" localSheetId="12">#REF!</definedName>
    <definedName name="_in2014_14" localSheetId="6">#REF!</definedName>
    <definedName name="_in2014_14" localSheetId="14">#REF!</definedName>
    <definedName name="_in2014_14" localSheetId="17">#REF!</definedName>
    <definedName name="_in2014_14" localSheetId="15">#REF!</definedName>
    <definedName name="_in2014_14" localSheetId="18">#REF!</definedName>
    <definedName name="_in2014_14" localSheetId="16">#REF!</definedName>
    <definedName name="_in2014_14">#REF!</definedName>
    <definedName name="_in2015" localSheetId="12">#REF!</definedName>
    <definedName name="_in2015" localSheetId="6">#REF!</definedName>
    <definedName name="_in2015" localSheetId="14">#REF!</definedName>
    <definedName name="_in2015" localSheetId="17">#REF!</definedName>
    <definedName name="_in2015" localSheetId="15">#REF!</definedName>
    <definedName name="_in2015" localSheetId="18">#REF!</definedName>
    <definedName name="_in2015" localSheetId="16">#REF!</definedName>
    <definedName name="_in2015">#REF!</definedName>
    <definedName name="_in2015_14" localSheetId="12">#REF!</definedName>
    <definedName name="_in2015_14" localSheetId="6">#REF!</definedName>
    <definedName name="_in2015_14" localSheetId="14">#REF!</definedName>
    <definedName name="_in2015_14" localSheetId="17">#REF!</definedName>
    <definedName name="_in2015_14" localSheetId="15">#REF!</definedName>
    <definedName name="_in2015_14" localSheetId="18">#REF!</definedName>
    <definedName name="_in2015_14" localSheetId="16">#REF!</definedName>
    <definedName name="_in2015_14">#REF!</definedName>
    <definedName name="_inf2007" localSheetId="12">#REF!</definedName>
    <definedName name="_inf2007" localSheetId="6">#REF!</definedName>
    <definedName name="_inf2007" localSheetId="14">#REF!</definedName>
    <definedName name="_inf2007" localSheetId="17">#REF!</definedName>
    <definedName name="_inf2007" localSheetId="15">#REF!</definedName>
    <definedName name="_inf2007" localSheetId="18">#REF!</definedName>
    <definedName name="_inf2007" localSheetId="16">#REF!</definedName>
    <definedName name="_inf2007">#REF!</definedName>
    <definedName name="_inf2007_14" localSheetId="12">#REF!</definedName>
    <definedName name="_inf2007_14" localSheetId="6">#REF!</definedName>
    <definedName name="_inf2007_14" localSheetId="14">#REF!</definedName>
    <definedName name="_inf2007_14" localSheetId="17">#REF!</definedName>
    <definedName name="_inf2007_14" localSheetId="15">#REF!</definedName>
    <definedName name="_inf2007_14" localSheetId="18">#REF!</definedName>
    <definedName name="_inf2007_14" localSheetId="16">#REF!</definedName>
    <definedName name="_inf2007_14">#REF!</definedName>
    <definedName name="_inf2008" localSheetId="12">#REF!</definedName>
    <definedName name="_inf2008" localSheetId="6">#REF!</definedName>
    <definedName name="_inf2008" localSheetId="14">#REF!</definedName>
    <definedName name="_inf2008" localSheetId="17">#REF!</definedName>
    <definedName name="_inf2008" localSheetId="15">#REF!</definedName>
    <definedName name="_inf2008" localSheetId="18">#REF!</definedName>
    <definedName name="_inf2008" localSheetId="16">#REF!</definedName>
    <definedName name="_inf2008">#REF!</definedName>
    <definedName name="_inf2008_14" localSheetId="12">#REF!</definedName>
    <definedName name="_inf2008_14" localSheetId="6">#REF!</definedName>
    <definedName name="_inf2008_14" localSheetId="14">#REF!</definedName>
    <definedName name="_inf2008_14" localSheetId="17">#REF!</definedName>
    <definedName name="_inf2008_14" localSheetId="15">#REF!</definedName>
    <definedName name="_inf2008_14" localSheetId="18">#REF!</definedName>
    <definedName name="_inf2008_14" localSheetId="16">#REF!</definedName>
    <definedName name="_inf2008_14">#REF!</definedName>
    <definedName name="_inf2009" localSheetId="12">#REF!</definedName>
    <definedName name="_inf2009" localSheetId="6">#REF!</definedName>
    <definedName name="_inf2009" localSheetId="14">#REF!</definedName>
    <definedName name="_inf2009" localSheetId="17">#REF!</definedName>
    <definedName name="_inf2009" localSheetId="15">#REF!</definedName>
    <definedName name="_inf2009" localSheetId="18">#REF!</definedName>
    <definedName name="_inf2009" localSheetId="16">#REF!</definedName>
    <definedName name="_inf2009">#REF!</definedName>
    <definedName name="_inf2009_14" localSheetId="12">#REF!</definedName>
    <definedName name="_inf2009_14" localSheetId="6">#REF!</definedName>
    <definedName name="_inf2009_14" localSheetId="14">#REF!</definedName>
    <definedName name="_inf2009_14" localSheetId="17">#REF!</definedName>
    <definedName name="_inf2009_14" localSheetId="15">#REF!</definedName>
    <definedName name="_inf2009_14" localSheetId="18">#REF!</definedName>
    <definedName name="_inf2009_14" localSheetId="16">#REF!</definedName>
    <definedName name="_inf2009_14">#REF!</definedName>
    <definedName name="_inf2010" localSheetId="12">#REF!</definedName>
    <definedName name="_inf2010" localSheetId="6">#REF!</definedName>
    <definedName name="_inf2010" localSheetId="14">#REF!</definedName>
    <definedName name="_inf2010" localSheetId="17">#REF!</definedName>
    <definedName name="_inf2010" localSheetId="15">#REF!</definedName>
    <definedName name="_inf2010" localSheetId="18">#REF!</definedName>
    <definedName name="_inf2010" localSheetId="16">#REF!</definedName>
    <definedName name="_inf2010">#REF!</definedName>
    <definedName name="_inf2010_14" localSheetId="12">#REF!</definedName>
    <definedName name="_inf2010_14" localSheetId="6">#REF!</definedName>
    <definedName name="_inf2010_14" localSheetId="14">#REF!</definedName>
    <definedName name="_inf2010_14" localSheetId="17">#REF!</definedName>
    <definedName name="_inf2010_14" localSheetId="15">#REF!</definedName>
    <definedName name="_inf2010_14" localSheetId="18">#REF!</definedName>
    <definedName name="_inf2010_14" localSheetId="16">#REF!</definedName>
    <definedName name="_inf2010_14">#REF!</definedName>
    <definedName name="_inf2011" localSheetId="12">#REF!</definedName>
    <definedName name="_inf2011" localSheetId="6">#REF!</definedName>
    <definedName name="_inf2011" localSheetId="14">#REF!</definedName>
    <definedName name="_inf2011" localSheetId="17">#REF!</definedName>
    <definedName name="_inf2011" localSheetId="15">#REF!</definedName>
    <definedName name="_inf2011" localSheetId="18">#REF!</definedName>
    <definedName name="_inf2011" localSheetId="16">#REF!</definedName>
    <definedName name="_inf2011">#REF!</definedName>
    <definedName name="_inf2011_14" localSheetId="12">#REF!</definedName>
    <definedName name="_inf2011_14" localSheetId="6">#REF!</definedName>
    <definedName name="_inf2011_14" localSheetId="14">#REF!</definedName>
    <definedName name="_inf2011_14" localSheetId="17">#REF!</definedName>
    <definedName name="_inf2011_14" localSheetId="15">#REF!</definedName>
    <definedName name="_inf2011_14" localSheetId="18">#REF!</definedName>
    <definedName name="_inf2011_14" localSheetId="16">#REF!</definedName>
    <definedName name="_inf2011_14">#REF!</definedName>
    <definedName name="_inf2012" localSheetId="12">#REF!</definedName>
    <definedName name="_inf2012" localSheetId="6">#REF!</definedName>
    <definedName name="_inf2012" localSheetId="14">#REF!</definedName>
    <definedName name="_inf2012" localSheetId="17">#REF!</definedName>
    <definedName name="_inf2012" localSheetId="15">#REF!</definedName>
    <definedName name="_inf2012" localSheetId="18">#REF!</definedName>
    <definedName name="_inf2012" localSheetId="16">#REF!</definedName>
    <definedName name="_inf2012">#REF!</definedName>
    <definedName name="_inf2012_14" localSheetId="12">#REF!</definedName>
    <definedName name="_inf2012_14" localSheetId="6">#REF!</definedName>
    <definedName name="_inf2012_14" localSheetId="14">#REF!</definedName>
    <definedName name="_inf2012_14" localSheetId="17">#REF!</definedName>
    <definedName name="_inf2012_14" localSheetId="15">#REF!</definedName>
    <definedName name="_inf2012_14" localSheetId="18">#REF!</definedName>
    <definedName name="_inf2012_14" localSheetId="16">#REF!</definedName>
    <definedName name="_inf2012_14">#REF!</definedName>
    <definedName name="_inf2013" localSheetId="12">#REF!</definedName>
    <definedName name="_inf2013" localSheetId="6">#REF!</definedName>
    <definedName name="_inf2013" localSheetId="14">#REF!</definedName>
    <definedName name="_inf2013" localSheetId="17">#REF!</definedName>
    <definedName name="_inf2013" localSheetId="15">#REF!</definedName>
    <definedName name="_inf2013" localSheetId="18">#REF!</definedName>
    <definedName name="_inf2013" localSheetId="16">#REF!</definedName>
    <definedName name="_inf2013">#REF!</definedName>
    <definedName name="_inf2013_14" localSheetId="12">#REF!</definedName>
    <definedName name="_inf2013_14" localSheetId="6">#REF!</definedName>
    <definedName name="_inf2013_14" localSheetId="14">#REF!</definedName>
    <definedName name="_inf2013_14" localSheetId="17">#REF!</definedName>
    <definedName name="_inf2013_14" localSheetId="15">#REF!</definedName>
    <definedName name="_inf2013_14" localSheetId="18">#REF!</definedName>
    <definedName name="_inf2013_14" localSheetId="16">#REF!</definedName>
    <definedName name="_inf2013_14">#REF!</definedName>
    <definedName name="_inf20131" localSheetId="12">#REF!</definedName>
    <definedName name="_inf20131" localSheetId="6">#REF!</definedName>
    <definedName name="_inf20131" localSheetId="14">#REF!</definedName>
    <definedName name="_inf20131" localSheetId="17">#REF!</definedName>
    <definedName name="_inf20131" localSheetId="15">#REF!</definedName>
    <definedName name="_inf20131" localSheetId="18">#REF!</definedName>
    <definedName name="_inf20131" localSheetId="16">#REF!</definedName>
    <definedName name="_inf20131">#REF!</definedName>
    <definedName name="_inf2014" localSheetId="12">#REF!</definedName>
    <definedName name="_inf2014" localSheetId="6">#REF!</definedName>
    <definedName name="_inf2014" localSheetId="14">#REF!</definedName>
    <definedName name="_inf2014" localSheetId="17">#REF!</definedName>
    <definedName name="_inf2014" localSheetId="15">#REF!</definedName>
    <definedName name="_inf2014" localSheetId="18">#REF!</definedName>
    <definedName name="_inf2014" localSheetId="16">#REF!</definedName>
    <definedName name="_inf2014">#REF!</definedName>
    <definedName name="_inf2014_14" localSheetId="12">#REF!</definedName>
    <definedName name="_inf2014_14" localSheetId="6">#REF!</definedName>
    <definedName name="_inf2014_14" localSheetId="14">#REF!</definedName>
    <definedName name="_inf2014_14" localSheetId="17">#REF!</definedName>
    <definedName name="_inf2014_14" localSheetId="15">#REF!</definedName>
    <definedName name="_inf2014_14" localSheetId="18">#REF!</definedName>
    <definedName name="_inf2014_14" localSheetId="16">#REF!</definedName>
    <definedName name="_inf2014_14">#REF!</definedName>
    <definedName name="_inf2015" localSheetId="12">#REF!</definedName>
    <definedName name="_inf2015" localSheetId="6">#REF!</definedName>
    <definedName name="_inf2015" localSheetId="14">#REF!</definedName>
    <definedName name="_inf2015" localSheetId="17">#REF!</definedName>
    <definedName name="_inf2015" localSheetId="15">#REF!</definedName>
    <definedName name="_inf2015" localSheetId="18">#REF!</definedName>
    <definedName name="_inf2015" localSheetId="16">#REF!</definedName>
    <definedName name="_inf2015">#REF!</definedName>
    <definedName name="_inf2015_" localSheetId="12">#REF!</definedName>
    <definedName name="_inf2015_" localSheetId="6">#REF!</definedName>
    <definedName name="_inf2015_" localSheetId="14">#REF!</definedName>
    <definedName name="_inf2015_" localSheetId="17">#REF!</definedName>
    <definedName name="_inf2015_" localSheetId="15">#REF!</definedName>
    <definedName name="_inf2015_" localSheetId="18">#REF!</definedName>
    <definedName name="_inf2015_" localSheetId="16">#REF!</definedName>
    <definedName name="_inf2015_">#REF!</definedName>
    <definedName name="_inf2015_14" localSheetId="12">#REF!</definedName>
    <definedName name="_inf2015_14" localSheetId="6">#REF!</definedName>
    <definedName name="_inf2015_14" localSheetId="14">#REF!</definedName>
    <definedName name="_inf2015_14" localSheetId="17">#REF!</definedName>
    <definedName name="_inf2015_14" localSheetId="15">#REF!</definedName>
    <definedName name="_inf2015_14" localSheetId="18">#REF!</definedName>
    <definedName name="_inf2015_14" localSheetId="16">#REF!</definedName>
    <definedName name="_inf2015_14">#REF!</definedName>
    <definedName name="_inf2016" localSheetId="12">#REF!</definedName>
    <definedName name="_inf2016" localSheetId="6">#REF!</definedName>
    <definedName name="_inf2016" localSheetId="14">#REF!</definedName>
    <definedName name="_inf2016" localSheetId="17">#REF!</definedName>
    <definedName name="_inf2016" localSheetId="15">#REF!</definedName>
    <definedName name="_inf2016" localSheetId="18">#REF!</definedName>
    <definedName name="_inf2016" localSheetId="16">#REF!</definedName>
    <definedName name="_inf2016">#REF!</definedName>
    <definedName name="_mm1" localSheetId="12">[1]ПРОГНОЗ_1!#REF!</definedName>
    <definedName name="_mm1" localSheetId="14">[1]ПРОГНОЗ_1!#REF!</definedName>
    <definedName name="_mm1" localSheetId="17">[1]ПРОГНОЗ_1!#REF!</definedName>
    <definedName name="_mm1" localSheetId="15">[1]ПРОГНОЗ_1!#REF!</definedName>
    <definedName name="_mm1" localSheetId="18">[1]ПРОГНОЗ_1!#REF!</definedName>
    <definedName name="_mm1" localSheetId="16">[1]ПРОГНОЗ_1!#REF!</definedName>
    <definedName name="_mm1">[1]ПРОГНОЗ_1!#REF!</definedName>
    <definedName name="_mm1_14" localSheetId="12">[1]ПРОГНОЗ_1!#REF!</definedName>
    <definedName name="_mm1_14" localSheetId="14">[1]ПРОГНОЗ_1!#REF!</definedName>
    <definedName name="_mm1_14" localSheetId="17">[1]ПРОГНОЗ_1!#REF!</definedName>
    <definedName name="_mm1_14" localSheetId="15">[1]ПРОГНОЗ_1!#REF!</definedName>
    <definedName name="_mm1_14" localSheetId="18">[1]ПРОГНОЗ_1!#REF!</definedName>
    <definedName name="_mm1_14" localSheetId="16">[1]ПРОГНОЗ_1!#REF!</definedName>
    <definedName name="_mm1_14">[1]ПРОГНОЗ_1!#REF!</definedName>
    <definedName name="_xlnm._FilterDatabase" localSheetId="21" hidden="1">'Высоцкий 2020'!$A$8:$AS$28</definedName>
    <definedName name="_xlnm._FilterDatabase" localSheetId="27" hidden="1">'Высоцкий 2021'!$A$8:$AS$28</definedName>
    <definedName name="_xlnm._FilterDatabase" localSheetId="33" hidden="1">'Высоцкий 2022'!$A$8:$AS$28</definedName>
    <definedName name="_xlnm._FilterDatabase" localSheetId="19" hidden="1">'ГЦК+Энергия 2020'!$A$8:$AS$57</definedName>
    <definedName name="_xlnm._FilterDatabase" localSheetId="25" hidden="1">'ГЦК+Энергия 2021'!$A$8:$AS$57</definedName>
    <definedName name="_xlnm._FilterDatabase" localSheetId="31" hidden="1">'ГЦК+Энергия 2022'!$A$8:$AS$57</definedName>
    <definedName name="_xlnm._FilterDatabase" localSheetId="8" hidden="1">'концерты строка 1220 (131)+'!$A$5:$H$6</definedName>
    <definedName name="_xlnm._FilterDatabase" localSheetId="2" hidden="1">'музей 2020'!$A$8:$AP$30</definedName>
    <definedName name="_xlnm._FilterDatabase" localSheetId="22" hidden="1">'музей 2021'!$A$8:$AP$30</definedName>
    <definedName name="_xlnm._FilterDatabase" localSheetId="28" hidden="1">'музей 2022'!$A$8:$AP$30</definedName>
    <definedName name="_xlnm._FilterDatabase" localSheetId="14" hidden="1">'расходы 810 25'!$A$8:$Z$69</definedName>
    <definedName name="_xlnm._FilterDatabase" localSheetId="15" hidden="1">'расходы 820 25'!$A$8:$Y$8</definedName>
    <definedName name="_xlnm._FilterDatabase" localSheetId="13" hidden="1">'расходы 831, 841 25'!$A$8:$AA$58</definedName>
    <definedName name="_xlnm._FilterDatabase" localSheetId="3" hidden="1">'Родина 2020'!$A$8:$AS$8</definedName>
    <definedName name="_xlnm._FilterDatabase" localSheetId="23" hidden="1">'Родина 2021'!$A$8:$AS$8</definedName>
    <definedName name="_xlnm._FilterDatabase" localSheetId="29" hidden="1">'Родина 2022'!$A$8:$AS$8</definedName>
    <definedName name="_xlnm._FilterDatabase" localSheetId="24" hidden="1">'ЦБС 2021'!$A$8:$AS$24</definedName>
    <definedName name="_xlnm._FilterDatabase" localSheetId="30" hidden="1">'ЦБС 2022'!$A$8:$AS$24</definedName>
    <definedName name="_xlnm._FilterDatabase" localSheetId="20" hidden="1">'Юбилейный 2020'!$A$8:$AS$25</definedName>
    <definedName name="_xlnm._FilterDatabase" localSheetId="26" hidden="1">'Юбилейный 2021'!$A$8:$AS$25</definedName>
    <definedName name="_xlnm._FilterDatabase" localSheetId="32" hidden="1">'Юбилейный 2022'!$A$8:$AS$25</definedName>
    <definedName name="ddd" localSheetId="12">[2]ПРОГНОЗ_1!#REF!</definedName>
    <definedName name="ddd" localSheetId="14">[2]ПРОГНОЗ_1!#REF!</definedName>
    <definedName name="ddd" localSheetId="17">[2]ПРОГНОЗ_1!#REF!</definedName>
    <definedName name="ddd" localSheetId="15">[2]ПРОГНОЗ_1!#REF!</definedName>
    <definedName name="ddd" localSheetId="18">[2]ПРОГНОЗ_1!#REF!</definedName>
    <definedName name="ddd" localSheetId="16">[2]ПРОГНОЗ_1!#REF!</definedName>
    <definedName name="ddd">[2]ПРОГНОЗ_1!#REF!</definedName>
    <definedName name="ddd_14" localSheetId="12">[2]ПРОГНОЗ_1!#REF!</definedName>
    <definedName name="ddd_14" localSheetId="14">[2]ПРОГНОЗ_1!#REF!</definedName>
    <definedName name="ddd_14" localSheetId="17">[2]ПРОГНОЗ_1!#REF!</definedName>
    <definedName name="ddd_14" localSheetId="15">[2]ПРОГНОЗ_1!#REF!</definedName>
    <definedName name="ddd_14" localSheetId="18">[2]ПРОГНОЗ_1!#REF!</definedName>
    <definedName name="ddd_14" localSheetId="16">[2]ПРОГНОЗ_1!#REF!</definedName>
    <definedName name="ddd_14">[2]ПРОГНОЗ_1!#REF!</definedName>
    <definedName name="Excel_BuiltIn__FilterDatabase_15" localSheetId="12">#REF!</definedName>
    <definedName name="Excel_BuiltIn__FilterDatabase_15" localSheetId="6">#REF!</definedName>
    <definedName name="Excel_BuiltIn__FilterDatabase_15" localSheetId="14">#REF!</definedName>
    <definedName name="Excel_BuiltIn__FilterDatabase_15" localSheetId="17">#REF!</definedName>
    <definedName name="Excel_BuiltIn__FilterDatabase_15" localSheetId="15">#REF!</definedName>
    <definedName name="Excel_BuiltIn__FilterDatabase_15" localSheetId="18">#REF!</definedName>
    <definedName name="Excel_BuiltIn__FilterDatabase_15" localSheetId="16">#REF!</definedName>
    <definedName name="Excel_BuiltIn__FilterDatabase_15">#REF!</definedName>
    <definedName name="ff" localSheetId="12">#REF!</definedName>
    <definedName name="ff" localSheetId="6">#REF!</definedName>
    <definedName name="ff" localSheetId="14">#REF!</definedName>
    <definedName name="ff" localSheetId="17">#REF!</definedName>
    <definedName name="ff" localSheetId="15">#REF!</definedName>
    <definedName name="ff" localSheetId="18">#REF!</definedName>
    <definedName name="ff" localSheetId="16">#REF!</definedName>
    <definedName name="ff">#REF!</definedName>
    <definedName name="ff_14" localSheetId="12">#REF!</definedName>
    <definedName name="ff_14" localSheetId="6">#REF!</definedName>
    <definedName name="ff_14" localSheetId="14">#REF!</definedName>
    <definedName name="ff_14" localSheetId="17">#REF!</definedName>
    <definedName name="ff_14" localSheetId="15">#REF!</definedName>
    <definedName name="ff_14" localSheetId="18">#REF!</definedName>
    <definedName name="ff_14" localSheetId="16">#REF!</definedName>
    <definedName name="ff_14">#REF!</definedName>
    <definedName name="fffff" localSheetId="12">'[3]Гр5(о)'!#REF!</definedName>
    <definedName name="fffff" localSheetId="14">'[3]Гр5(о)'!#REF!</definedName>
    <definedName name="fffff" localSheetId="17">'[3]Гр5(о)'!#REF!</definedName>
    <definedName name="fffff" localSheetId="15">'[3]Гр5(о)'!#REF!</definedName>
    <definedName name="fffff" localSheetId="18">'[3]Гр5(о)'!#REF!</definedName>
    <definedName name="fffff" localSheetId="16">'[3]Гр5(о)'!#REF!</definedName>
    <definedName name="fffff">'[3]Гр5(о)'!#REF!</definedName>
    <definedName name="fffff_14" localSheetId="12">'[3]Гр5(о)'!#REF!</definedName>
    <definedName name="fffff_14" localSheetId="14">'[3]Гр5(о)'!#REF!</definedName>
    <definedName name="fffff_14" localSheetId="17">'[3]Гр5(о)'!#REF!</definedName>
    <definedName name="fffff_14" localSheetId="15">'[3]Гр5(о)'!#REF!</definedName>
    <definedName name="fffff_14" localSheetId="18">'[3]Гр5(о)'!#REF!</definedName>
    <definedName name="fffff_14" localSheetId="16">'[3]Гр5(о)'!#REF!</definedName>
    <definedName name="fffff_14">'[3]Гр5(о)'!#REF!</definedName>
    <definedName name="gggg" localSheetId="12">#REF!</definedName>
    <definedName name="gggg" localSheetId="6">#REF!</definedName>
    <definedName name="gggg" localSheetId="14">#REF!</definedName>
    <definedName name="gggg" localSheetId="17">#REF!</definedName>
    <definedName name="gggg" localSheetId="15">#REF!</definedName>
    <definedName name="gggg" localSheetId="18">#REF!</definedName>
    <definedName name="gggg" localSheetId="16">#REF!</definedName>
    <definedName name="gggg">#REF!</definedName>
    <definedName name="gggg_14" localSheetId="12">#REF!</definedName>
    <definedName name="gggg_14" localSheetId="6">#REF!</definedName>
    <definedName name="gggg_14" localSheetId="14">#REF!</definedName>
    <definedName name="gggg_14" localSheetId="17">#REF!</definedName>
    <definedName name="gggg_14" localSheetId="15">#REF!</definedName>
    <definedName name="gggg_14" localSheetId="18">#REF!</definedName>
    <definedName name="gggg_14" localSheetId="16">#REF!</definedName>
    <definedName name="gggg_14">#REF!</definedName>
    <definedName name="IS_DOCUMENT" localSheetId="4">'ФХД_ Поступления и выплаты'!$A$117</definedName>
    <definedName name="jjjj" localSheetId="12">'[4]Гр5(о)'!#REF!</definedName>
    <definedName name="jjjj" localSheetId="14">'[4]Гр5(о)'!#REF!</definedName>
    <definedName name="jjjj" localSheetId="17">'[4]Гр5(о)'!#REF!</definedName>
    <definedName name="jjjj" localSheetId="15">'[4]Гр5(о)'!#REF!</definedName>
    <definedName name="jjjj" localSheetId="18">'[4]Гр5(о)'!#REF!</definedName>
    <definedName name="jjjj" localSheetId="16">'[4]Гр5(о)'!#REF!</definedName>
    <definedName name="jjjj">'[4]Гр5(о)'!#REF!</definedName>
    <definedName name="jjjj_14" localSheetId="12">'[4]Гр5(о)'!#REF!</definedName>
    <definedName name="jjjj_14" localSheetId="14">'[4]Гр5(о)'!#REF!</definedName>
    <definedName name="jjjj_14" localSheetId="17">'[4]Гр5(о)'!#REF!</definedName>
    <definedName name="jjjj_14" localSheetId="15">'[4]Гр5(о)'!#REF!</definedName>
    <definedName name="jjjj_14" localSheetId="18">'[4]Гр5(о)'!#REF!</definedName>
    <definedName name="jjjj_14" localSheetId="16">'[4]Гр5(о)'!#REF!</definedName>
    <definedName name="jjjj_14">'[4]Гр5(о)'!#REF!</definedName>
    <definedName name="XDO_?ACTDOMCODE?" localSheetId="12">#REF!</definedName>
    <definedName name="XDO_?ACTDOMCODE?" localSheetId="6">#REF!</definedName>
    <definedName name="XDO_?ACTDOMCODE?" localSheetId="14">#REF!</definedName>
    <definedName name="XDO_?ACTDOMCODE?" localSheetId="17">#REF!</definedName>
    <definedName name="XDO_?ACTDOMCODE?" localSheetId="15">#REF!</definedName>
    <definedName name="XDO_?ACTDOMCODE?" localSheetId="18">#REF!</definedName>
    <definedName name="XDO_?ACTDOMCODE?" localSheetId="16">#REF!</definedName>
    <definedName name="XDO_?ACTDOMCODE?">#REF!</definedName>
    <definedName name="XDO_?ACTDOMNAME?" localSheetId="12">#REF!</definedName>
    <definedName name="XDO_?ACTDOMNAME?" localSheetId="6">#REF!</definedName>
    <definedName name="XDO_?ACTDOMNAME?" localSheetId="14">#REF!</definedName>
    <definedName name="XDO_?ACTDOMNAME?" localSheetId="17">#REF!</definedName>
    <definedName name="XDO_?ACTDOMNAME?" localSheetId="15">#REF!</definedName>
    <definedName name="XDO_?ACTDOMNAME?" localSheetId="18">#REF!</definedName>
    <definedName name="XDO_?ACTDOMNAME?" localSheetId="16">#REF!</definedName>
    <definedName name="XDO_?ACTDOMNAME?">#REF!</definedName>
    <definedName name="XDO_?BELONG210FL?" localSheetId="12">#REF!</definedName>
    <definedName name="XDO_?BELONG210FL?" localSheetId="6">#REF!</definedName>
    <definedName name="XDO_?BELONG210FL?" localSheetId="14">#REF!</definedName>
    <definedName name="XDO_?BELONG210FL?" localSheetId="17">#REF!</definedName>
    <definedName name="XDO_?BELONG210FL?" localSheetId="15">#REF!</definedName>
    <definedName name="XDO_?BELONG210FL?" localSheetId="18">#REF!</definedName>
    <definedName name="XDO_?BELONG210FL?" localSheetId="16">#REF!</definedName>
    <definedName name="XDO_?BELONG210FL?">#REF!</definedName>
    <definedName name="XDO_?CSMCTGY_NAME?" localSheetId="12">#REF!</definedName>
    <definedName name="XDO_?CSMCTGY_NAME?" localSheetId="6">#REF!</definedName>
    <definedName name="XDO_?CSMCTGY_NAME?" localSheetId="14">#REF!</definedName>
    <definedName name="XDO_?CSMCTGY_NAME?" localSheetId="17">#REF!</definedName>
    <definedName name="XDO_?CSMCTGY_NAME?" localSheetId="15">#REF!</definedName>
    <definedName name="XDO_?CSMCTGY_NAME?" localSheetId="18">#REF!</definedName>
    <definedName name="XDO_?CSMCTGY_NAME?" localSheetId="16">#REF!</definedName>
    <definedName name="XDO_?CSMCTGY_NAME?">#REF!</definedName>
    <definedName name="XDO_?INSTKND_NAME?" localSheetId="12">#REF!</definedName>
    <definedName name="XDO_?INSTKND_NAME?" localSheetId="6">#REF!</definedName>
    <definedName name="XDO_?INSTKND_NAME?" localSheetId="14">#REF!</definedName>
    <definedName name="XDO_?INSTKND_NAME?" localSheetId="17">#REF!</definedName>
    <definedName name="XDO_?INSTKND_NAME?" localSheetId="15">#REF!</definedName>
    <definedName name="XDO_?INSTKND_NAME?" localSheetId="18">#REF!</definedName>
    <definedName name="XDO_?INSTKND_NAME?" localSheetId="16">#REF!</definedName>
    <definedName name="XDO_?INSTKND_NAME?">#REF!</definedName>
    <definedName name="XDO_?LGLACT_APPROVEDBY?" localSheetId="12">#REF!</definedName>
    <definedName name="XDO_?LGLACT_APPROVEDBY?" localSheetId="6">#REF!</definedName>
    <definedName name="XDO_?LGLACT_APPROVEDBY?" localSheetId="14">#REF!</definedName>
    <definedName name="XDO_?LGLACT_APPROVEDBY?" localSheetId="17">#REF!</definedName>
    <definedName name="XDO_?LGLACT_APPROVEDBY?" localSheetId="15">#REF!</definedName>
    <definedName name="XDO_?LGLACT_APPROVEDBY?" localSheetId="18">#REF!</definedName>
    <definedName name="XDO_?LGLACT_APPROVEDBY?" localSheetId="16">#REF!</definedName>
    <definedName name="XDO_?LGLACT_APPROVEDBY?">#REF!</definedName>
    <definedName name="XDO_?LGLACT_APPRVDAT?" localSheetId="12">#REF!</definedName>
    <definedName name="XDO_?LGLACT_APPRVDAT?" localSheetId="6">#REF!</definedName>
    <definedName name="XDO_?LGLACT_APPRVDAT?" localSheetId="14">#REF!</definedName>
    <definedName name="XDO_?LGLACT_APPRVDAT?" localSheetId="17">#REF!</definedName>
    <definedName name="XDO_?LGLACT_APPRVDAT?" localSheetId="15">#REF!</definedName>
    <definedName name="XDO_?LGLACT_APPRVDAT?" localSheetId="18">#REF!</definedName>
    <definedName name="XDO_?LGLACT_APPRVDAT?" localSheetId="16">#REF!</definedName>
    <definedName name="XDO_?LGLACT_APPRVDAT?">#REF!</definedName>
    <definedName name="XDO_?LGLACT_NAME?" localSheetId="12">#REF!</definedName>
    <definedName name="XDO_?LGLACT_NAME?" localSheetId="6">#REF!</definedName>
    <definedName name="XDO_?LGLACT_NAME?" localSheetId="14">#REF!</definedName>
    <definedName name="XDO_?LGLACT_NAME?" localSheetId="17">#REF!</definedName>
    <definedName name="XDO_?LGLACT_NAME?" localSheetId="15">#REF!</definedName>
    <definedName name="XDO_?LGLACT_NAME?" localSheetId="18">#REF!</definedName>
    <definedName name="XDO_?LGLACT_NAME?" localSheetId="16">#REF!</definedName>
    <definedName name="XDO_?LGLACT_NAME?">#REF!</definedName>
    <definedName name="XDO_?NAME_1?" localSheetId="12">#REF!</definedName>
    <definedName name="XDO_?NAME_1?" localSheetId="6">#REF!</definedName>
    <definedName name="XDO_?NAME_1?" localSheetId="14">#REF!</definedName>
    <definedName name="XDO_?NAME_1?" localSheetId="17">#REF!</definedName>
    <definedName name="XDO_?NAME_1?" localSheetId="15">#REF!</definedName>
    <definedName name="XDO_?NAME_1?" localSheetId="18">#REF!</definedName>
    <definedName name="XDO_?NAME_1?" localSheetId="16">#REF!</definedName>
    <definedName name="XDO_?NAME_1?">#REF!</definedName>
    <definedName name="XDO_?NAME_2?" localSheetId="12">#REF!</definedName>
    <definedName name="XDO_?NAME_2?" localSheetId="6">#REF!</definedName>
    <definedName name="XDO_?NAME_2?" localSheetId="14">#REF!</definedName>
    <definedName name="XDO_?NAME_2?" localSheetId="17">#REF!</definedName>
    <definedName name="XDO_?NAME_2?" localSheetId="15">#REF!</definedName>
    <definedName name="XDO_?NAME_2?" localSheetId="18">#REF!</definedName>
    <definedName name="XDO_?NAME_2?" localSheetId="16">#REF!</definedName>
    <definedName name="XDO_?NAME_2?">#REF!</definedName>
    <definedName name="XDO_?NAME_CODE?" localSheetId="12">#REF!</definedName>
    <definedName name="XDO_?NAME_CODE?" localSheetId="6">#REF!</definedName>
    <definedName name="XDO_?NAME_CODE?" localSheetId="14">#REF!</definedName>
    <definedName name="XDO_?NAME_CODE?" localSheetId="17">#REF!</definedName>
    <definedName name="XDO_?NAME_CODE?" localSheetId="15">#REF!</definedName>
    <definedName name="XDO_?NAME_CODE?" localSheetId="18">#REF!</definedName>
    <definedName name="XDO_?NAME_CODE?" localSheetId="16">#REF!</definedName>
    <definedName name="XDO_?NAME_CODE?">#REF!</definedName>
    <definedName name="XDO_?NAME_NAME?" localSheetId="12">#REF!</definedName>
    <definedName name="XDO_?NAME_NAME?" localSheetId="6">#REF!</definedName>
    <definedName name="XDO_?NAME_NAME?" localSheetId="14">#REF!</definedName>
    <definedName name="XDO_?NAME_NAME?" localSheetId="17">#REF!</definedName>
    <definedName name="XDO_?NAME_NAME?" localSheetId="15">#REF!</definedName>
    <definedName name="XDO_?NAME_NAME?" localSheetId="18">#REF!</definedName>
    <definedName name="XDO_?NAME_NAME?" localSheetId="16">#REF!</definedName>
    <definedName name="XDO_?NAME_NAME?">#REF!</definedName>
    <definedName name="XDO_?NCSRLYBELONG210FL?" localSheetId="12">#REF!</definedName>
    <definedName name="XDO_?NCSRLYBELONG210FL?" localSheetId="6">#REF!</definedName>
    <definedName name="XDO_?NCSRLYBELONG210FL?" localSheetId="14">#REF!</definedName>
    <definedName name="XDO_?NCSRLYBELONG210FL?" localSheetId="17">#REF!</definedName>
    <definedName name="XDO_?NCSRLYBELONG210FL?" localSheetId="15">#REF!</definedName>
    <definedName name="XDO_?NCSRLYBELONG210FL?" localSheetId="18">#REF!</definedName>
    <definedName name="XDO_?NCSRLYBELONG210FL?" localSheetId="16">#REF!</definedName>
    <definedName name="XDO_?NCSRLYBELONG210FL?">#REF!</definedName>
    <definedName name="XDO_?NPA_DESCRIPTIONS?" localSheetId="12">#REF!</definedName>
    <definedName name="XDO_?NPA_DESCRIPTIONS?" localSheetId="6">#REF!</definedName>
    <definedName name="XDO_?NPA_DESCRIPTIONS?" localSheetId="14">#REF!</definedName>
    <definedName name="XDO_?NPA_DESCRIPTIONS?" localSheetId="17">#REF!</definedName>
    <definedName name="XDO_?NPA_DESCRIPTIONS?" localSheetId="15">#REF!</definedName>
    <definedName name="XDO_?NPA_DESCRIPTIONS?" localSheetId="18">#REF!</definedName>
    <definedName name="XDO_?NPA_DESCRIPTIONS?" localSheetId="16">#REF!</definedName>
    <definedName name="XDO_?NPA_DESCRIPTIONS?">#REF!</definedName>
    <definedName name="XDO_?PBL_NAMES?" localSheetId="12">#REF!</definedName>
    <definedName name="XDO_?PBL_NAMES?" localSheetId="6">#REF!</definedName>
    <definedName name="XDO_?PBL_NAMES?" localSheetId="14">#REF!</definedName>
    <definedName name="XDO_?PBL_NAMES?" localSheetId="17">#REF!</definedName>
    <definedName name="XDO_?PBL_NAMES?" localSheetId="15">#REF!</definedName>
    <definedName name="XDO_?PBL_NAMES?" localSheetId="18">#REF!</definedName>
    <definedName name="XDO_?PBL_NAMES?" localSheetId="16">#REF!</definedName>
    <definedName name="XDO_?PBL_NAMES?">#REF!</definedName>
    <definedName name="XDO_?QI_NAME?" localSheetId="12">#REF!</definedName>
    <definedName name="XDO_?QI_NAME?" localSheetId="6">#REF!</definedName>
    <definedName name="XDO_?QI_NAME?" localSheetId="14">#REF!</definedName>
    <definedName name="XDO_?QI_NAME?" localSheetId="17">#REF!</definedName>
    <definedName name="XDO_?QI_NAME?" localSheetId="15">#REF!</definedName>
    <definedName name="XDO_?QI_NAME?" localSheetId="18">#REF!</definedName>
    <definedName name="XDO_?QI_NAME?" localSheetId="16">#REF!</definedName>
    <definedName name="XDO_?QI_NAME?">#REF!</definedName>
    <definedName name="XDO_?RCA_CODE?" localSheetId="12">#REF!</definedName>
    <definedName name="XDO_?RCA_CODE?" localSheetId="6">#REF!</definedName>
    <definedName name="XDO_?RCA_CODE?" localSheetId="14">#REF!</definedName>
    <definedName name="XDO_?RCA_CODE?" localSheetId="17">#REF!</definedName>
    <definedName name="XDO_?RCA_CODE?" localSheetId="15">#REF!</definedName>
    <definedName name="XDO_?RCA_CODE?" localSheetId="18">#REF!</definedName>
    <definedName name="XDO_?RCA_CODE?" localSheetId="16">#REF!</definedName>
    <definedName name="XDO_?RCA_CODE?">#REF!</definedName>
    <definedName name="XDO_?REGRNUMBER?" localSheetId="12">#REF!</definedName>
    <definedName name="XDO_?REGRNUMBER?" localSheetId="6">#REF!</definedName>
    <definedName name="XDO_?REGRNUMBER?" localSheetId="14">#REF!</definedName>
    <definedName name="XDO_?REGRNUMBER?" localSheetId="17">#REF!</definedName>
    <definedName name="XDO_?REGRNUMBER?" localSheetId="15">#REF!</definedName>
    <definedName name="XDO_?REGRNUMBER?" localSheetId="18">#REF!</definedName>
    <definedName name="XDO_?REGRNUMBER?" localSheetId="16">#REF!</definedName>
    <definedName name="XDO_?REGRNUMBER?">#REF!</definedName>
    <definedName name="XDO_?ROWNUMBER?" localSheetId="12">#REF!</definedName>
    <definedName name="XDO_?ROWNUMBER?" localSheetId="6">#REF!</definedName>
    <definedName name="XDO_?ROWNUMBER?" localSheetId="14">#REF!</definedName>
    <definedName name="XDO_?ROWNUMBER?" localSheetId="17">#REF!</definedName>
    <definedName name="XDO_?ROWNUMBER?" localSheetId="15">#REF!</definedName>
    <definedName name="XDO_?ROWNUMBER?" localSheetId="18">#REF!</definedName>
    <definedName name="XDO_?ROWNUMBER?" localSheetId="16">#REF!</definedName>
    <definedName name="XDO_?ROWNUMBER?">#REF!</definedName>
    <definedName name="XDO_?RUCLSPRECACS_CODE?" localSheetId="12">#REF!</definedName>
    <definedName name="XDO_?RUCLSPRECACS_CODE?" localSheetId="6">#REF!</definedName>
    <definedName name="XDO_?RUCLSPRECACS_CODE?" localSheetId="14">#REF!</definedName>
    <definedName name="XDO_?RUCLSPRECACS_CODE?" localSheetId="17">#REF!</definedName>
    <definedName name="XDO_?RUCLSPRECACS_CODE?" localSheetId="15">#REF!</definedName>
    <definedName name="XDO_?RUCLSPRECACS_CODE?" localSheetId="18">#REF!</definedName>
    <definedName name="XDO_?RUCLSPRECACS_CODE?" localSheetId="16">#REF!</definedName>
    <definedName name="XDO_?RUCLSPRECACS_CODE?">#REF!</definedName>
    <definedName name="XDO_?SC_NAME_1?" localSheetId="12">#REF!</definedName>
    <definedName name="XDO_?SC_NAME_1?" localSheetId="6">#REF!</definedName>
    <definedName name="XDO_?SC_NAME_1?" localSheetId="14">#REF!</definedName>
    <definedName name="XDO_?SC_NAME_1?" localSheetId="17">#REF!</definedName>
    <definedName name="XDO_?SC_NAME_1?" localSheetId="15">#REF!</definedName>
    <definedName name="XDO_?SC_NAME_1?" localSheetId="18">#REF!</definedName>
    <definedName name="XDO_?SC_NAME_1?" localSheetId="16">#REF!</definedName>
    <definedName name="XDO_?SC_NAME_1?">#REF!</definedName>
    <definedName name="XDO_?SC_NAME_2?" localSheetId="12">#REF!</definedName>
    <definedName name="XDO_?SC_NAME_2?" localSheetId="6">#REF!</definedName>
    <definedName name="XDO_?SC_NAME_2?" localSheetId="14">#REF!</definedName>
    <definedName name="XDO_?SC_NAME_2?" localSheetId="17">#REF!</definedName>
    <definedName name="XDO_?SC_NAME_2?" localSheetId="15">#REF!</definedName>
    <definedName name="XDO_?SC_NAME_2?" localSheetId="18">#REF!</definedName>
    <definedName name="XDO_?SC_NAME_2?" localSheetId="16">#REF!</definedName>
    <definedName name="XDO_?SC_NAME_2?">#REF!</definedName>
    <definedName name="XDO_?SC_NAME_3?" localSheetId="12">#REF!</definedName>
    <definedName name="XDO_?SC_NAME_3?" localSheetId="6">#REF!</definedName>
    <definedName name="XDO_?SC_NAME_3?" localSheetId="14">#REF!</definedName>
    <definedName name="XDO_?SC_NAME_3?" localSheetId="17">#REF!</definedName>
    <definedName name="XDO_?SC_NAME_3?" localSheetId="15">#REF!</definedName>
    <definedName name="XDO_?SC_NAME_3?" localSheetId="18">#REF!</definedName>
    <definedName name="XDO_?SC_NAME_3?" localSheetId="16">#REF!</definedName>
    <definedName name="XDO_?SC_NAME_3?">#REF!</definedName>
    <definedName name="XDO_?SVCKIND?" localSheetId="12">#REF!</definedName>
    <definedName name="XDO_?SVCKIND?" localSheetId="6">#REF!</definedName>
    <definedName name="XDO_?SVCKIND?" localSheetId="14">#REF!</definedName>
    <definedName name="XDO_?SVCKIND?" localSheetId="17">#REF!</definedName>
    <definedName name="XDO_?SVCKIND?" localSheetId="15">#REF!</definedName>
    <definedName name="XDO_?SVCKIND?" localSheetId="18">#REF!</definedName>
    <definedName name="XDO_?SVCKIND?" localSheetId="16">#REF!</definedName>
    <definedName name="XDO_?SVCKIND?">#REF!</definedName>
    <definedName name="XDO_?SVCPAID?" localSheetId="12">#REF!</definedName>
    <definedName name="XDO_?SVCPAID?" localSheetId="6">#REF!</definedName>
    <definedName name="XDO_?SVCPAID?" localSheetId="14">#REF!</definedName>
    <definedName name="XDO_?SVCPAID?" localSheetId="17">#REF!</definedName>
    <definedName name="XDO_?SVCPAID?" localSheetId="15">#REF!</definedName>
    <definedName name="XDO_?SVCPAID?" localSheetId="18">#REF!</definedName>
    <definedName name="XDO_?SVCPAID?" localSheetId="16">#REF!</definedName>
    <definedName name="XDO_?SVCPAID?">#REF!</definedName>
    <definedName name="XDO_?VOLIND_NAME?" localSheetId="12">#REF!</definedName>
    <definedName name="XDO_?VOLIND_NAME?" localSheetId="6">#REF!</definedName>
    <definedName name="XDO_?VOLIND_NAME?" localSheetId="14">#REF!</definedName>
    <definedName name="XDO_?VOLIND_NAME?" localSheetId="17">#REF!</definedName>
    <definedName name="XDO_?VOLIND_NAME?" localSheetId="15">#REF!</definedName>
    <definedName name="XDO_?VOLIND_NAME?" localSheetId="18">#REF!</definedName>
    <definedName name="XDO_?VOLIND_NAME?" localSheetId="16">#REF!</definedName>
    <definedName name="XDO_?VOLIND_NAME?">#REF!</definedName>
    <definedName name="XDO_GROUP_?HEADER?" localSheetId="12">#REF!</definedName>
    <definedName name="XDO_GROUP_?HEADER?" localSheetId="6">#REF!</definedName>
    <definedName name="XDO_GROUP_?HEADER?" localSheetId="14">#REF!</definedName>
    <definedName name="XDO_GROUP_?HEADER?" localSheetId="17">#REF!</definedName>
    <definedName name="XDO_GROUP_?HEADER?" localSheetId="15">#REF!</definedName>
    <definedName name="XDO_GROUP_?HEADER?" localSheetId="18">#REF!</definedName>
    <definedName name="XDO_GROUP_?HEADER?" localSheetId="16">#REF!</definedName>
    <definedName name="XDO_GROUP_?HEADER?">#REF!</definedName>
    <definedName name="XDO_GROUP_?SERVICE_LIST?" localSheetId="12">#REF!</definedName>
    <definedName name="XDO_GROUP_?SERVICE_LIST?" localSheetId="6">#REF!</definedName>
    <definedName name="XDO_GROUP_?SERVICE_LIST?" localSheetId="14">#REF!</definedName>
    <definedName name="XDO_GROUP_?SERVICE_LIST?" localSheetId="17">#REF!</definedName>
    <definedName name="XDO_GROUP_?SERVICE_LIST?" localSheetId="15">#REF!</definedName>
    <definedName name="XDO_GROUP_?SERVICE_LIST?" localSheetId="18">#REF!</definedName>
    <definedName name="XDO_GROUP_?SERVICE_LIST?" localSheetId="16">#REF!</definedName>
    <definedName name="XDO_GROUP_?SERVICE_LIST?">#REF!</definedName>
    <definedName name="а" localSheetId="6">#REF!</definedName>
    <definedName name="а" localSheetId="14">#REF!</definedName>
    <definedName name="а" localSheetId="17">#REF!</definedName>
    <definedName name="а" localSheetId="15">#REF!</definedName>
    <definedName name="а" localSheetId="18">#REF!</definedName>
    <definedName name="а" localSheetId="16">#REF!</definedName>
    <definedName name="а">#REF!</definedName>
    <definedName name="А1" localSheetId="21">#REF!</definedName>
    <definedName name="А1" localSheetId="27">#REF!</definedName>
    <definedName name="А1" localSheetId="33">#REF!</definedName>
    <definedName name="А1" localSheetId="19">#REF!</definedName>
    <definedName name="А1" localSheetId="25">#REF!</definedName>
    <definedName name="А1" localSheetId="31">#REF!</definedName>
    <definedName name="А1" localSheetId="12">#REF!</definedName>
    <definedName name="А1" localSheetId="2">#REF!</definedName>
    <definedName name="А1" localSheetId="22">#REF!</definedName>
    <definedName name="А1" localSheetId="28">#REF!</definedName>
    <definedName name="А1" localSheetId="6">#REF!</definedName>
    <definedName name="А1" localSheetId="14">#REF!</definedName>
    <definedName name="А1" localSheetId="17">#REF!</definedName>
    <definedName name="А1" localSheetId="15">#REF!</definedName>
    <definedName name="А1" localSheetId="18">#REF!</definedName>
    <definedName name="А1" localSheetId="16">#REF!</definedName>
    <definedName name="А1" localSheetId="3">#REF!</definedName>
    <definedName name="А1" localSheetId="23">#REF!</definedName>
    <definedName name="А1" localSheetId="29">#REF!</definedName>
    <definedName name="А1" localSheetId="1">#REF!</definedName>
    <definedName name="А1" localSheetId="0">#REF!</definedName>
    <definedName name="А1" localSheetId="24">#REF!</definedName>
    <definedName name="А1" localSheetId="30">#REF!</definedName>
    <definedName name="А1" localSheetId="20">#REF!</definedName>
    <definedName name="А1" localSheetId="26">#REF!</definedName>
    <definedName name="А1" localSheetId="32">#REF!</definedName>
    <definedName name="А1">#REF!</definedName>
    <definedName name="ааа" localSheetId="12">#REF!</definedName>
    <definedName name="ааа" localSheetId="6">#REF!</definedName>
    <definedName name="ааа" localSheetId="14">#REF!</definedName>
    <definedName name="ааа" localSheetId="17">#REF!</definedName>
    <definedName name="ааа" localSheetId="15">#REF!</definedName>
    <definedName name="ааа" localSheetId="18">#REF!</definedName>
    <definedName name="ааа" localSheetId="16">#REF!</definedName>
    <definedName name="ааа">#REF!</definedName>
    <definedName name="ааа_14" localSheetId="12">#REF!</definedName>
    <definedName name="ааа_14" localSheetId="6">#REF!</definedName>
    <definedName name="ааа_14" localSheetId="14">#REF!</definedName>
    <definedName name="ааа_14" localSheetId="17">#REF!</definedName>
    <definedName name="ааа_14" localSheetId="15">#REF!</definedName>
    <definedName name="ааа_14" localSheetId="18">#REF!</definedName>
    <definedName name="ааа_14" localSheetId="16">#REF!</definedName>
    <definedName name="ааа_14">#REF!</definedName>
    <definedName name="АнМ" localSheetId="12">'[5]Гр5(о)'!#REF!</definedName>
    <definedName name="АнМ" localSheetId="14">'[5]Гр5(о)'!#REF!</definedName>
    <definedName name="АнМ" localSheetId="17">'[5]Гр5(о)'!#REF!</definedName>
    <definedName name="АнМ" localSheetId="15">'[5]Гр5(о)'!#REF!</definedName>
    <definedName name="АнМ" localSheetId="18">'[5]Гр5(о)'!#REF!</definedName>
    <definedName name="АнМ" localSheetId="16">'[5]Гр5(о)'!#REF!</definedName>
    <definedName name="АнМ">'[5]Гр5(о)'!#REF!</definedName>
    <definedName name="АнМ_14" localSheetId="12">'[5]Гр5(о)'!#REF!</definedName>
    <definedName name="АнМ_14" localSheetId="14">'[5]Гр5(о)'!#REF!</definedName>
    <definedName name="АнМ_14" localSheetId="17">'[5]Гр5(о)'!#REF!</definedName>
    <definedName name="АнМ_14" localSheetId="15">'[5]Гр5(о)'!#REF!</definedName>
    <definedName name="АнМ_14" localSheetId="18">'[5]Гр5(о)'!#REF!</definedName>
    <definedName name="АнМ_14" localSheetId="16">'[5]Гр5(о)'!#REF!</definedName>
    <definedName name="АнМ_14">'[5]Гр5(о)'!#REF!</definedName>
    <definedName name="апоыпао" localSheetId="12">#REF!</definedName>
    <definedName name="апоыпао" localSheetId="6">#REF!</definedName>
    <definedName name="апоыпао" localSheetId="14">#REF!</definedName>
    <definedName name="апоыпао" localSheetId="17">#REF!</definedName>
    <definedName name="апоыпао" localSheetId="15">#REF!</definedName>
    <definedName name="апоыпао" localSheetId="18">#REF!</definedName>
    <definedName name="апоыпао" localSheetId="16">#REF!</definedName>
    <definedName name="апоыпао">#REF!</definedName>
    <definedName name="афраврр" localSheetId="12">'[4]Гр5(о)'!#REF!</definedName>
    <definedName name="афраврр" localSheetId="14">'[4]Гр5(о)'!#REF!</definedName>
    <definedName name="афраврр" localSheetId="17">'[4]Гр5(о)'!#REF!</definedName>
    <definedName name="афраврр" localSheetId="15">'[4]Гр5(о)'!#REF!</definedName>
    <definedName name="афраврр" localSheetId="18">'[4]Гр5(о)'!#REF!</definedName>
    <definedName name="афраврр" localSheetId="16">'[4]Гр5(о)'!#REF!</definedName>
    <definedName name="афраврр">'[4]Гр5(о)'!#REF!</definedName>
    <definedName name="вв" localSheetId="12">[6]ПРОГНОЗ_1!#REF!</definedName>
    <definedName name="вв" localSheetId="14">[6]ПРОГНОЗ_1!#REF!</definedName>
    <definedName name="вв" localSheetId="17">[6]ПРОГНОЗ_1!#REF!</definedName>
    <definedName name="вв" localSheetId="15">[6]ПРОГНОЗ_1!#REF!</definedName>
    <definedName name="вв" localSheetId="18">[6]ПРОГНОЗ_1!#REF!</definedName>
    <definedName name="вв" localSheetId="16">[6]ПРОГНОЗ_1!#REF!</definedName>
    <definedName name="вв">[6]ПРОГНОЗ_1!#REF!</definedName>
    <definedName name="вв_14" localSheetId="12">[6]ПРОГНОЗ_1!#REF!</definedName>
    <definedName name="вв_14" localSheetId="14">[6]ПРОГНОЗ_1!#REF!</definedName>
    <definedName name="вв_14" localSheetId="17">[6]ПРОГНОЗ_1!#REF!</definedName>
    <definedName name="вв_14" localSheetId="15">[6]ПРОГНОЗ_1!#REF!</definedName>
    <definedName name="вв_14" localSheetId="18">[6]ПРОГНОЗ_1!#REF!</definedName>
    <definedName name="вв_14" localSheetId="16">[6]ПРОГНОЗ_1!#REF!</definedName>
    <definedName name="вв_14">[6]ПРОГНОЗ_1!#REF!</definedName>
    <definedName name="влол" localSheetId="12">#REF!</definedName>
    <definedName name="влол" localSheetId="6">#REF!</definedName>
    <definedName name="влол" localSheetId="14">#REF!</definedName>
    <definedName name="влол" localSheetId="17">#REF!</definedName>
    <definedName name="влол" localSheetId="15">#REF!</definedName>
    <definedName name="влол" localSheetId="18">#REF!</definedName>
    <definedName name="влол" localSheetId="16">#REF!</definedName>
    <definedName name="влол">#REF!</definedName>
    <definedName name="внг" localSheetId="6">#REF!</definedName>
    <definedName name="внг" localSheetId="14">#REF!</definedName>
    <definedName name="внг" localSheetId="17">#REF!</definedName>
    <definedName name="внг" localSheetId="15">#REF!</definedName>
    <definedName name="внг" localSheetId="18">#REF!</definedName>
    <definedName name="внг" localSheetId="16">#REF!</definedName>
    <definedName name="внг">#REF!</definedName>
    <definedName name="вр" localSheetId="12">#REF!</definedName>
    <definedName name="вр" localSheetId="6">#REF!</definedName>
    <definedName name="вр" localSheetId="14">#REF!</definedName>
    <definedName name="вр" localSheetId="17">#REF!</definedName>
    <definedName name="вр" localSheetId="15">#REF!</definedName>
    <definedName name="вр" localSheetId="18">#REF!</definedName>
    <definedName name="вр" localSheetId="16">#REF!</definedName>
    <definedName name="вр">#REF!</definedName>
    <definedName name="ВСХ" localSheetId="21">#REF!</definedName>
    <definedName name="ВСХ" localSheetId="27">#REF!</definedName>
    <definedName name="ВСХ" localSheetId="33">#REF!</definedName>
    <definedName name="ВСХ" localSheetId="19">#REF!</definedName>
    <definedName name="ВСХ" localSheetId="25">#REF!</definedName>
    <definedName name="ВСХ" localSheetId="31">#REF!</definedName>
    <definedName name="ВСХ" localSheetId="12">#REF!</definedName>
    <definedName name="ВСХ" localSheetId="2">#REF!</definedName>
    <definedName name="ВСХ" localSheetId="22">#REF!</definedName>
    <definedName name="ВСХ" localSheetId="28">#REF!</definedName>
    <definedName name="ВСХ" localSheetId="6">#REF!</definedName>
    <definedName name="ВСХ" localSheetId="14">#REF!</definedName>
    <definedName name="ВСХ" localSheetId="17">#REF!</definedName>
    <definedName name="ВСХ" localSheetId="15">#REF!</definedName>
    <definedName name="ВСХ" localSheetId="18">#REF!</definedName>
    <definedName name="ВСХ" localSheetId="16">#REF!</definedName>
    <definedName name="ВСХ" localSheetId="3">#REF!</definedName>
    <definedName name="ВСХ" localSheetId="23">#REF!</definedName>
    <definedName name="ВСХ" localSheetId="29">#REF!</definedName>
    <definedName name="ВСХ" localSheetId="1">#REF!</definedName>
    <definedName name="ВСХ" localSheetId="0">#REF!</definedName>
    <definedName name="ВСХ" localSheetId="24">#REF!</definedName>
    <definedName name="ВСХ" localSheetId="30">#REF!</definedName>
    <definedName name="ВСХ" localSheetId="20">#REF!</definedName>
    <definedName name="ВСХ" localSheetId="26">#REF!</definedName>
    <definedName name="ВСХ" localSheetId="32">#REF!</definedName>
    <definedName name="ВСХ">#REF!</definedName>
    <definedName name="График">"Диагр. 4"</definedName>
    <definedName name="_xlnm.Print_Titles" localSheetId="19">'ГЦК+Энергия 2020'!$5:$7</definedName>
    <definedName name="_xlnm.Print_Titles" localSheetId="25">'ГЦК+Энергия 2021'!$5:$7</definedName>
    <definedName name="_xlnm.Print_Titles" localSheetId="31">'ГЦК+Энергия 2022'!$5:$7</definedName>
    <definedName name="_xlnm.Print_Titles" localSheetId="6">'поступления 810 25-27'!$24:$27</definedName>
    <definedName name="кат" localSheetId="12">#REF!</definedName>
    <definedName name="кат" localSheetId="6">#REF!</definedName>
    <definedName name="кат" localSheetId="14">#REF!</definedName>
    <definedName name="кат" localSheetId="17">#REF!</definedName>
    <definedName name="кат" localSheetId="15">#REF!</definedName>
    <definedName name="кат" localSheetId="18">#REF!</definedName>
    <definedName name="кат" localSheetId="16">#REF!</definedName>
    <definedName name="кат">#REF!</definedName>
    <definedName name="кат_14" localSheetId="12">#REF!</definedName>
    <definedName name="кат_14" localSheetId="6">#REF!</definedName>
    <definedName name="кат_14" localSheetId="14">#REF!</definedName>
    <definedName name="кат_14" localSheetId="17">#REF!</definedName>
    <definedName name="кат_14" localSheetId="15">#REF!</definedName>
    <definedName name="кат_14" localSheetId="18">#REF!</definedName>
    <definedName name="кат_14" localSheetId="16">#REF!</definedName>
    <definedName name="кат_14">#REF!</definedName>
    <definedName name="КВ" localSheetId="21">#REF!</definedName>
    <definedName name="КВ" localSheetId="27">#REF!</definedName>
    <definedName name="КВ" localSheetId="33">#REF!</definedName>
    <definedName name="КВ" localSheetId="19">#REF!</definedName>
    <definedName name="КВ" localSheetId="25">#REF!</definedName>
    <definedName name="КВ" localSheetId="31">#REF!</definedName>
    <definedName name="КВ" localSheetId="12">#REF!</definedName>
    <definedName name="КВ" localSheetId="2">#REF!</definedName>
    <definedName name="КВ" localSheetId="22">#REF!</definedName>
    <definedName name="КВ" localSheetId="28">#REF!</definedName>
    <definedName name="КВ" localSheetId="6">#REF!</definedName>
    <definedName name="КВ" localSheetId="14">#REF!</definedName>
    <definedName name="КВ" localSheetId="17">#REF!</definedName>
    <definedName name="КВ" localSheetId="15">#REF!</definedName>
    <definedName name="КВ" localSheetId="18">#REF!</definedName>
    <definedName name="КВ" localSheetId="16">#REF!</definedName>
    <definedName name="КВ" localSheetId="3">#REF!</definedName>
    <definedName name="КВ" localSheetId="23">#REF!</definedName>
    <definedName name="КВ" localSheetId="29">#REF!</definedName>
    <definedName name="КВ" localSheetId="1">#REF!</definedName>
    <definedName name="КВ" localSheetId="0">#REF!</definedName>
    <definedName name="КВ" localSheetId="24">#REF!</definedName>
    <definedName name="КВ" localSheetId="30">#REF!</definedName>
    <definedName name="КВ" localSheetId="20">#REF!</definedName>
    <definedName name="КВ" localSheetId="26">#REF!</definedName>
    <definedName name="КВ" localSheetId="32">#REF!</definedName>
    <definedName name="КВ">#REF!</definedName>
    <definedName name="квр244" localSheetId="6">#REF!</definedName>
    <definedName name="квр244" localSheetId="14">#REF!</definedName>
    <definedName name="квр244" localSheetId="17">#REF!</definedName>
    <definedName name="квр244" localSheetId="15">#REF!</definedName>
    <definedName name="квр244" localSheetId="18">#REF!</definedName>
    <definedName name="квр244" localSheetId="16">#REF!</definedName>
    <definedName name="квр244">#REF!</definedName>
    <definedName name="Код_110100" localSheetId="21">#REF!</definedName>
    <definedName name="Код_110100" localSheetId="27">#REF!</definedName>
    <definedName name="Код_110100" localSheetId="33">#REF!</definedName>
    <definedName name="Код_110100" localSheetId="19">#REF!</definedName>
    <definedName name="Код_110100" localSheetId="25">#REF!</definedName>
    <definedName name="Код_110100" localSheetId="31">#REF!</definedName>
    <definedName name="Код_110100" localSheetId="12">#REF!</definedName>
    <definedName name="Код_110100" localSheetId="2">#REF!</definedName>
    <definedName name="Код_110100" localSheetId="22">#REF!</definedName>
    <definedName name="Код_110100" localSheetId="28">#REF!</definedName>
    <definedName name="Код_110100" localSheetId="6">#REF!</definedName>
    <definedName name="Код_110100" localSheetId="14">#REF!</definedName>
    <definedName name="Код_110100" localSheetId="17">#REF!</definedName>
    <definedName name="Код_110100" localSheetId="15">#REF!</definedName>
    <definedName name="Код_110100" localSheetId="18">#REF!</definedName>
    <definedName name="Код_110100" localSheetId="16">#REF!</definedName>
    <definedName name="Код_110100" localSheetId="3">#REF!</definedName>
    <definedName name="Код_110100" localSheetId="23">#REF!</definedName>
    <definedName name="Код_110100" localSheetId="29">#REF!</definedName>
    <definedName name="Код_110100" localSheetId="1">#REF!</definedName>
    <definedName name="Код_110100" localSheetId="0">#REF!</definedName>
    <definedName name="Код_110100" localSheetId="24">#REF!</definedName>
    <definedName name="Код_110100" localSheetId="30">#REF!</definedName>
    <definedName name="Код_110100" localSheetId="20">#REF!</definedName>
    <definedName name="Код_110100" localSheetId="26">#REF!</definedName>
    <definedName name="Код_110100" localSheetId="32">#REF!</definedName>
    <definedName name="Код_110100">#REF!</definedName>
    <definedName name="Код_110200" localSheetId="21">#REF!</definedName>
    <definedName name="Код_110200" localSheetId="27">#REF!</definedName>
    <definedName name="Код_110200" localSheetId="33">#REF!</definedName>
    <definedName name="Код_110200" localSheetId="19">#REF!</definedName>
    <definedName name="Код_110200" localSheetId="25">#REF!</definedName>
    <definedName name="Код_110200" localSheetId="31">#REF!</definedName>
    <definedName name="Код_110200" localSheetId="12">#REF!</definedName>
    <definedName name="Код_110200" localSheetId="2">#REF!</definedName>
    <definedName name="Код_110200" localSheetId="22">#REF!</definedName>
    <definedName name="Код_110200" localSheetId="28">#REF!</definedName>
    <definedName name="Код_110200" localSheetId="6">#REF!</definedName>
    <definedName name="Код_110200" localSheetId="14">#REF!</definedName>
    <definedName name="Код_110200" localSheetId="17">#REF!</definedName>
    <definedName name="Код_110200" localSheetId="15">#REF!</definedName>
    <definedName name="Код_110200" localSheetId="18">#REF!</definedName>
    <definedName name="Код_110200" localSheetId="16">#REF!</definedName>
    <definedName name="Код_110200" localSheetId="3">#REF!</definedName>
    <definedName name="Код_110200" localSheetId="23">#REF!</definedName>
    <definedName name="Код_110200" localSheetId="29">#REF!</definedName>
    <definedName name="Код_110200" localSheetId="1">#REF!</definedName>
    <definedName name="Код_110200" localSheetId="0">#REF!</definedName>
    <definedName name="Код_110200" localSheetId="24">#REF!</definedName>
    <definedName name="Код_110200" localSheetId="30">#REF!</definedName>
    <definedName name="Код_110200" localSheetId="20">#REF!</definedName>
    <definedName name="Код_110200" localSheetId="26">#REF!</definedName>
    <definedName name="Код_110200" localSheetId="32">#REF!</definedName>
    <definedName name="Код_110200">#REF!</definedName>
    <definedName name="Код_110500" localSheetId="21">#REF!</definedName>
    <definedName name="Код_110500" localSheetId="27">#REF!</definedName>
    <definedName name="Код_110500" localSheetId="33">#REF!</definedName>
    <definedName name="Код_110500" localSheetId="19">#REF!</definedName>
    <definedName name="Код_110500" localSheetId="25">#REF!</definedName>
    <definedName name="Код_110500" localSheetId="31">#REF!</definedName>
    <definedName name="Код_110500" localSheetId="12">#REF!</definedName>
    <definedName name="Код_110500" localSheetId="2">#REF!</definedName>
    <definedName name="Код_110500" localSheetId="22">#REF!</definedName>
    <definedName name="Код_110500" localSheetId="28">#REF!</definedName>
    <definedName name="Код_110500" localSheetId="6">#REF!</definedName>
    <definedName name="Код_110500" localSheetId="14">#REF!</definedName>
    <definedName name="Код_110500" localSheetId="17">#REF!</definedName>
    <definedName name="Код_110500" localSheetId="15">#REF!</definedName>
    <definedName name="Код_110500" localSheetId="18">#REF!</definedName>
    <definedName name="Код_110500" localSheetId="16">#REF!</definedName>
    <definedName name="Код_110500" localSheetId="3">#REF!</definedName>
    <definedName name="Код_110500" localSheetId="23">#REF!</definedName>
    <definedName name="Код_110500" localSheetId="29">#REF!</definedName>
    <definedName name="Код_110500" localSheetId="1">#REF!</definedName>
    <definedName name="Код_110500" localSheetId="0">#REF!</definedName>
    <definedName name="Код_110500" localSheetId="24">#REF!</definedName>
    <definedName name="Код_110500" localSheetId="30">#REF!</definedName>
    <definedName name="Код_110500" localSheetId="20">#REF!</definedName>
    <definedName name="Код_110500" localSheetId="26">#REF!</definedName>
    <definedName name="Код_110500" localSheetId="32">#REF!</definedName>
    <definedName name="Код_110500">#REF!</definedName>
    <definedName name="М1" localSheetId="12">[7]ПРОГНОЗ_1!#REF!</definedName>
    <definedName name="М1" localSheetId="14">[7]ПРОГНОЗ_1!#REF!</definedName>
    <definedName name="М1" localSheetId="17">[7]ПРОГНОЗ_1!#REF!</definedName>
    <definedName name="М1" localSheetId="15">[7]ПРОГНОЗ_1!#REF!</definedName>
    <definedName name="М1" localSheetId="18">[7]ПРОГНОЗ_1!#REF!</definedName>
    <definedName name="М1" localSheetId="16">[7]ПРОГНОЗ_1!#REF!</definedName>
    <definedName name="М1">[7]ПРОГНОЗ_1!#REF!</definedName>
    <definedName name="М1_14" localSheetId="12">[7]ПРОГНОЗ_1!#REF!</definedName>
    <definedName name="М1_14" localSheetId="14">[7]ПРОГНОЗ_1!#REF!</definedName>
    <definedName name="М1_14" localSheetId="17">[7]ПРОГНОЗ_1!#REF!</definedName>
    <definedName name="М1_14" localSheetId="15">[7]ПРОГНОЗ_1!#REF!</definedName>
    <definedName name="М1_14" localSheetId="18">[7]ПРОГНОЗ_1!#REF!</definedName>
    <definedName name="М1_14" localSheetId="16">[7]ПРОГНОЗ_1!#REF!</definedName>
    <definedName name="М1_14">[7]ПРОГНОЗ_1!#REF!</definedName>
    <definedName name="Мониторинг1" localSheetId="12">'[8]Гр5(о)'!#REF!</definedName>
    <definedName name="Мониторинг1" localSheetId="14">'[8]Гр5(о)'!#REF!</definedName>
    <definedName name="Мониторинг1" localSheetId="17">'[8]Гр5(о)'!#REF!</definedName>
    <definedName name="Мониторинг1" localSheetId="15">'[8]Гр5(о)'!#REF!</definedName>
    <definedName name="Мониторинг1" localSheetId="18">'[8]Гр5(о)'!#REF!</definedName>
    <definedName name="Мониторинг1" localSheetId="16">'[8]Гр5(о)'!#REF!</definedName>
    <definedName name="Мониторинг1">'[8]Гр5(о)'!#REF!</definedName>
    <definedName name="Мониторинг1_14" localSheetId="12">'[8]Гр5(о)'!#REF!</definedName>
    <definedName name="Мониторинг1_14" localSheetId="14">'[8]Гр5(о)'!#REF!</definedName>
    <definedName name="Мониторинг1_14" localSheetId="17">'[8]Гр5(о)'!#REF!</definedName>
    <definedName name="Мониторинг1_14" localSheetId="15">'[8]Гр5(о)'!#REF!</definedName>
    <definedName name="Мониторинг1_14" localSheetId="18">'[8]Гр5(о)'!#REF!</definedName>
    <definedName name="Мониторинг1_14" localSheetId="16">'[8]Гр5(о)'!#REF!</definedName>
    <definedName name="Мониторинг1_14">'[8]Гр5(о)'!#REF!</definedName>
    <definedName name="нговеошл" localSheetId="6">#REF!</definedName>
    <definedName name="нговеошл" localSheetId="14">#REF!</definedName>
    <definedName name="нговеошл" localSheetId="17">#REF!</definedName>
    <definedName name="нговеошл" localSheetId="15">#REF!</definedName>
    <definedName name="нговеошл" localSheetId="18">#REF!</definedName>
    <definedName name="нговеошл" localSheetId="16">#REF!</definedName>
    <definedName name="нговеошл">#REF!</definedName>
    <definedName name="нег" localSheetId="6">#REF!</definedName>
    <definedName name="нег" localSheetId="14">#REF!</definedName>
    <definedName name="нег" localSheetId="17">#REF!</definedName>
    <definedName name="нег" localSheetId="15">#REF!</definedName>
    <definedName name="нег" localSheetId="18">#REF!</definedName>
    <definedName name="нег" localSheetId="16">#REF!</definedName>
    <definedName name="нег">#REF!</definedName>
    <definedName name="нкшывк" localSheetId="6">#REF!</definedName>
    <definedName name="нкшывк" localSheetId="14">#REF!</definedName>
    <definedName name="нкшывк" localSheetId="17">#REF!</definedName>
    <definedName name="нкшывк" localSheetId="15">#REF!</definedName>
    <definedName name="нкшывк" localSheetId="18">#REF!</definedName>
    <definedName name="нкшывк" localSheetId="16">#REF!</definedName>
    <definedName name="нкшывк">#REF!</definedName>
    <definedName name="_xlnm.Print_Area" localSheetId="9">'возмещ ком услстрока 1230(135)+'!$A$1:$K$16</definedName>
    <definedName name="_xlnm.Print_Area" localSheetId="21">'Высоцкий 2020'!$A$1:$AH$42</definedName>
    <definedName name="_xlnm.Print_Area" localSheetId="27">'Высоцкий 2021'!$A$1:$AH$42</definedName>
    <definedName name="_xlnm.Print_Area" localSheetId="33">'Высоцкий 2022'!$A$1:$AH$42</definedName>
    <definedName name="_xlnm.Print_Area" localSheetId="19">'ГЦК+Энергия 2020'!$A$1:$AH$62</definedName>
    <definedName name="_xlnm.Print_Area" localSheetId="25">'ГЦК+Энергия 2021'!$A$1:$AH$62</definedName>
    <definedName name="_xlnm.Print_Area" localSheetId="31">'ГЦК+Энергия 2022'!$A$1:$AH$62</definedName>
    <definedName name="_xlnm.Print_Area" localSheetId="12">КВР!$A$1:$N$104</definedName>
    <definedName name="_xlnm.Print_Area" localSheetId="8">'концерты строка 1220 (131)+'!$A$1:$N$9</definedName>
    <definedName name="_xlnm.Print_Area" localSheetId="2">'музей 2020'!$A$1:$AH$40</definedName>
    <definedName name="_xlnm.Print_Area" localSheetId="22">'музей 2021'!$A$1:$AH$40</definedName>
    <definedName name="_xlnm.Print_Area" localSheetId="28">'музей 2022'!$A$1:$AH$40</definedName>
    <definedName name="_xlnm.Print_Area" localSheetId="10">'постуления 820 25-27'!$A$1:$K$13</definedName>
    <definedName name="_xlnm.Print_Area" localSheetId="6">'поступления 810 25-27'!$A$1:$AG$63</definedName>
    <definedName name="_xlnm.Print_Area" localSheetId="7">'поступления 831, 841 25-27'!$A$1:$M$22</definedName>
    <definedName name="_xlnm.Print_Area" localSheetId="5">'Поступления всего'!$A$1:$F$72</definedName>
    <definedName name="_xlnm.Print_Area" localSheetId="11">'прочие поступ строка 1980 (510)'!$A$1:$N$21</definedName>
    <definedName name="_xlnm.Print_Area" localSheetId="14">'расходы 810 25'!$A$1:$N$69</definedName>
    <definedName name="_xlnm.Print_Area" localSheetId="17">'расходы 810 26-27'!$A$1:$K$70</definedName>
    <definedName name="_xlnm.Print_Area" localSheetId="15">'расходы 820 25'!$A$1:$I$55</definedName>
    <definedName name="_xlnm.Print_Area" localSheetId="18">'расходы 820 26-27'!$A$1:$K$55</definedName>
    <definedName name="_xlnm.Print_Area" localSheetId="13">'расходы 831, 841 25'!$A$1:$Q$58</definedName>
    <definedName name="_xlnm.Print_Area" localSheetId="16">'расходы 831, 841 26-27'!$A$1:$O$51</definedName>
    <definedName name="_xlnm.Print_Area" localSheetId="3">'Родина 2020'!$A$1:$AH$35</definedName>
    <definedName name="_xlnm.Print_Area" localSheetId="23">'Родина 2021'!$A$1:$AH$35</definedName>
    <definedName name="_xlnm.Print_Area" localSheetId="29">'Родина 2022'!$A$1:$AH$35</definedName>
    <definedName name="_xlnm.Print_Area" localSheetId="1">СВОД!$A$1:$N$21</definedName>
    <definedName name="_xlnm.Print_Area" localSheetId="0">'СВОД (2)'!$A$1:$W$21</definedName>
    <definedName name="_xlnm.Print_Area" localSheetId="4">'ФХД_ Поступления и выплаты'!$A$1:$AA$134</definedName>
    <definedName name="_xlnm.Print_Area" localSheetId="24">'ЦБС 2021'!$A$1:$AH$38</definedName>
    <definedName name="_xlnm.Print_Area" localSheetId="30">'ЦБС 2022'!$A$1:$AH$38</definedName>
    <definedName name="_xlnm.Print_Area" localSheetId="20">'Юбилейный 2020'!$A$1:$AH$43</definedName>
    <definedName name="_xlnm.Print_Area" localSheetId="26">'Юбилейный 2021'!$A$1:$AH$43</definedName>
    <definedName name="_xlnm.Print_Area" localSheetId="32">'Юбилейный 2022'!$A$1:$AH$43</definedName>
    <definedName name="оь" localSheetId="6">#REF!</definedName>
    <definedName name="оь" localSheetId="14">#REF!</definedName>
    <definedName name="оь" localSheetId="17">#REF!</definedName>
    <definedName name="оь" localSheetId="15">#REF!</definedName>
    <definedName name="оь" localSheetId="18">#REF!</definedName>
    <definedName name="оь" localSheetId="16">#REF!</definedName>
    <definedName name="оь">#REF!</definedName>
    <definedName name="п" localSheetId="12">#REF!</definedName>
    <definedName name="п" localSheetId="6">#REF!</definedName>
    <definedName name="п" localSheetId="14">#REF!</definedName>
    <definedName name="п" localSheetId="17">#REF!</definedName>
    <definedName name="п" localSheetId="15">#REF!</definedName>
    <definedName name="п" localSheetId="18">#REF!</definedName>
    <definedName name="п" localSheetId="16">#REF!</definedName>
    <definedName name="п">#REF!</definedName>
    <definedName name="панрти" localSheetId="14">[6]ПРОГНОЗ_1!#REF!</definedName>
    <definedName name="панрти" localSheetId="17">[6]ПРОГНОЗ_1!#REF!</definedName>
    <definedName name="панрти" localSheetId="15">[6]ПРОГНОЗ_1!#REF!</definedName>
    <definedName name="панрти" localSheetId="18">[6]ПРОГНОЗ_1!#REF!</definedName>
    <definedName name="панрти" localSheetId="16">[6]ПРОГНОЗ_1!#REF!</definedName>
    <definedName name="панрти">[6]ПРОГНОЗ_1!#REF!</definedName>
    <definedName name="паыоаыпо" localSheetId="12">#REF!</definedName>
    <definedName name="паыоаыпо" localSheetId="6">#REF!</definedName>
    <definedName name="паыоаыпо" localSheetId="14">#REF!</definedName>
    <definedName name="паыоаыпо" localSheetId="17">#REF!</definedName>
    <definedName name="паыоаыпо" localSheetId="15">#REF!</definedName>
    <definedName name="паыоаыпо" localSheetId="18">#REF!</definedName>
    <definedName name="паыоаыпо" localSheetId="16">#REF!</definedName>
    <definedName name="паыоаыпо">#REF!</definedName>
    <definedName name="Пгород" localSheetId="12">#REF!</definedName>
    <definedName name="Пгород" localSheetId="6">#REF!</definedName>
    <definedName name="Пгород" localSheetId="14">#REF!</definedName>
    <definedName name="Пгород" localSheetId="17">#REF!</definedName>
    <definedName name="Пгород" localSheetId="15">#REF!</definedName>
    <definedName name="Пгород" localSheetId="18">#REF!</definedName>
    <definedName name="Пгород" localSheetId="16">#REF!</definedName>
    <definedName name="Пгород">#REF!</definedName>
    <definedName name="ПОКАЗАТЕЛИ_ДОЛГОСР.ПРОГНОЗА" localSheetId="12">'[9]2002(v2)'!#REF!</definedName>
    <definedName name="ПОКАЗАТЕЛИ_ДОЛГОСР.ПРОГНОЗА" localSheetId="14">'[9]2002(v2)'!#REF!</definedName>
    <definedName name="ПОКАЗАТЕЛИ_ДОЛГОСР.ПРОГНОЗА" localSheetId="17">'[9]2002(v2)'!#REF!</definedName>
    <definedName name="ПОКАЗАТЕЛИ_ДОЛГОСР.ПРОГНОЗА" localSheetId="15">'[9]2002(v2)'!#REF!</definedName>
    <definedName name="ПОКАЗАТЕЛИ_ДОЛГОСР.ПРОГНОЗА" localSheetId="18">'[9]2002(v2)'!#REF!</definedName>
    <definedName name="ПОКАЗАТЕЛИ_ДОЛГОСР.ПРОГНОЗА" localSheetId="16">'[9]2002(v2)'!#REF!</definedName>
    <definedName name="ПОКАЗАТЕЛИ_ДОЛГОСР.ПРОГНОЗА">'[9]2002(v2)'!#REF!</definedName>
    <definedName name="ПОКАЗАТЕЛИ_ДОЛГОСР.ПРОГНОЗА_14" localSheetId="12">'[9]2002(v2)'!#REF!</definedName>
    <definedName name="ПОКАЗАТЕЛИ_ДОЛГОСР.ПРОГНОЗА_14" localSheetId="14">'[9]2002(v2)'!#REF!</definedName>
    <definedName name="ПОКАЗАТЕЛИ_ДОЛГОСР.ПРОГНОЗА_14" localSheetId="17">'[9]2002(v2)'!#REF!</definedName>
    <definedName name="ПОКАЗАТЕЛИ_ДОЛГОСР.ПРОГНОЗА_14" localSheetId="15">'[9]2002(v2)'!#REF!</definedName>
    <definedName name="ПОКАЗАТЕЛИ_ДОЛГОСР.ПРОГНОЗА_14" localSheetId="18">'[9]2002(v2)'!#REF!</definedName>
    <definedName name="ПОКАЗАТЕЛИ_ДОЛГОСР.ПРОГНОЗА_14" localSheetId="16">'[9]2002(v2)'!#REF!</definedName>
    <definedName name="ПОКАЗАТЕЛИ_ДОЛГОСР.ПРОГНОЗА_14">'[9]2002(v2)'!#REF!</definedName>
    <definedName name="пппп" localSheetId="12">'[10]2002(v1)'!#REF!</definedName>
    <definedName name="пппп" localSheetId="14">'[10]2002(v1)'!#REF!</definedName>
    <definedName name="пппп" localSheetId="17">'[10]2002(v1)'!#REF!</definedName>
    <definedName name="пппп" localSheetId="15">'[10]2002(v1)'!#REF!</definedName>
    <definedName name="пппп" localSheetId="18">'[10]2002(v1)'!#REF!</definedName>
    <definedName name="пппп" localSheetId="16">'[10]2002(v1)'!#REF!</definedName>
    <definedName name="пппп">'[10]2002(v1)'!#REF!</definedName>
    <definedName name="пппп_14" localSheetId="12">'[10]2002(v1)'!#REF!</definedName>
    <definedName name="пппп_14" localSheetId="14">'[10]2002(v1)'!#REF!</definedName>
    <definedName name="пппп_14" localSheetId="17">'[10]2002(v1)'!#REF!</definedName>
    <definedName name="пппп_14" localSheetId="15">'[10]2002(v1)'!#REF!</definedName>
    <definedName name="пппп_14" localSheetId="18">'[10]2002(v1)'!#REF!</definedName>
    <definedName name="пппп_14" localSheetId="16">'[10]2002(v1)'!#REF!</definedName>
    <definedName name="пппп_14">'[10]2002(v1)'!#REF!</definedName>
    <definedName name="прво" localSheetId="12">#REF!</definedName>
    <definedName name="прво" localSheetId="6">#REF!</definedName>
    <definedName name="прво" localSheetId="14">#REF!</definedName>
    <definedName name="прво" localSheetId="17">#REF!</definedName>
    <definedName name="прво" localSheetId="15">#REF!</definedName>
    <definedName name="прво" localSheetId="18">#REF!</definedName>
    <definedName name="прво" localSheetId="16">#REF!</definedName>
    <definedName name="прво">#REF!</definedName>
    <definedName name="про" localSheetId="12">#REF!</definedName>
    <definedName name="про" localSheetId="6">#REF!</definedName>
    <definedName name="про" localSheetId="14">#REF!</definedName>
    <definedName name="про" localSheetId="17">#REF!</definedName>
    <definedName name="про" localSheetId="15">#REF!</definedName>
    <definedName name="про" localSheetId="18">#REF!</definedName>
    <definedName name="про" localSheetId="16">#REF!</definedName>
    <definedName name="про">#REF!</definedName>
    <definedName name="Прогноз97" localSheetId="12">[11]ПРОГНОЗ_1!#REF!</definedName>
    <definedName name="Прогноз97" localSheetId="14">[11]ПРОГНОЗ_1!#REF!</definedName>
    <definedName name="Прогноз97" localSheetId="17">[11]ПРОГНОЗ_1!#REF!</definedName>
    <definedName name="Прогноз97" localSheetId="15">[11]ПРОГНОЗ_1!#REF!</definedName>
    <definedName name="Прогноз97" localSheetId="18">[11]ПРОГНОЗ_1!#REF!</definedName>
    <definedName name="Прогноз97" localSheetId="16">[11]ПРОГНОЗ_1!#REF!</definedName>
    <definedName name="Прогноз97">[11]ПРОГНОЗ_1!#REF!</definedName>
    <definedName name="Прогноз97_14" localSheetId="12">[11]ПРОГНОЗ_1!#REF!</definedName>
    <definedName name="Прогноз97_14" localSheetId="14">[11]ПРОГНОЗ_1!#REF!</definedName>
    <definedName name="Прогноз97_14" localSheetId="17">[11]ПРОГНОЗ_1!#REF!</definedName>
    <definedName name="Прогноз97_14" localSheetId="15">[11]ПРОГНОЗ_1!#REF!</definedName>
    <definedName name="Прогноз97_14" localSheetId="18">[11]ПРОГНОЗ_1!#REF!</definedName>
    <definedName name="Прогноз97_14" localSheetId="16">[11]ПРОГНОЗ_1!#REF!</definedName>
    <definedName name="Прогноз97_14">[11]ПРОГНОЗ_1!#REF!</definedName>
    <definedName name="раолдраод" localSheetId="12">#REF!</definedName>
    <definedName name="раолдраод" localSheetId="6">#REF!</definedName>
    <definedName name="раолдраод" localSheetId="14">#REF!</definedName>
    <definedName name="раолдраод" localSheetId="17">#REF!</definedName>
    <definedName name="раолдраод" localSheetId="15">#REF!</definedName>
    <definedName name="раолдраод" localSheetId="18">#REF!</definedName>
    <definedName name="раолдраод" localSheetId="16">#REF!</definedName>
    <definedName name="раолдраод">#REF!</definedName>
    <definedName name="уцкецукецк" localSheetId="12">'[10]2002(v1)'!#REF!</definedName>
    <definedName name="уцкецукецк" localSheetId="14">'[10]2002(v1)'!#REF!</definedName>
    <definedName name="уцкецукецк" localSheetId="17">'[10]2002(v1)'!#REF!</definedName>
    <definedName name="уцкецукецк" localSheetId="15">'[10]2002(v1)'!#REF!</definedName>
    <definedName name="уцкецукецк" localSheetId="18">'[10]2002(v1)'!#REF!</definedName>
    <definedName name="уцкецукецк" localSheetId="16">'[10]2002(v1)'!#REF!</definedName>
    <definedName name="уцкецукецк">'[10]2002(v1)'!#REF!</definedName>
    <definedName name="Ф.И.О." localSheetId="6">#REF!</definedName>
    <definedName name="Ф.И.О." localSheetId="14">#REF!</definedName>
    <definedName name="Ф.И.О." localSheetId="17">#REF!</definedName>
    <definedName name="Ф.И.О." localSheetId="15">#REF!</definedName>
    <definedName name="Ф.И.О." localSheetId="18">#REF!</definedName>
    <definedName name="Ф.И.О." localSheetId="16">#REF!</definedName>
    <definedName name="Ф.И.О.">#REF!</definedName>
    <definedName name="фварварффврвр" localSheetId="12">'[5]Гр5(о)'!#REF!</definedName>
    <definedName name="фварварффврвр" localSheetId="14">'[5]Гр5(о)'!#REF!</definedName>
    <definedName name="фварварффврвр" localSheetId="17">'[5]Гр5(о)'!#REF!</definedName>
    <definedName name="фварварффврвр" localSheetId="15">'[5]Гр5(о)'!#REF!</definedName>
    <definedName name="фварварффврвр" localSheetId="18">'[5]Гр5(о)'!#REF!</definedName>
    <definedName name="фварварффврвр" localSheetId="16">'[5]Гр5(о)'!#REF!</definedName>
    <definedName name="фварварффврвр">'[5]Гр5(о)'!#REF!</definedName>
    <definedName name="фварфварфр" localSheetId="12">#REF!</definedName>
    <definedName name="фварфварфр" localSheetId="6">#REF!</definedName>
    <definedName name="фварфварфр" localSheetId="14">#REF!</definedName>
    <definedName name="фварфварфр" localSheetId="17">#REF!</definedName>
    <definedName name="фварфварфр" localSheetId="15">#REF!</definedName>
    <definedName name="фварфварфр" localSheetId="18">#REF!</definedName>
    <definedName name="фварфварфр" localSheetId="16">#REF!</definedName>
    <definedName name="фварфварфр">#REF!</definedName>
    <definedName name="фврафврварфвра" localSheetId="12">[6]ПРОГНОЗ_1!#REF!</definedName>
    <definedName name="фврафврварфвра" localSheetId="14">[6]ПРОГНОЗ_1!#REF!</definedName>
    <definedName name="фврафврварфвра" localSheetId="17">[6]ПРОГНОЗ_1!#REF!</definedName>
    <definedName name="фврафврварфвра" localSheetId="15">[6]ПРОГНОЗ_1!#REF!</definedName>
    <definedName name="фврафврварфвра" localSheetId="18">[6]ПРОГНОЗ_1!#REF!</definedName>
    <definedName name="фврафврварфвра" localSheetId="16">[6]ПРОГНОЗ_1!#REF!</definedName>
    <definedName name="фврафврварфвра">[6]ПРОГНОЗ_1!#REF!</definedName>
    <definedName name="ФЗП" localSheetId="21">#REF!</definedName>
    <definedName name="ФЗП" localSheetId="27">#REF!</definedName>
    <definedName name="ФЗП" localSheetId="33">#REF!</definedName>
    <definedName name="ФЗП" localSheetId="19">#REF!</definedName>
    <definedName name="ФЗП" localSheetId="25">#REF!</definedName>
    <definedName name="ФЗП" localSheetId="31">#REF!</definedName>
    <definedName name="ФЗП" localSheetId="12">#REF!</definedName>
    <definedName name="ФЗП" localSheetId="2">#REF!</definedName>
    <definedName name="ФЗП" localSheetId="22">#REF!</definedName>
    <definedName name="ФЗП" localSheetId="28">#REF!</definedName>
    <definedName name="ФЗП" localSheetId="6">#REF!</definedName>
    <definedName name="ФЗП" localSheetId="14">#REF!</definedName>
    <definedName name="ФЗП" localSheetId="17">#REF!</definedName>
    <definedName name="ФЗП" localSheetId="15">#REF!</definedName>
    <definedName name="ФЗП" localSheetId="18">#REF!</definedName>
    <definedName name="ФЗП" localSheetId="16">#REF!</definedName>
    <definedName name="ФЗП" localSheetId="3">#REF!</definedName>
    <definedName name="ФЗП" localSheetId="23">#REF!</definedName>
    <definedName name="ФЗП" localSheetId="29">#REF!</definedName>
    <definedName name="ФЗП" localSheetId="1">#REF!</definedName>
    <definedName name="ФЗП" localSheetId="0">#REF!</definedName>
    <definedName name="ФЗП" localSheetId="24">#REF!</definedName>
    <definedName name="ФЗП" localSheetId="30">#REF!</definedName>
    <definedName name="ФЗП" localSheetId="20">#REF!</definedName>
    <definedName name="ФЗП" localSheetId="26">#REF!</definedName>
    <definedName name="ФЗП" localSheetId="32">#REF!</definedName>
    <definedName name="ФЗП">#REF!</definedName>
    <definedName name="ФЗПсп" localSheetId="21">#REF!</definedName>
    <definedName name="ФЗПсп" localSheetId="27">#REF!</definedName>
    <definedName name="ФЗПсп" localSheetId="33">#REF!</definedName>
    <definedName name="ФЗПсп" localSheetId="19">#REF!</definedName>
    <definedName name="ФЗПсп" localSheetId="25">#REF!</definedName>
    <definedName name="ФЗПсп" localSheetId="31">#REF!</definedName>
    <definedName name="ФЗПсп" localSheetId="12">#REF!</definedName>
    <definedName name="ФЗПсп" localSheetId="2">#REF!</definedName>
    <definedName name="ФЗПсп" localSheetId="22">#REF!</definedName>
    <definedName name="ФЗПсп" localSheetId="28">#REF!</definedName>
    <definedName name="ФЗПсп" localSheetId="6">#REF!</definedName>
    <definedName name="ФЗПсп" localSheetId="14">#REF!</definedName>
    <definedName name="ФЗПсп" localSheetId="17">#REF!</definedName>
    <definedName name="ФЗПсп" localSheetId="15">#REF!</definedName>
    <definedName name="ФЗПсп" localSheetId="18">#REF!</definedName>
    <definedName name="ФЗПсп" localSheetId="16">#REF!</definedName>
    <definedName name="ФЗПсп" localSheetId="3">#REF!</definedName>
    <definedName name="ФЗПсп" localSheetId="23">#REF!</definedName>
    <definedName name="ФЗПсп" localSheetId="29">#REF!</definedName>
    <definedName name="ФЗПсп" localSheetId="1">#REF!</definedName>
    <definedName name="ФЗПсп" localSheetId="0">#REF!</definedName>
    <definedName name="ФЗПсп" localSheetId="24">#REF!</definedName>
    <definedName name="ФЗПсп" localSheetId="30">#REF!</definedName>
    <definedName name="ФЗПсп" localSheetId="20">#REF!</definedName>
    <definedName name="ФЗПсп" localSheetId="26">#REF!</definedName>
    <definedName name="ФЗПсп" localSheetId="32">#REF!</definedName>
    <definedName name="ФЗПсп">#REF!</definedName>
    <definedName name="ФКВ" localSheetId="21">#REF!</definedName>
    <definedName name="ФКВ" localSheetId="27">#REF!</definedName>
    <definedName name="ФКВ" localSheetId="33">#REF!</definedName>
    <definedName name="ФКВ" localSheetId="19">#REF!</definedName>
    <definedName name="ФКВ" localSheetId="25">#REF!</definedName>
    <definedName name="ФКВ" localSheetId="31">#REF!</definedName>
    <definedName name="ФКВ" localSheetId="12">#REF!</definedName>
    <definedName name="ФКВ" localSheetId="2">#REF!</definedName>
    <definedName name="ФКВ" localSheetId="22">#REF!</definedName>
    <definedName name="ФКВ" localSheetId="28">#REF!</definedName>
    <definedName name="ФКВ" localSheetId="6">#REF!</definedName>
    <definedName name="ФКВ" localSheetId="14">#REF!</definedName>
    <definedName name="ФКВ" localSheetId="17">#REF!</definedName>
    <definedName name="ФКВ" localSheetId="15">#REF!</definedName>
    <definedName name="ФКВ" localSheetId="18">#REF!</definedName>
    <definedName name="ФКВ" localSheetId="16">#REF!</definedName>
    <definedName name="ФКВ" localSheetId="3">#REF!</definedName>
    <definedName name="ФКВ" localSheetId="23">#REF!</definedName>
    <definedName name="ФКВ" localSheetId="29">#REF!</definedName>
    <definedName name="ФКВ" localSheetId="1">#REF!</definedName>
    <definedName name="ФКВ" localSheetId="0">#REF!</definedName>
    <definedName name="ФКВ" localSheetId="24">#REF!</definedName>
    <definedName name="ФКВ" localSheetId="30">#REF!</definedName>
    <definedName name="ФКВ" localSheetId="20">#REF!</definedName>
    <definedName name="ФКВ" localSheetId="26">#REF!</definedName>
    <definedName name="ФКВ" localSheetId="32">#REF!</definedName>
    <definedName name="ФКВ">#REF!</definedName>
    <definedName name="фф" localSheetId="12">'[12]Гр5(о)'!#REF!</definedName>
    <definedName name="фф" localSheetId="14">'[12]Гр5(о)'!#REF!</definedName>
    <definedName name="фф" localSheetId="17">'[12]Гр5(о)'!#REF!</definedName>
    <definedName name="фф" localSheetId="15">'[12]Гр5(о)'!#REF!</definedName>
    <definedName name="фф" localSheetId="18">'[12]Гр5(о)'!#REF!</definedName>
    <definedName name="фф" localSheetId="16">'[12]Гр5(о)'!#REF!</definedName>
    <definedName name="фф">'[12]Гр5(о)'!#REF!</definedName>
    <definedName name="фф_14" localSheetId="12">'[12]Гр5(о)'!#REF!</definedName>
    <definedName name="фф_14" localSheetId="14">'[12]Гр5(о)'!#REF!</definedName>
    <definedName name="фф_14" localSheetId="17">'[12]Гр5(о)'!#REF!</definedName>
    <definedName name="фф_14" localSheetId="15">'[12]Гр5(о)'!#REF!</definedName>
    <definedName name="фф_14" localSheetId="18">'[12]Гр5(о)'!#REF!</definedName>
    <definedName name="фф_14" localSheetId="16">'[12]Гр5(о)'!#REF!</definedName>
    <definedName name="фф_14">'[12]Гр5(о)'!#REF!</definedName>
    <definedName name="ффккуеуцкеукеуеуцке" localSheetId="12">#REF!</definedName>
    <definedName name="ффккуеуцкеукеуеуцке" localSheetId="6">#REF!</definedName>
    <definedName name="ффккуеуцкеукеуеуцке" localSheetId="14">#REF!</definedName>
    <definedName name="ффккуеуцкеукеуеуцке" localSheetId="17">#REF!</definedName>
    <definedName name="ффккуеуцкеукеуеуцке" localSheetId="15">#REF!</definedName>
    <definedName name="ффккуеуцкеукеуеуцке" localSheetId="18">#REF!</definedName>
    <definedName name="ффккуеуцкеукеуеуцке" localSheetId="16">#REF!</definedName>
    <definedName name="ффккуеуцкеукеуеуцке">#REF!</definedName>
    <definedName name="ффф" localSheetId="12">#REF!</definedName>
    <definedName name="ффф" localSheetId="6">#REF!</definedName>
    <definedName name="ффф" localSheetId="14">#REF!</definedName>
    <definedName name="ффф" localSheetId="17">#REF!</definedName>
    <definedName name="ффф" localSheetId="15">#REF!</definedName>
    <definedName name="ффф" localSheetId="18">#REF!</definedName>
    <definedName name="ффф" localSheetId="16">#REF!</definedName>
    <definedName name="ффф">#REF!</definedName>
    <definedName name="ффф_14" localSheetId="12">#REF!</definedName>
    <definedName name="ффф_14" localSheetId="6">#REF!</definedName>
    <definedName name="ффф_14" localSheetId="14">#REF!</definedName>
    <definedName name="ффф_14" localSheetId="17">#REF!</definedName>
    <definedName name="ффф_14" localSheetId="15">#REF!</definedName>
    <definedName name="ффф_14" localSheetId="18">#REF!</definedName>
    <definedName name="ффф_14" localSheetId="16">#REF!</definedName>
    <definedName name="ффф_14">#REF!</definedName>
    <definedName name="фяыв" localSheetId="12">#REF!</definedName>
    <definedName name="фяыв" localSheetId="6">#REF!</definedName>
    <definedName name="фяыв" localSheetId="14">#REF!</definedName>
    <definedName name="фяыв" localSheetId="17">#REF!</definedName>
    <definedName name="фяыв" localSheetId="15">#REF!</definedName>
    <definedName name="фяыв" localSheetId="18">#REF!</definedName>
    <definedName name="фяыв" localSheetId="16">#REF!</definedName>
    <definedName name="фяыв">#REF!</definedName>
    <definedName name="цуецуецу" localSheetId="12">#REF!</definedName>
    <definedName name="цуецуецу" localSheetId="6">#REF!</definedName>
    <definedName name="цуецуецу" localSheetId="14">#REF!</definedName>
    <definedName name="цуецуецу" localSheetId="17">#REF!</definedName>
    <definedName name="цуецуецу" localSheetId="15">#REF!</definedName>
    <definedName name="цуецуецу" localSheetId="18">#REF!</definedName>
    <definedName name="цуецуецу" localSheetId="16">#REF!</definedName>
    <definedName name="цуецуецу">#REF!</definedName>
    <definedName name="цук" localSheetId="12">'[13]2002(v2)'!#REF!</definedName>
    <definedName name="цук" localSheetId="14">'[13]2002(v2)'!#REF!</definedName>
    <definedName name="цук" localSheetId="17">'[13]2002(v2)'!#REF!</definedName>
    <definedName name="цук" localSheetId="15">'[13]2002(v2)'!#REF!</definedName>
    <definedName name="цук" localSheetId="18">'[13]2002(v2)'!#REF!</definedName>
    <definedName name="цук" localSheetId="16">'[13]2002(v2)'!#REF!</definedName>
    <definedName name="цук">'[13]2002(v2)'!#REF!</definedName>
    <definedName name="цукеукеук" localSheetId="12">[7]ПРОГНОЗ_1!#REF!</definedName>
    <definedName name="цукеукеук" localSheetId="14">[7]ПРОГНОЗ_1!#REF!</definedName>
    <definedName name="цукеукеук" localSheetId="17">[7]ПРОГНОЗ_1!#REF!</definedName>
    <definedName name="цукеукеук" localSheetId="15">[7]ПРОГНОЗ_1!#REF!</definedName>
    <definedName name="цукеукеук" localSheetId="18">[7]ПРОГНОЗ_1!#REF!</definedName>
    <definedName name="цукеукеук" localSheetId="16">[7]ПРОГНОЗ_1!#REF!</definedName>
    <definedName name="цукеукеук">[7]ПРОГНОЗ_1!#REF!</definedName>
    <definedName name="цукецку" localSheetId="12">[11]ПРОГНОЗ_1!#REF!</definedName>
    <definedName name="цукецку" localSheetId="14">[11]ПРОГНОЗ_1!#REF!</definedName>
    <definedName name="цукецку" localSheetId="17">[11]ПРОГНОЗ_1!#REF!</definedName>
    <definedName name="цукецку" localSheetId="15">[11]ПРОГНОЗ_1!#REF!</definedName>
    <definedName name="цукецку" localSheetId="18">[11]ПРОГНОЗ_1!#REF!</definedName>
    <definedName name="цукецку" localSheetId="16">[11]ПРОГНОЗ_1!#REF!</definedName>
    <definedName name="цукецку">[11]ПРОГНОЗ_1!#REF!</definedName>
    <definedName name="цукецуке" localSheetId="12">#REF!</definedName>
    <definedName name="цукецуке" localSheetId="6">#REF!</definedName>
    <definedName name="цукецуке" localSheetId="14">#REF!</definedName>
    <definedName name="цукецуке" localSheetId="17">#REF!</definedName>
    <definedName name="цукецуке" localSheetId="15">#REF!</definedName>
    <definedName name="цукецуке" localSheetId="18">#REF!</definedName>
    <definedName name="цукецуке" localSheetId="16">#REF!</definedName>
    <definedName name="цукецуке">#REF!</definedName>
    <definedName name="цукецукеуце" localSheetId="12">'[8]Гр5(о)'!#REF!</definedName>
    <definedName name="цукецукеуце" localSheetId="14">'[8]Гр5(о)'!#REF!</definedName>
    <definedName name="цукецукеуце" localSheetId="17">'[8]Гр5(о)'!#REF!</definedName>
    <definedName name="цукецукеуце" localSheetId="15">'[8]Гр5(о)'!#REF!</definedName>
    <definedName name="цукецукеуце" localSheetId="18">'[8]Гр5(о)'!#REF!</definedName>
    <definedName name="цукецукеуце" localSheetId="16">'[8]Гр5(о)'!#REF!</definedName>
    <definedName name="цукецукеуце">'[8]Гр5(о)'!#REF!</definedName>
    <definedName name="цуцуе" localSheetId="12">'[3]Гр5(о)'!#REF!</definedName>
    <definedName name="цуцуе" localSheetId="14">'[3]Гр5(о)'!#REF!</definedName>
    <definedName name="цуцуе" localSheetId="17">'[3]Гр5(о)'!#REF!</definedName>
    <definedName name="цуцуе" localSheetId="15">'[3]Гр5(о)'!#REF!</definedName>
    <definedName name="цуцуе" localSheetId="18">'[3]Гр5(о)'!#REF!</definedName>
    <definedName name="цуцуе" localSheetId="16">'[3]Гр5(о)'!#REF!</definedName>
    <definedName name="цуцуе">'[3]Гр5(о)'!#REF!</definedName>
    <definedName name="чварьлврл" localSheetId="12">[2]ПРОГНОЗ_1!#REF!</definedName>
    <definedName name="чварьлврл" localSheetId="14">[2]ПРОГНОЗ_1!#REF!</definedName>
    <definedName name="чварьлврл" localSheetId="17">[2]ПРОГНОЗ_1!#REF!</definedName>
    <definedName name="чварьлврл" localSheetId="15">[2]ПРОГНОЗ_1!#REF!</definedName>
    <definedName name="чварьлврл" localSheetId="18">[2]ПРОГНОЗ_1!#REF!</definedName>
    <definedName name="чварьлврл" localSheetId="16">[2]ПРОГНОЗ_1!#REF!</definedName>
    <definedName name="чварьлврл">[2]ПРОГНОЗ_1!#REF!</definedName>
    <definedName name="Штат" localSheetId="21">#REF!</definedName>
    <definedName name="Штат" localSheetId="27">#REF!</definedName>
    <definedName name="Штат" localSheetId="33">#REF!</definedName>
    <definedName name="Штат" localSheetId="19">#REF!</definedName>
    <definedName name="Штат" localSheetId="25">#REF!</definedName>
    <definedName name="Штат" localSheetId="31">#REF!</definedName>
    <definedName name="Штат" localSheetId="12">#REF!</definedName>
    <definedName name="Штат" localSheetId="2">#REF!</definedName>
    <definedName name="Штат" localSheetId="22">#REF!</definedName>
    <definedName name="Штат" localSheetId="28">#REF!</definedName>
    <definedName name="Штат" localSheetId="6">#REF!</definedName>
    <definedName name="Штат" localSheetId="14">#REF!</definedName>
    <definedName name="Штат" localSheetId="17">#REF!</definedName>
    <definedName name="Штат" localSheetId="15">#REF!</definedName>
    <definedName name="Штат" localSheetId="18">#REF!</definedName>
    <definedName name="Штат" localSheetId="16">#REF!</definedName>
    <definedName name="Штат" localSheetId="3">#REF!</definedName>
    <definedName name="Штат" localSheetId="23">#REF!</definedName>
    <definedName name="Штат" localSheetId="29">#REF!</definedName>
    <definedName name="Штат" localSheetId="1">#REF!</definedName>
    <definedName name="Штат" localSheetId="0">#REF!</definedName>
    <definedName name="Штат" localSheetId="24">#REF!</definedName>
    <definedName name="Штат" localSheetId="30">#REF!</definedName>
    <definedName name="Штат" localSheetId="20">#REF!</definedName>
    <definedName name="Штат" localSheetId="26">#REF!</definedName>
    <definedName name="Штат" localSheetId="32">#REF!</definedName>
    <definedName name="Штат">#REF!</definedName>
    <definedName name="ыаоапо" localSheetId="12">#REF!</definedName>
    <definedName name="ыаоапо" localSheetId="6">#REF!</definedName>
    <definedName name="ыаоапо" localSheetId="14">#REF!</definedName>
    <definedName name="ыаоапо" localSheetId="17">#REF!</definedName>
    <definedName name="ыаоапо" localSheetId="15">#REF!</definedName>
    <definedName name="ыаоапо" localSheetId="18">#REF!</definedName>
    <definedName name="ыаоапо" localSheetId="16">#REF!</definedName>
    <definedName name="ыаоапо">#REF!</definedName>
    <definedName name="ыапоапо" localSheetId="12">#REF!</definedName>
    <definedName name="ыапоапо" localSheetId="6">#REF!</definedName>
    <definedName name="ыапоапо" localSheetId="14">#REF!</definedName>
    <definedName name="ыапоапо" localSheetId="17">#REF!</definedName>
    <definedName name="ыапоапо" localSheetId="15">#REF!</definedName>
    <definedName name="ыапоапо" localSheetId="18">#REF!</definedName>
    <definedName name="ыапоапо" localSheetId="16">#REF!</definedName>
    <definedName name="ыапоапо">#REF!</definedName>
    <definedName name="ыапоыпао" localSheetId="12">#REF!</definedName>
    <definedName name="ыапоыпао" localSheetId="6">#REF!</definedName>
    <definedName name="ыапоыпао" localSheetId="14">#REF!</definedName>
    <definedName name="ыапоыпао" localSheetId="17">#REF!</definedName>
    <definedName name="ыапоыпао" localSheetId="15">#REF!</definedName>
    <definedName name="ыапоыпао" localSheetId="18">#REF!</definedName>
    <definedName name="ыапоыпао" localSheetId="16">#REF!</definedName>
    <definedName name="ыапоыпао">#REF!</definedName>
    <definedName name="ыпаоапоы" localSheetId="12">#REF!</definedName>
    <definedName name="ыпаоапоы" localSheetId="6">#REF!</definedName>
    <definedName name="ыпаоапоы" localSheetId="14">#REF!</definedName>
    <definedName name="ыпаоапоы" localSheetId="17">#REF!</definedName>
    <definedName name="ыпаоапоы" localSheetId="15">#REF!</definedName>
    <definedName name="ыпаоапоы" localSheetId="18">#REF!</definedName>
    <definedName name="ыпаоапоы" localSheetId="16">#REF!</definedName>
    <definedName name="ыпаоапоы">#REF!</definedName>
    <definedName name="ыпаоыапо" localSheetId="12">[1]ПРОГНОЗ_1!#REF!</definedName>
    <definedName name="ыпаоыапо" localSheetId="14">[1]ПРОГНОЗ_1!#REF!</definedName>
    <definedName name="ыпаоыапо" localSheetId="17">[1]ПРОГНОЗ_1!#REF!</definedName>
    <definedName name="ыпаоыапо" localSheetId="15">[1]ПРОГНОЗ_1!#REF!</definedName>
    <definedName name="ыпаоыапо" localSheetId="18">[1]ПРОГНОЗ_1!#REF!</definedName>
    <definedName name="ыпаоыапо" localSheetId="16">[1]ПРОГНОЗ_1!#REF!</definedName>
    <definedName name="ыпаоыапо">[1]ПРОГНОЗ_1!#REF!</definedName>
  </definedNames>
  <calcPr calcId="162913" fullPrecision="0"/>
</workbook>
</file>

<file path=xl/calcChain.xml><?xml version="1.0" encoding="utf-8"?>
<calcChain xmlns="http://schemas.openxmlformats.org/spreadsheetml/2006/main">
  <c r="P36" i="537" l="1"/>
  <c r="Q40" i="537" l="1"/>
  <c r="L28" i="537" l="1"/>
  <c r="N37" i="537"/>
  <c r="P37" i="537" l="1"/>
  <c r="G62" i="543" l="1"/>
  <c r="G63" i="543"/>
  <c r="K50" i="543" l="1"/>
  <c r="H50" i="543"/>
  <c r="J61" i="543"/>
  <c r="G61" i="543"/>
  <c r="K60" i="543"/>
  <c r="J60" i="543" s="1"/>
  <c r="H60" i="543"/>
  <c r="G60" i="543"/>
  <c r="J59" i="543"/>
  <c r="G59" i="543"/>
  <c r="J58" i="543"/>
  <c r="G58" i="543"/>
  <c r="J56" i="543"/>
  <c r="G56" i="543"/>
  <c r="J55" i="543"/>
  <c r="G55" i="543"/>
  <c r="J54" i="543"/>
  <c r="G54" i="543"/>
  <c r="J53" i="543"/>
  <c r="G53" i="543"/>
  <c r="J52" i="543"/>
  <c r="G52" i="543"/>
  <c r="J51" i="543"/>
  <c r="G51" i="543"/>
  <c r="H48" i="538"/>
  <c r="H58" i="538"/>
  <c r="G58" i="538" s="1"/>
  <c r="G57" i="538"/>
  <c r="G56" i="538"/>
  <c r="G55" i="538"/>
  <c r="G54" i="538"/>
  <c r="G53" i="538"/>
  <c r="G52" i="538"/>
  <c r="G51" i="538"/>
  <c r="G50" i="538"/>
  <c r="G49" i="538"/>
  <c r="O51" i="540" l="1"/>
  <c r="N51" i="540"/>
  <c r="M51" i="540"/>
  <c r="J51" i="540"/>
  <c r="I51" i="540"/>
  <c r="H51" i="540"/>
  <c r="K62" i="136" l="1"/>
  <c r="G62" i="136"/>
  <c r="L19" i="540"/>
  <c r="G19" i="540"/>
  <c r="C62" i="136"/>
  <c r="I22" i="537"/>
  <c r="J22" i="537"/>
  <c r="K22" i="537"/>
  <c r="H22" i="537"/>
  <c r="G23" i="537"/>
  <c r="L40" i="540"/>
  <c r="E46" i="535" l="1"/>
  <c r="E45" i="535"/>
  <c r="E44" i="535"/>
  <c r="E43" i="535"/>
  <c r="E42" i="535"/>
  <c r="E41" i="535"/>
  <c r="E40" i="535"/>
  <c r="E39" i="535"/>
  <c r="E38" i="535"/>
  <c r="E37" i="535"/>
  <c r="E36" i="535"/>
  <c r="E35" i="535"/>
  <c r="E34" i="535"/>
  <c r="E33" i="535"/>
  <c r="E32" i="535"/>
  <c r="E31" i="535"/>
  <c r="E30" i="535"/>
  <c r="E29" i="535"/>
  <c r="E28" i="535"/>
  <c r="E27" i="535"/>
  <c r="J48" i="538" l="1"/>
  <c r="I48" i="538"/>
  <c r="G60" i="538"/>
  <c r="I64" i="136" l="1"/>
  <c r="E64" i="136"/>
  <c r="G12" i="543"/>
  <c r="G12" i="538"/>
  <c r="L21" i="540"/>
  <c r="G21" i="540"/>
  <c r="G47" i="543"/>
  <c r="J48" i="543"/>
  <c r="J47" i="543"/>
  <c r="J38" i="543"/>
  <c r="J39" i="543"/>
  <c r="I11" i="543"/>
  <c r="J21" i="543"/>
  <c r="J29" i="543"/>
  <c r="J30" i="543"/>
  <c r="G28" i="543" l="1"/>
  <c r="G29" i="543"/>
  <c r="G30" i="543"/>
  <c r="G38" i="543"/>
  <c r="G39" i="543"/>
  <c r="K41" i="543" l="1"/>
  <c r="H41" i="543"/>
  <c r="H16" i="543"/>
  <c r="H15" i="543"/>
  <c r="H10" i="538" l="1"/>
  <c r="E19" i="136" s="1"/>
  <c r="H10" i="543"/>
  <c r="H9" i="543" s="1"/>
  <c r="K10" i="543"/>
  <c r="K9" i="543" s="1"/>
  <c r="F11" i="543"/>
  <c r="G11" i="543" s="1"/>
  <c r="H42" i="538"/>
  <c r="K13" i="537" l="1"/>
  <c r="I13" i="537"/>
  <c r="H13" i="537"/>
  <c r="J13" i="537"/>
  <c r="G57" i="537"/>
  <c r="J55" i="537"/>
  <c r="D88" i="136" s="1"/>
  <c r="I55" i="537"/>
  <c r="O13" i="540" l="1"/>
  <c r="N13" i="540"/>
  <c r="M13" i="540"/>
  <c r="J13" i="540"/>
  <c r="I13" i="540"/>
  <c r="H13" i="540"/>
  <c r="J20" i="538"/>
  <c r="I20" i="538"/>
  <c r="J60" i="537"/>
  <c r="H60" i="537"/>
  <c r="H14" i="538" l="1"/>
  <c r="K22" i="543" l="1"/>
  <c r="H22" i="543"/>
  <c r="K16" i="543"/>
  <c r="H22" i="538"/>
  <c r="H34" i="538" l="1"/>
  <c r="H51" i="537" l="1"/>
  <c r="H46" i="537"/>
  <c r="F54" i="537" l="1"/>
  <c r="M11" i="540" l="1"/>
  <c r="H11" i="540"/>
  <c r="H11" i="537"/>
  <c r="H10" i="537" s="1"/>
  <c r="H9" i="537" s="1"/>
  <c r="O22" i="540" l="1"/>
  <c r="J22" i="540"/>
  <c r="I71" i="538" l="1"/>
  <c r="K60" i="537"/>
  <c r="I60" i="537"/>
  <c r="O53" i="540"/>
  <c r="N53" i="540"/>
  <c r="M53" i="540"/>
  <c r="L105" i="136" l="1"/>
  <c r="K105" i="136"/>
  <c r="H105" i="136"/>
  <c r="G105" i="136"/>
  <c r="D105" i="136"/>
  <c r="H53" i="540"/>
  <c r="J53" i="540"/>
  <c r="I53" i="540"/>
  <c r="M39" i="540"/>
  <c r="N39" i="540"/>
  <c r="O39" i="540"/>
  <c r="L58" i="136" s="1"/>
  <c r="J39" i="540"/>
  <c r="H58" i="136" s="1"/>
  <c r="G40" i="540"/>
  <c r="I20" i="540"/>
  <c r="J20" i="540"/>
  <c r="H48" i="136" s="1"/>
  <c r="M20" i="540"/>
  <c r="N20" i="540"/>
  <c r="O20" i="540"/>
  <c r="L48" i="136" s="1"/>
  <c r="H20" i="540"/>
  <c r="H47" i="540"/>
  <c r="K24" i="177"/>
  <c r="H24" i="177"/>
  <c r="K46" i="543" l="1"/>
  <c r="H46" i="543"/>
  <c r="K20" i="543"/>
  <c r="M53" i="136" s="1"/>
  <c r="H20" i="543"/>
  <c r="I53" i="136" s="1"/>
  <c r="G21" i="543"/>
  <c r="I44" i="538" l="1"/>
  <c r="J44" i="538"/>
  <c r="I34" i="538"/>
  <c r="J34" i="538"/>
  <c r="G22" i="538"/>
  <c r="G67" i="538"/>
  <c r="C34" i="174"/>
  <c r="AB47" i="535"/>
  <c r="Y47" i="535"/>
  <c r="S47" i="535"/>
  <c r="P47" i="535"/>
  <c r="M47" i="535"/>
  <c r="AD46" i="535"/>
  <c r="AA46" i="535"/>
  <c r="X46" i="535"/>
  <c r="U46" i="535"/>
  <c r="R46" i="535"/>
  <c r="O46" i="535"/>
  <c r="AD45" i="535"/>
  <c r="AA45" i="535"/>
  <c r="X45" i="535"/>
  <c r="U45" i="535"/>
  <c r="R45" i="535"/>
  <c r="O45" i="535"/>
  <c r="AD44" i="535"/>
  <c r="AA44" i="535"/>
  <c r="X44" i="535"/>
  <c r="U44" i="535"/>
  <c r="R44" i="535"/>
  <c r="O44" i="535"/>
  <c r="AD43" i="535"/>
  <c r="AA43" i="535"/>
  <c r="X43" i="535"/>
  <c r="U43" i="535"/>
  <c r="R43" i="535"/>
  <c r="O43" i="535"/>
  <c r="AD42" i="535"/>
  <c r="AA42" i="535"/>
  <c r="X42" i="535"/>
  <c r="U42" i="535"/>
  <c r="R42" i="535"/>
  <c r="O42" i="535"/>
  <c r="AD41" i="535"/>
  <c r="AA41" i="535"/>
  <c r="X41" i="535"/>
  <c r="U41" i="535"/>
  <c r="R41" i="535"/>
  <c r="O41" i="535"/>
  <c r="AD40" i="535"/>
  <c r="AA40" i="535"/>
  <c r="X40" i="535"/>
  <c r="U40" i="535"/>
  <c r="R40" i="535"/>
  <c r="O40" i="535"/>
  <c r="AD39" i="535"/>
  <c r="AA39" i="535"/>
  <c r="X39" i="535"/>
  <c r="U39" i="535"/>
  <c r="R39" i="535"/>
  <c r="O39" i="535"/>
  <c r="AD38" i="535"/>
  <c r="AA38" i="535"/>
  <c r="X38" i="535"/>
  <c r="U38" i="535"/>
  <c r="R38" i="535"/>
  <c r="O38" i="535"/>
  <c r="AD37" i="535"/>
  <c r="AA37" i="535"/>
  <c r="X37" i="535"/>
  <c r="U37" i="535"/>
  <c r="R37" i="535"/>
  <c r="O37" i="535"/>
  <c r="AD36" i="535"/>
  <c r="AA36" i="535"/>
  <c r="X36" i="535"/>
  <c r="U36" i="535"/>
  <c r="R36" i="535"/>
  <c r="O36" i="535"/>
  <c r="AD35" i="535"/>
  <c r="AA35" i="535"/>
  <c r="X35" i="535"/>
  <c r="U35" i="535"/>
  <c r="R35" i="535"/>
  <c r="O35" i="535"/>
  <c r="AD34" i="535"/>
  <c r="AA34" i="535"/>
  <c r="X34" i="535"/>
  <c r="U34" i="535"/>
  <c r="R34" i="535"/>
  <c r="O34" i="535"/>
  <c r="AD33" i="535"/>
  <c r="AA33" i="535"/>
  <c r="X33" i="535"/>
  <c r="U33" i="535"/>
  <c r="R33" i="535"/>
  <c r="O33" i="535"/>
  <c r="AD32" i="535"/>
  <c r="AA32" i="535"/>
  <c r="X32" i="535"/>
  <c r="U32" i="535"/>
  <c r="R32" i="535"/>
  <c r="O32" i="535"/>
  <c r="AD31" i="535"/>
  <c r="AA31" i="535"/>
  <c r="X31" i="535"/>
  <c r="U31" i="535"/>
  <c r="R31" i="535"/>
  <c r="O31" i="535"/>
  <c r="AD30" i="535"/>
  <c r="AA30" i="535"/>
  <c r="X30" i="535"/>
  <c r="U30" i="535"/>
  <c r="R30" i="535"/>
  <c r="O30" i="535"/>
  <c r="AD29" i="535"/>
  <c r="AA29" i="535"/>
  <c r="X29" i="535"/>
  <c r="U29" i="535"/>
  <c r="R29" i="535"/>
  <c r="O29" i="535"/>
  <c r="AD28" i="535"/>
  <c r="AA28" i="535"/>
  <c r="X28" i="535"/>
  <c r="U28" i="535"/>
  <c r="R28" i="535"/>
  <c r="O28" i="535"/>
  <c r="AD27" i="535"/>
  <c r="AA27" i="535"/>
  <c r="X27" i="535"/>
  <c r="U27" i="535"/>
  <c r="R27" i="535"/>
  <c r="O27" i="535"/>
  <c r="J47" i="535"/>
  <c r="G47" i="535"/>
  <c r="L46" i="535"/>
  <c r="I46" i="535"/>
  <c r="L45" i="535"/>
  <c r="I45" i="535"/>
  <c r="L44" i="535"/>
  <c r="I44" i="535"/>
  <c r="L43" i="535"/>
  <c r="I43" i="535"/>
  <c r="L42" i="535"/>
  <c r="I42" i="535"/>
  <c r="L41" i="535"/>
  <c r="I41" i="535"/>
  <c r="L40" i="535"/>
  <c r="I40" i="535"/>
  <c r="L39" i="535"/>
  <c r="I39" i="535"/>
  <c r="L38" i="535"/>
  <c r="I38" i="535"/>
  <c r="L37" i="535"/>
  <c r="I37" i="535"/>
  <c r="L36" i="535"/>
  <c r="I36" i="535"/>
  <c r="L35" i="535"/>
  <c r="I35" i="535"/>
  <c r="L34" i="535"/>
  <c r="I34" i="535"/>
  <c r="L33" i="535"/>
  <c r="I33" i="535"/>
  <c r="L32" i="535"/>
  <c r="I32" i="535"/>
  <c r="L31" i="535"/>
  <c r="I31" i="535"/>
  <c r="I30" i="535"/>
  <c r="L29" i="535"/>
  <c r="I29" i="535"/>
  <c r="L28" i="535"/>
  <c r="I28" i="535"/>
  <c r="L27" i="535"/>
  <c r="I27" i="535"/>
  <c r="F47" i="535"/>
  <c r="AE32" i="535" l="1"/>
  <c r="AF32" i="535" s="1"/>
  <c r="AG32" i="535" s="1"/>
  <c r="AE40" i="535"/>
  <c r="AF40" i="535" s="1"/>
  <c r="AG40" i="535" s="1"/>
  <c r="X47" i="535"/>
  <c r="AE38" i="535"/>
  <c r="AF38" i="535" s="1"/>
  <c r="AG38" i="535" s="1"/>
  <c r="AA47" i="535"/>
  <c r="AE34" i="535"/>
  <c r="AF34" i="535" s="1"/>
  <c r="AG34" i="535" s="1"/>
  <c r="AE45" i="535"/>
  <c r="AF45" i="535" s="1"/>
  <c r="AG45" i="535" s="1"/>
  <c r="AD47" i="535"/>
  <c r="AE29" i="535"/>
  <c r="AF29" i="535" s="1"/>
  <c r="AG29" i="535" s="1"/>
  <c r="AE42" i="535"/>
  <c r="AF42" i="535" s="1"/>
  <c r="AG42" i="535" s="1"/>
  <c r="AE33" i="535"/>
  <c r="AF33" i="535" s="1"/>
  <c r="AG33" i="535" s="1"/>
  <c r="AE37" i="535"/>
  <c r="AF37" i="535" s="1"/>
  <c r="AG37" i="535" s="1"/>
  <c r="AE28" i="535"/>
  <c r="AF28" i="535" s="1"/>
  <c r="AG28" i="535" s="1"/>
  <c r="AE36" i="535"/>
  <c r="AF36" i="535" s="1"/>
  <c r="AG36" i="535" s="1"/>
  <c r="AE41" i="535"/>
  <c r="AF41" i="535" s="1"/>
  <c r="AG41" i="535" s="1"/>
  <c r="L47" i="535"/>
  <c r="O47" i="535"/>
  <c r="AE31" i="535"/>
  <c r="AF31" i="535" s="1"/>
  <c r="AG31" i="535" s="1"/>
  <c r="AE44" i="535"/>
  <c r="AF44" i="535" s="1"/>
  <c r="AG44" i="535" s="1"/>
  <c r="I47" i="535"/>
  <c r="R47" i="535"/>
  <c r="AE35" i="535"/>
  <c r="AF35" i="535" s="1"/>
  <c r="AG35" i="535" s="1"/>
  <c r="AE39" i="535"/>
  <c r="AF39" i="535" s="1"/>
  <c r="AG39" i="535" s="1"/>
  <c r="U47" i="535"/>
  <c r="AE30" i="535"/>
  <c r="AF30" i="535" s="1"/>
  <c r="AG30" i="535" s="1"/>
  <c r="AE43" i="535"/>
  <c r="AF43" i="535" s="1"/>
  <c r="AG43" i="535" s="1"/>
  <c r="AE46" i="535"/>
  <c r="AF46" i="535" s="1"/>
  <c r="AG46" i="535" s="1"/>
  <c r="AE27" i="535"/>
  <c r="AF27" i="535" s="1"/>
  <c r="AG27" i="535" s="1"/>
  <c r="AE47" i="535" l="1"/>
  <c r="E60" i="535" s="1"/>
  <c r="H65" i="538"/>
  <c r="I65" i="538"/>
  <c r="J65" i="538"/>
  <c r="F68" i="538"/>
  <c r="G68" i="538" s="1"/>
  <c r="G66" i="538"/>
  <c r="K65" i="538"/>
  <c r="G64" i="538"/>
  <c r="H71" i="538" l="1"/>
  <c r="E105" i="136"/>
  <c r="C30" i="174"/>
  <c r="AF47" i="535"/>
  <c r="AG47" i="535"/>
  <c r="G65" i="538"/>
  <c r="G25" i="537"/>
  <c r="K24" i="537"/>
  <c r="D48" i="136" s="1"/>
  <c r="J24" i="537"/>
  <c r="I24" i="537"/>
  <c r="H24" i="537"/>
  <c r="C48" i="136" s="1"/>
  <c r="K71" i="543" l="1"/>
  <c r="H60" i="535"/>
  <c r="H71" i="543"/>
  <c r="G60" i="535"/>
  <c r="H31" i="537"/>
  <c r="H45" i="537"/>
  <c r="G54" i="537"/>
  <c r="G53" i="537"/>
  <c r="G52" i="537"/>
  <c r="K51" i="537"/>
  <c r="J51" i="537"/>
  <c r="I51" i="537"/>
  <c r="G14" i="537"/>
  <c r="D73" i="174" l="1"/>
  <c r="I105" i="136"/>
  <c r="D30" i="174"/>
  <c r="E73" i="174"/>
  <c r="M105" i="136"/>
  <c r="E30" i="174"/>
  <c r="L11" i="537"/>
  <c r="L12" i="537"/>
  <c r="L18" i="537"/>
  <c r="L21" i="537"/>
  <c r="L26" i="537"/>
  <c r="L30" i="537"/>
  <c r="L32" i="537"/>
  <c r="L33" i="537"/>
  <c r="L34" i="537"/>
  <c r="L35" i="537"/>
  <c r="L39" i="537"/>
  <c r="L40" i="537"/>
  <c r="L42" i="537"/>
  <c r="L44" i="537"/>
  <c r="L46" i="537"/>
  <c r="N21" i="538" l="1"/>
  <c r="K21" i="538"/>
  <c r="G21" i="538"/>
  <c r="J68" i="543" l="1"/>
  <c r="G68" i="543"/>
  <c r="K50" i="540" l="1"/>
  <c r="L50" i="540" s="1"/>
  <c r="F50" i="540"/>
  <c r="G50" i="540" s="1"/>
  <c r="L49" i="540"/>
  <c r="G49" i="540"/>
  <c r="L48" i="540"/>
  <c r="G48" i="540"/>
  <c r="M47" i="540"/>
  <c r="N35" i="538" l="1"/>
  <c r="D20" i="136" l="1"/>
  <c r="D21" i="136" l="1"/>
  <c r="G53" i="539" l="1"/>
  <c r="G15" i="539"/>
  <c r="G14" i="539"/>
  <c r="G12" i="539"/>
  <c r="M43" i="538" l="1"/>
  <c r="N43" i="538" s="1"/>
  <c r="N63" i="538" l="1"/>
  <c r="N68" i="538"/>
  <c r="K35" i="538"/>
  <c r="K63" i="538"/>
  <c r="K43" i="538"/>
  <c r="J53" i="539" l="1"/>
  <c r="J51" i="539"/>
  <c r="J49" i="539"/>
  <c r="J47" i="539"/>
  <c r="J45" i="539"/>
  <c r="J43" i="539"/>
  <c r="J42" i="539"/>
  <c r="J41" i="539"/>
  <c r="J40" i="539"/>
  <c r="J38" i="539"/>
  <c r="J37" i="539"/>
  <c r="J36" i="539"/>
  <c r="J34" i="539"/>
  <c r="J32" i="539"/>
  <c r="J31" i="539"/>
  <c r="J30" i="539"/>
  <c r="J29" i="539"/>
  <c r="J28" i="539"/>
  <c r="J26" i="539"/>
  <c r="J24" i="539"/>
  <c r="J22" i="539"/>
  <c r="J19" i="539"/>
  <c r="J16" i="539"/>
  <c r="J15" i="539"/>
  <c r="J14" i="539"/>
  <c r="M53" i="539"/>
  <c r="M51" i="539"/>
  <c r="M49" i="539"/>
  <c r="M47" i="539"/>
  <c r="M45" i="539"/>
  <c r="M43" i="539"/>
  <c r="M42" i="539"/>
  <c r="M41" i="539"/>
  <c r="M40" i="539"/>
  <c r="M38" i="539"/>
  <c r="M37" i="539"/>
  <c r="M36" i="539"/>
  <c r="M34" i="539"/>
  <c r="M32" i="539"/>
  <c r="M31" i="539"/>
  <c r="M30" i="539"/>
  <c r="M29" i="539"/>
  <c r="M28" i="539"/>
  <c r="M26" i="539"/>
  <c r="M24" i="539"/>
  <c r="M22" i="539"/>
  <c r="M19" i="539"/>
  <c r="M16" i="539"/>
  <c r="M15" i="539"/>
  <c r="M14" i="539"/>
  <c r="J12" i="539"/>
  <c r="J11" i="539"/>
  <c r="M12" i="539"/>
  <c r="M11" i="539"/>
  <c r="N27" i="538" l="1"/>
  <c r="G56" i="535" l="1"/>
  <c r="F56" i="535"/>
  <c r="E56" i="535"/>
  <c r="J71" i="538" s="1"/>
  <c r="J62" i="538" l="1"/>
  <c r="J61" i="538" s="1"/>
  <c r="J41" i="538"/>
  <c r="J31" i="538"/>
  <c r="J23" i="538"/>
  <c r="J17" i="538"/>
  <c r="J13" i="538" s="1"/>
  <c r="J14" i="538"/>
  <c r="J9" i="538"/>
  <c r="H41" i="538" l="1"/>
  <c r="N41" i="538"/>
  <c r="E48" i="136"/>
  <c r="K16" i="538" l="1"/>
  <c r="N16" i="538"/>
  <c r="P18" i="537" l="1"/>
  <c r="H17" i="538" l="1"/>
  <c r="G18" i="538"/>
  <c r="P32" i="537"/>
  <c r="O50" i="537" l="1"/>
  <c r="P50" i="537" s="1"/>
  <c r="H44" i="538" l="1"/>
  <c r="N46" i="538" l="1"/>
  <c r="N47" i="538"/>
  <c r="N25" i="538"/>
  <c r="N26" i="538"/>
  <c r="N29" i="538"/>
  <c r="N30" i="538"/>
  <c r="N24" i="538"/>
  <c r="I46" i="537" l="1"/>
  <c r="I45" i="537" l="1"/>
  <c r="C76" i="136"/>
  <c r="N36" i="538"/>
  <c r="H23" i="538"/>
  <c r="G30" i="538"/>
  <c r="K30" i="538"/>
  <c r="F45" i="538"/>
  <c r="N28" i="538" l="1"/>
  <c r="N33" i="538"/>
  <c r="N32" i="538"/>
  <c r="N15" i="538"/>
  <c r="N11" i="538"/>
  <c r="K11" i="538"/>
  <c r="K15" i="538"/>
  <c r="K17" i="538"/>
  <c r="K25" i="538"/>
  <c r="K26" i="538"/>
  <c r="K27" i="538"/>
  <c r="K28" i="538"/>
  <c r="K29" i="538"/>
  <c r="K24" i="538"/>
  <c r="K33" i="538"/>
  <c r="K32" i="538"/>
  <c r="K37" i="538"/>
  <c r="K38" i="538"/>
  <c r="K39" i="538"/>
  <c r="K40" i="538"/>
  <c r="K36" i="538"/>
  <c r="K45" i="538"/>
  <c r="K46" i="538"/>
  <c r="K48" i="538"/>
  <c r="K59" i="538"/>
  <c r="K47" i="538"/>
  <c r="P39" i="537" l="1"/>
  <c r="P30" i="537"/>
  <c r="L50" i="537"/>
  <c r="P40" i="537"/>
  <c r="P33" i="537"/>
  <c r="P34" i="537"/>
  <c r="P35" i="537"/>
  <c r="L114" i="519" l="1"/>
  <c r="F19" i="177"/>
  <c r="G47" i="538" l="1"/>
  <c r="G40" i="538" l="1"/>
  <c r="H20" i="538" l="1"/>
  <c r="E53" i="136" l="1"/>
  <c r="H62" i="538"/>
  <c r="H61" i="538" s="1"/>
  <c r="E76" i="136" s="1"/>
  <c r="H35" i="543"/>
  <c r="K14" i="543"/>
  <c r="H43" i="537"/>
  <c r="P46" i="537" l="1"/>
  <c r="J37" i="543"/>
  <c r="J40" i="543"/>
  <c r="J41" i="543"/>
  <c r="G37" i="543"/>
  <c r="G40" i="543"/>
  <c r="G41" i="543"/>
  <c r="G36" i="543"/>
  <c r="G12" i="537" l="1"/>
  <c r="G21" i="537"/>
  <c r="G27" i="537"/>
  <c r="G29" i="537"/>
  <c r="G32" i="537"/>
  <c r="G33" i="537"/>
  <c r="G34" i="537"/>
  <c r="G35" i="537"/>
  <c r="G37" i="537"/>
  <c r="G38" i="537"/>
  <c r="G39" i="537"/>
  <c r="G41" i="537"/>
  <c r="G42" i="537"/>
  <c r="G44" i="537"/>
  <c r="G47" i="537"/>
  <c r="G48" i="537"/>
  <c r="G49" i="537"/>
  <c r="G50" i="537"/>
  <c r="G11" i="537"/>
  <c r="K35" i="543"/>
  <c r="G36" i="538"/>
  <c r="G37" i="538"/>
  <c r="G38" i="538"/>
  <c r="G39" i="538"/>
  <c r="K42" i="543" l="1"/>
  <c r="H42" i="543"/>
  <c r="J45" i="543"/>
  <c r="G45" i="543"/>
  <c r="G43" i="538"/>
  <c r="K65" i="543" l="1"/>
  <c r="K64" i="543" s="1"/>
  <c r="M76" i="136" s="1"/>
  <c r="K23" i="543"/>
  <c r="K32" i="543"/>
  <c r="D50" i="136"/>
  <c r="D23" i="136"/>
  <c r="I41" i="538"/>
  <c r="J44" i="543" l="1"/>
  <c r="G44" i="543"/>
  <c r="J43" i="543"/>
  <c r="G43" i="543"/>
  <c r="G42" i="538"/>
  <c r="I10" i="543" l="1"/>
  <c r="F10" i="543"/>
  <c r="F11" i="538"/>
  <c r="G11" i="538" s="1"/>
  <c r="G19" i="177" l="1"/>
  <c r="H19" i="177"/>
  <c r="I19" i="177"/>
  <c r="J19" i="177"/>
  <c r="K19" i="177"/>
  <c r="L19" i="177"/>
  <c r="M19" i="177"/>
  <c r="J63" i="543" l="1"/>
  <c r="J27" i="543"/>
  <c r="G27" i="543"/>
  <c r="J28" i="543"/>
  <c r="H17" i="543"/>
  <c r="K17" i="543"/>
  <c r="H14" i="543"/>
  <c r="J16" i="543"/>
  <c r="J15" i="543"/>
  <c r="G15" i="543"/>
  <c r="G16" i="543"/>
  <c r="K13" i="543" l="1"/>
  <c r="M64" i="136"/>
  <c r="G63" i="538"/>
  <c r="G62" i="538" s="1"/>
  <c r="I62" i="538"/>
  <c r="I61" i="538" s="1"/>
  <c r="G59" i="538"/>
  <c r="G29" i="538"/>
  <c r="G28" i="538"/>
  <c r="N59" i="538" l="1"/>
  <c r="I14" i="538"/>
  <c r="I17" i="538"/>
  <c r="G16" i="538"/>
  <c r="G15" i="538"/>
  <c r="E49" i="136" l="1"/>
  <c r="N17" i="538"/>
  <c r="G10" i="543"/>
  <c r="L38" i="540" l="1"/>
  <c r="G38" i="540"/>
  <c r="J10" i="543" l="1"/>
  <c r="J15" i="542"/>
  <c r="K21" i="542"/>
  <c r="H21" i="542"/>
  <c r="J14" i="542"/>
  <c r="G14" i="542"/>
  <c r="J34" i="543"/>
  <c r="J33" i="543"/>
  <c r="G34" i="543"/>
  <c r="G33" i="543"/>
  <c r="H32" i="543"/>
  <c r="H31" i="538" l="1"/>
  <c r="H13" i="538" s="1"/>
  <c r="G32" i="538"/>
  <c r="H9" i="538" l="1"/>
  <c r="J51" i="542"/>
  <c r="G51" i="542"/>
  <c r="I50" i="539"/>
  <c r="H50" i="539"/>
  <c r="G51" i="539"/>
  <c r="G27" i="538"/>
  <c r="M19" i="136" l="1"/>
  <c r="N88" i="519"/>
  <c r="M89" i="519"/>
  <c r="N89" i="519"/>
  <c r="I19" i="136"/>
  <c r="M63" i="136"/>
  <c r="M66" i="136"/>
  <c r="M60" i="136"/>
  <c r="M58" i="136"/>
  <c r="M57" i="136"/>
  <c r="M49" i="136"/>
  <c r="K69" i="543" l="1"/>
  <c r="M48" i="136"/>
  <c r="M46" i="136" s="1"/>
  <c r="J66" i="543" l="1"/>
  <c r="J67" i="543"/>
  <c r="J49" i="543"/>
  <c r="J36" i="543"/>
  <c r="J25" i="543"/>
  <c r="J26" i="543"/>
  <c r="J31" i="543"/>
  <c r="J24" i="543"/>
  <c r="J22" i="543"/>
  <c r="J19" i="543"/>
  <c r="J18" i="543"/>
  <c r="G67" i="543"/>
  <c r="G66" i="543"/>
  <c r="G49" i="543"/>
  <c r="G48" i="543"/>
  <c r="G31" i="543"/>
  <c r="G26" i="543"/>
  <c r="G25" i="543"/>
  <c r="G24" i="543"/>
  <c r="G22" i="543"/>
  <c r="G19" i="543"/>
  <c r="G18" i="543"/>
  <c r="X202" i="543"/>
  <c r="H65" i="543"/>
  <c r="H64" i="543" s="1"/>
  <c r="I76" i="136" s="1"/>
  <c r="I63" i="136"/>
  <c r="I66" i="136"/>
  <c r="I60" i="136"/>
  <c r="I58" i="136"/>
  <c r="H23" i="543"/>
  <c r="H13" i="543" s="1"/>
  <c r="I49" i="136"/>
  <c r="E63" i="136"/>
  <c r="G45" i="538"/>
  <c r="G46" i="538"/>
  <c r="G35" i="538"/>
  <c r="H69" i="538" l="1"/>
  <c r="H72" i="538" s="1"/>
  <c r="I57" i="136"/>
  <c r="I48" i="136"/>
  <c r="E60" i="136"/>
  <c r="I46" i="136" l="1"/>
  <c r="H69" i="543"/>
  <c r="H72" i="543" s="1"/>
  <c r="K72" i="543"/>
  <c r="I9" i="538" l="1"/>
  <c r="G33" i="538" l="1"/>
  <c r="G26" i="538"/>
  <c r="G25" i="538"/>
  <c r="G24" i="538"/>
  <c r="I20" i="537" l="1"/>
  <c r="I9" i="183" l="1"/>
  <c r="M21" i="177"/>
  <c r="F21" i="177"/>
  <c r="I15" i="183" l="1"/>
  <c r="I56" i="539"/>
  <c r="E67" i="174"/>
  <c r="G21" i="177" l="1"/>
  <c r="K21" i="177"/>
  <c r="D67" i="174" s="1"/>
  <c r="I21" i="177"/>
  <c r="C67" i="174" s="1"/>
  <c r="H21" i="177"/>
  <c r="C66" i="174" s="1"/>
  <c r="G9" i="177"/>
  <c r="C64" i="174" l="1"/>
  <c r="C71" i="174" s="1"/>
  <c r="M60" i="519" l="1"/>
  <c r="N62" i="519"/>
  <c r="M62" i="519"/>
  <c r="L62" i="519"/>
  <c r="N51" i="519"/>
  <c r="M51" i="519"/>
  <c r="L51" i="519"/>
  <c r="N63" i="136" l="1"/>
  <c r="N48" i="136"/>
  <c r="J63" i="136"/>
  <c r="J48" i="136"/>
  <c r="J53" i="542"/>
  <c r="K52" i="542"/>
  <c r="N64" i="136" s="1"/>
  <c r="J49" i="542"/>
  <c r="K48" i="542"/>
  <c r="N66" i="136" s="1"/>
  <c r="J47" i="542"/>
  <c r="K46" i="542"/>
  <c r="N60" i="136" s="1"/>
  <c r="J45" i="542"/>
  <c r="K44" i="542"/>
  <c r="N58" i="136" s="1"/>
  <c r="J43" i="542"/>
  <c r="J42" i="542"/>
  <c r="J41" i="542"/>
  <c r="J40" i="542"/>
  <c r="K39" i="542"/>
  <c r="N57" i="136" s="1"/>
  <c r="J38" i="542"/>
  <c r="J37" i="542"/>
  <c r="J36" i="542"/>
  <c r="K35" i="542"/>
  <c r="N54" i="136" s="1"/>
  <c r="J34" i="542"/>
  <c r="K33" i="542"/>
  <c r="J32" i="542"/>
  <c r="J31" i="542"/>
  <c r="J30" i="542"/>
  <c r="J29" i="542"/>
  <c r="J28" i="542"/>
  <c r="K27" i="542"/>
  <c r="N53" i="136" s="1"/>
  <c r="J26" i="542"/>
  <c r="K25" i="542"/>
  <c r="J24" i="542"/>
  <c r="J22" i="542"/>
  <c r="N39" i="136"/>
  <c r="J19" i="542"/>
  <c r="K18" i="542"/>
  <c r="N32" i="136" s="1"/>
  <c r="J16" i="542"/>
  <c r="J12" i="542"/>
  <c r="J11" i="542"/>
  <c r="K10" i="542"/>
  <c r="N11" i="136" s="1"/>
  <c r="G53" i="542"/>
  <c r="G49" i="542"/>
  <c r="G47" i="542"/>
  <c r="G45" i="542"/>
  <c r="G41" i="542"/>
  <c r="G42" i="542"/>
  <c r="G43" i="542"/>
  <c r="G40" i="542"/>
  <c r="G38" i="542"/>
  <c r="G37" i="542"/>
  <c r="G36" i="542"/>
  <c r="G34" i="542"/>
  <c r="G29" i="542"/>
  <c r="G30" i="542"/>
  <c r="G31" i="542"/>
  <c r="G32" i="542"/>
  <c r="G28" i="542"/>
  <c r="G26" i="542"/>
  <c r="G24" i="542"/>
  <c r="G22" i="542"/>
  <c r="G19" i="542"/>
  <c r="G16" i="542"/>
  <c r="G12" i="542"/>
  <c r="G11" i="542"/>
  <c r="X187" i="542"/>
  <c r="H52" i="542"/>
  <c r="J64" i="136" s="1"/>
  <c r="H48" i="542"/>
  <c r="J66" i="136" s="1"/>
  <c r="H46" i="542"/>
  <c r="J60" i="136" s="1"/>
  <c r="H44" i="542"/>
  <c r="J58" i="136" s="1"/>
  <c r="H39" i="542"/>
  <c r="J57" i="136" s="1"/>
  <c r="H35" i="542"/>
  <c r="J54" i="136" s="1"/>
  <c r="H33" i="542"/>
  <c r="H27" i="542"/>
  <c r="J53" i="136" s="1"/>
  <c r="H25" i="542"/>
  <c r="H20" i="542"/>
  <c r="H18" i="542"/>
  <c r="H17" i="542" s="1"/>
  <c r="G15" i="542"/>
  <c r="H10" i="542"/>
  <c r="J11" i="136" s="1"/>
  <c r="M88" i="519"/>
  <c r="K23" i="542" l="1"/>
  <c r="H23" i="542"/>
  <c r="J49" i="136"/>
  <c r="J46" i="136" s="1"/>
  <c r="N49" i="136"/>
  <c r="N46" i="136" s="1"/>
  <c r="K13" i="542"/>
  <c r="H13" i="542"/>
  <c r="H54" i="542" s="1"/>
  <c r="K20" i="542"/>
  <c r="K17" i="542"/>
  <c r="H9" i="542"/>
  <c r="J32" i="136"/>
  <c r="J39" i="136"/>
  <c r="K9" i="542"/>
  <c r="K54" i="542" l="1"/>
  <c r="H57" i="542"/>
  <c r="K57" i="542"/>
  <c r="L50" i="136"/>
  <c r="L20" i="136"/>
  <c r="K50" i="136"/>
  <c r="H50" i="136" l="1"/>
  <c r="H20" i="136"/>
  <c r="G50" i="136" l="1"/>
  <c r="I18" i="136"/>
  <c r="J18" i="136"/>
  <c r="M18" i="136"/>
  <c r="N18" i="136"/>
  <c r="I24" i="540" l="1"/>
  <c r="J24" i="540"/>
  <c r="I22" i="540"/>
  <c r="I16" i="540"/>
  <c r="I15" i="540" s="1"/>
  <c r="J16" i="540"/>
  <c r="G11" i="540"/>
  <c r="H51" i="136" l="1"/>
  <c r="H49" i="136"/>
  <c r="J15" i="540"/>
  <c r="H39" i="136"/>
  <c r="L26" i="540"/>
  <c r="L46" i="540"/>
  <c r="L44" i="540"/>
  <c r="L45" i="540"/>
  <c r="L43" i="540"/>
  <c r="L37" i="540"/>
  <c r="L35" i="540"/>
  <c r="L34" i="540"/>
  <c r="L33" i="540"/>
  <c r="L29" i="540"/>
  <c r="L30" i="540"/>
  <c r="L31" i="540"/>
  <c r="L28" i="540"/>
  <c r="L25" i="540"/>
  <c r="L23" i="540"/>
  <c r="L17" i="540"/>
  <c r="L14" i="540"/>
  <c r="L11" i="540"/>
  <c r="G46" i="540"/>
  <c r="G44" i="540"/>
  <c r="G45" i="540"/>
  <c r="G43" i="540"/>
  <c r="G37" i="540"/>
  <c r="G34" i="540"/>
  <c r="G35" i="540"/>
  <c r="G33" i="540"/>
  <c r="G29" i="540"/>
  <c r="G30" i="540"/>
  <c r="G31" i="540"/>
  <c r="G28" i="540"/>
  <c r="G26" i="540"/>
  <c r="G25" i="540"/>
  <c r="G23" i="540"/>
  <c r="G17" i="540"/>
  <c r="G14" i="540"/>
  <c r="L12" i="540"/>
  <c r="G12" i="540"/>
  <c r="O42" i="540"/>
  <c r="O41" i="540" s="1"/>
  <c r="N42" i="540"/>
  <c r="M42" i="540"/>
  <c r="M41" i="540" s="1"/>
  <c r="K76" i="136" s="1"/>
  <c r="O36" i="540"/>
  <c r="N36" i="540"/>
  <c r="M36" i="540"/>
  <c r="K57" i="136" s="1"/>
  <c r="O32" i="540"/>
  <c r="N32" i="540"/>
  <c r="M32" i="540"/>
  <c r="K54" i="136" s="1"/>
  <c r="O27" i="540"/>
  <c r="N27" i="540"/>
  <c r="M27" i="540"/>
  <c r="K53" i="136" s="1"/>
  <c r="O24" i="540"/>
  <c r="O18" i="540" s="1"/>
  <c r="N24" i="540"/>
  <c r="M24" i="540"/>
  <c r="K51" i="136" s="1"/>
  <c r="N22" i="540"/>
  <c r="M22" i="540"/>
  <c r="O16" i="540"/>
  <c r="O15" i="540" s="1"/>
  <c r="N16" i="540"/>
  <c r="M16" i="540"/>
  <c r="O10" i="540"/>
  <c r="L11" i="136" s="1"/>
  <c r="L14" i="136" s="1"/>
  <c r="N10" i="540"/>
  <c r="N9" i="540" s="1"/>
  <c r="M10" i="540"/>
  <c r="N18" i="540" l="1"/>
  <c r="M18" i="540"/>
  <c r="L49" i="136"/>
  <c r="K18" i="136"/>
  <c r="L51" i="136"/>
  <c r="L54" i="136"/>
  <c r="N41" i="540"/>
  <c r="L76" i="136"/>
  <c r="L57" i="136"/>
  <c r="O9" i="540"/>
  <c r="L53" i="136"/>
  <c r="N15" i="540"/>
  <c r="L39" i="136"/>
  <c r="L18" i="136"/>
  <c r="K49" i="136"/>
  <c r="K46" i="136" s="1"/>
  <c r="M15" i="540"/>
  <c r="K39" i="136"/>
  <c r="M9" i="540"/>
  <c r="K11" i="136"/>
  <c r="N68" i="519" s="1"/>
  <c r="L46" i="136" l="1"/>
  <c r="N54" i="540"/>
  <c r="M54" i="540"/>
  <c r="N72" i="519"/>
  <c r="O55" i="540"/>
  <c r="N69" i="519"/>
  <c r="U184" i="540"/>
  <c r="J42" i="540"/>
  <c r="I42" i="540"/>
  <c r="I41" i="540" s="1"/>
  <c r="H42" i="540"/>
  <c r="H41" i="540" s="1"/>
  <c r="G76" i="136" s="1"/>
  <c r="J36" i="540"/>
  <c r="H57" i="136" s="1"/>
  <c r="I36" i="540"/>
  <c r="H36" i="540"/>
  <c r="G57" i="136" s="1"/>
  <c r="J32" i="540"/>
  <c r="H54" i="136" s="1"/>
  <c r="I32" i="540"/>
  <c r="H32" i="540"/>
  <c r="J27" i="540"/>
  <c r="I27" i="540"/>
  <c r="H27" i="540"/>
  <c r="G53" i="136" s="1"/>
  <c r="H24" i="540"/>
  <c r="G51" i="136" s="1"/>
  <c r="H22" i="540"/>
  <c r="H18" i="540" s="1"/>
  <c r="H16" i="540"/>
  <c r="J10" i="540"/>
  <c r="J9" i="540" s="1"/>
  <c r="I10" i="540"/>
  <c r="H10" i="540"/>
  <c r="F63" i="136"/>
  <c r="I44" i="539"/>
  <c r="H44" i="539"/>
  <c r="F58" i="136" s="1"/>
  <c r="G45" i="539"/>
  <c r="G24" i="539"/>
  <c r="G11" i="539"/>
  <c r="L89" i="519"/>
  <c r="L88" i="519"/>
  <c r="D95" i="136"/>
  <c r="D103" i="136" s="1"/>
  <c r="F95" i="136"/>
  <c r="F103" i="136" s="1"/>
  <c r="G95" i="136"/>
  <c r="H95" i="136"/>
  <c r="H103" i="136" s="1"/>
  <c r="I95" i="136"/>
  <c r="I103" i="136" s="1"/>
  <c r="J95" i="136"/>
  <c r="J103" i="136" s="1"/>
  <c r="K95" i="136"/>
  <c r="K103" i="136" s="1"/>
  <c r="L95" i="136"/>
  <c r="L103" i="136" s="1"/>
  <c r="M95" i="136"/>
  <c r="M103" i="136" s="1"/>
  <c r="N95" i="136"/>
  <c r="N103" i="136" s="1"/>
  <c r="C95" i="136"/>
  <c r="C103" i="136" s="1"/>
  <c r="G103" i="136"/>
  <c r="I18" i="540" l="1"/>
  <c r="J18" i="540"/>
  <c r="H53" i="136"/>
  <c r="G54" i="136"/>
  <c r="O54" i="540"/>
  <c r="H11" i="136"/>
  <c r="H14" i="136" s="1"/>
  <c r="I9" i="540"/>
  <c r="J41" i="540"/>
  <c r="H76" i="136"/>
  <c r="G18" i="136"/>
  <c r="N55" i="540"/>
  <c r="G49" i="136"/>
  <c r="G46" i="136" s="1"/>
  <c r="H15" i="540"/>
  <c r="G39" i="136"/>
  <c r="M72" i="519" s="1"/>
  <c r="H9" i="540"/>
  <c r="G11" i="136"/>
  <c r="L86" i="519"/>
  <c r="E95" i="136"/>
  <c r="E103" i="136" s="1"/>
  <c r="D84" i="136"/>
  <c r="C84" i="136"/>
  <c r="C91" i="136" s="1"/>
  <c r="E84" i="136"/>
  <c r="E91" i="136" s="1"/>
  <c r="F84" i="136"/>
  <c r="F91" i="136" s="1"/>
  <c r="G84" i="136"/>
  <c r="H84" i="136"/>
  <c r="H91" i="136" s="1"/>
  <c r="I84" i="136"/>
  <c r="I91" i="136" s="1"/>
  <c r="J84" i="136"/>
  <c r="J91" i="136" s="1"/>
  <c r="K84" i="136"/>
  <c r="L84" i="136"/>
  <c r="L91" i="136" s="1"/>
  <c r="M84" i="136"/>
  <c r="M91" i="136" s="1"/>
  <c r="N84" i="136"/>
  <c r="N91" i="136" s="1"/>
  <c r="I31" i="538"/>
  <c r="E58" i="136" s="1"/>
  <c r="G49" i="539"/>
  <c r="G47" i="539"/>
  <c r="G41" i="539"/>
  <c r="G42" i="539"/>
  <c r="G43" i="539"/>
  <c r="G40" i="539"/>
  <c r="G37" i="539"/>
  <c r="G38" i="539"/>
  <c r="G36" i="539"/>
  <c r="G34" i="539"/>
  <c r="G29" i="539"/>
  <c r="G30" i="539"/>
  <c r="G31" i="539"/>
  <c r="G32" i="539"/>
  <c r="G28" i="539"/>
  <c r="G26" i="539"/>
  <c r="G22" i="539"/>
  <c r="G19" i="539"/>
  <c r="G16" i="539"/>
  <c r="H46" i="136" l="1"/>
  <c r="I55" i="540"/>
  <c r="H54" i="540"/>
  <c r="M68" i="519"/>
  <c r="G91" i="136"/>
  <c r="M81" i="519"/>
  <c r="K91" i="136"/>
  <c r="N81" i="519"/>
  <c r="D91" i="136"/>
  <c r="L81" i="519"/>
  <c r="I54" i="540" l="1"/>
  <c r="Y187" i="539"/>
  <c r="I52" i="539"/>
  <c r="H52" i="539"/>
  <c r="I48" i="539"/>
  <c r="H48" i="539"/>
  <c r="I46" i="539"/>
  <c r="H46" i="539"/>
  <c r="I39" i="539"/>
  <c r="H39" i="539"/>
  <c r="I35" i="539"/>
  <c r="H35" i="539"/>
  <c r="I33" i="539"/>
  <c r="H33" i="539"/>
  <c r="I27" i="539"/>
  <c r="H27" i="539"/>
  <c r="I25" i="539"/>
  <c r="H25" i="539"/>
  <c r="I21" i="539"/>
  <c r="I20" i="539" s="1"/>
  <c r="H21" i="539"/>
  <c r="I18" i="539"/>
  <c r="H18" i="539"/>
  <c r="H17" i="539" s="1"/>
  <c r="I13" i="539"/>
  <c r="F19" i="136"/>
  <c r="I10" i="539"/>
  <c r="I9" i="539" s="1"/>
  <c r="H10" i="539"/>
  <c r="F54" i="136" l="1"/>
  <c r="F64" i="136"/>
  <c r="F57" i="136"/>
  <c r="I23" i="539"/>
  <c r="H23" i="539"/>
  <c r="F53" i="136"/>
  <c r="F60" i="136"/>
  <c r="F18" i="136"/>
  <c r="H13" i="539"/>
  <c r="F66" i="136"/>
  <c r="F32" i="136"/>
  <c r="F11" i="136"/>
  <c r="H9" i="539"/>
  <c r="F49" i="136"/>
  <c r="F46" i="136" s="1"/>
  <c r="F39" i="136"/>
  <c r="H20" i="539"/>
  <c r="I17" i="539"/>
  <c r="H54" i="539" l="1"/>
  <c r="I54" i="539"/>
  <c r="I57" i="539" s="1"/>
  <c r="C50" i="136" l="1"/>
  <c r="C23" i="136" l="1"/>
  <c r="Z201" i="538" l="1"/>
  <c r="N48" i="538"/>
  <c r="I23" i="538"/>
  <c r="I13" i="538" s="1"/>
  <c r="E66" i="136" l="1"/>
  <c r="E57" i="136"/>
  <c r="E31" i="136"/>
  <c r="E46" i="136" l="1"/>
  <c r="M47" i="519"/>
  <c r="N47" i="519" l="1"/>
  <c r="L47" i="519" l="1"/>
  <c r="I43" i="537" l="1"/>
  <c r="J43" i="537"/>
  <c r="K43" i="537"/>
  <c r="I40" i="537"/>
  <c r="J40" i="537"/>
  <c r="K40" i="537"/>
  <c r="H40" i="537"/>
  <c r="I36" i="537"/>
  <c r="J36" i="537"/>
  <c r="K36" i="537"/>
  <c r="H36" i="537"/>
  <c r="K31" i="537"/>
  <c r="J31" i="537"/>
  <c r="I31" i="537"/>
  <c r="C53" i="136" l="1"/>
  <c r="D53" i="136"/>
  <c r="D57" i="136"/>
  <c r="D54" i="136"/>
  <c r="D60" i="136"/>
  <c r="C57" i="136"/>
  <c r="C54" i="136"/>
  <c r="C60" i="136"/>
  <c r="I28" i="537" l="1"/>
  <c r="J28" i="537"/>
  <c r="K28" i="537"/>
  <c r="H28" i="537"/>
  <c r="P28" i="537" l="1"/>
  <c r="C51" i="136"/>
  <c r="D51" i="136"/>
  <c r="E74" i="136"/>
  <c r="E80" i="136" s="1"/>
  <c r="F74" i="136"/>
  <c r="F80" i="136" s="1"/>
  <c r="G74" i="136"/>
  <c r="H74" i="136"/>
  <c r="H80" i="136" s="1"/>
  <c r="I74" i="136"/>
  <c r="I80" i="136" s="1"/>
  <c r="J74" i="136"/>
  <c r="J80" i="136" s="1"/>
  <c r="K74" i="136"/>
  <c r="L74" i="136"/>
  <c r="L80" i="136" s="1"/>
  <c r="M74" i="136"/>
  <c r="M80" i="136" s="1"/>
  <c r="N74" i="136"/>
  <c r="N80" i="136" s="1"/>
  <c r="K46" i="537"/>
  <c r="K45" i="537" s="1"/>
  <c r="J46" i="537"/>
  <c r="D76" i="136" l="1"/>
  <c r="D74" i="136" s="1"/>
  <c r="D80" i="136" s="1"/>
  <c r="G80" i="136"/>
  <c r="M104" i="519"/>
  <c r="K80" i="136"/>
  <c r="N104" i="519"/>
  <c r="J45" i="537"/>
  <c r="C74" i="136"/>
  <c r="I26" i="537"/>
  <c r="J26" i="537"/>
  <c r="K26" i="537"/>
  <c r="H26" i="537"/>
  <c r="I19" i="537"/>
  <c r="J20" i="537"/>
  <c r="K20" i="537"/>
  <c r="K19" i="537" s="1"/>
  <c r="H20" i="537"/>
  <c r="C39" i="136" s="1"/>
  <c r="K10" i="537"/>
  <c r="K9" i="537" s="1"/>
  <c r="J10" i="537"/>
  <c r="J9" i="537" s="1"/>
  <c r="I10" i="537"/>
  <c r="I9" i="537" s="1"/>
  <c r="K58" i="537" l="1"/>
  <c r="I58" i="537"/>
  <c r="C49" i="136"/>
  <c r="C46" i="136" s="1"/>
  <c r="P26" i="537"/>
  <c r="D11" i="136"/>
  <c r="D14" i="136" s="1"/>
  <c r="D39" i="136"/>
  <c r="D49" i="136"/>
  <c r="D46" i="136" s="1"/>
  <c r="C11" i="136"/>
  <c r="C80" i="136"/>
  <c r="L104" i="519"/>
  <c r="J19" i="537"/>
  <c r="J58" i="537" s="1"/>
  <c r="H19" i="537"/>
  <c r="H58" i="537" s="1"/>
  <c r="L72" i="519" l="1"/>
  <c r="L71" i="519" s="1"/>
  <c r="I62" i="537"/>
  <c r="I61" i="537"/>
  <c r="L68" i="519"/>
  <c r="K62" i="537"/>
  <c r="K61" i="537"/>
  <c r="J62" i="537"/>
  <c r="J61" i="537"/>
  <c r="C70" i="136" l="1"/>
  <c r="I42" i="136"/>
  <c r="J42" i="136"/>
  <c r="K42" i="136"/>
  <c r="D42" i="136"/>
  <c r="E42" i="136"/>
  <c r="F42" i="136"/>
  <c r="G42" i="136"/>
  <c r="H42" i="136"/>
  <c r="L42" i="136"/>
  <c r="M42" i="136"/>
  <c r="N42" i="136"/>
  <c r="C42" i="136"/>
  <c r="D31" i="136"/>
  <c r="D35" i="136" s="1"/>
  <c r="E35" i="136"/>
  <c r="F31" i="136"/>
  <c r="F35" i="136" s="1"/>
  <c r="G31" i="136"/>
  <c r="H31" i="136"/>
  <c r="H35" i="136" s="1"/>
  <c r="I31" i="136"/>
  <c r="I35" i="136" s="1"/>
  <c r="J31" i="136"/>
  <c r="J35" i="136" s="1"/>
  <c r="K31" i="136"/>
  <c r="L31" i="136"/>
  <c r="L35" i="136" s="1"/>
  <c r="M31" i="136"/>
  <c r="M35" i="136" s="1"/>
  <c r="N31" i="136"/>
  <c r="N35" i="136" s="1"/>
  <c r="C31" i="136"/>
  <c r="D18" i="136"/>
  <c r="L27" i="136"/>
  <c r="F27" i="136"/>
  <c r="G27" i="136"/>
  <c r="I27" i="136"/>
  <c r="N27" i="136"/>
  <c r="E18" i="136"/>
  <c r="M27" i="136"/>
  <c r="J27" i="136"/>
  <c r="K27" i="136"/>
  <c r="K35" i="136" l="1"/>
  <c r="N70" i="519"/>
  <c r="G35" i="136"/>
  <c r="M70" i="519"/>
  <c r="M102" i="519"/>
  <c r="N102" i="519"/>
  <c r="C35" i="136"/>
  <c r="L70" i="519"/>
  <c r="L70" i="136"/>
  <c r="L104" i="136"/>
  <c r="L106" i="136" s="1"/>
  <c r="M70" i="136"/>
  <c r="M104" i="136"/>
  <c r="M106" i="136" s="1"/>
  <c r="D27" i="136"/>
  <c r="D104" i="136"/>
  <c r="D106" i="136" s="1"/>
  <c r="F70" i="136"/>
  <c r="F104" i="136"/>
  <c r="E27" i="136"/>
  <c r="H70" i="136"/>
  <c r="N70" i="136"/>
  <c r="N104" i="136"/>
  <c r="N106" i="136" s="1"/>
  <c r="J70" i="136"/>
  <c r="J104" i="136"/>
  <c r="J106" i="136" s="1"/>
  <c r="G70" i="136"/>
  <c r="G104" i="136"/>
  <c r="K70" i="136"/>
  <c r="K104" i="136"/>
  <c r="I70" i="136"/>
  <c r="I104" i="136"/>
  <c r="I106" i="136" s="1"/>
  <c r="D70" i="136"/>
  <c r="C18" i="136"/>
  <c r="G106" i="136" l="1"/>
  <c r="K106" i="136"/>
  <c r="C104" i="136"/>
  <c r="L69" i="519"/>
  <c r="L67" i="519" s="1"/>
  <c r="C27" i="136"/>
  <c r="F64" i="174"/>
  <c r="F71" i="174" s="1"/>
  <c r="J21" i="177"/>
  <c r="L21" i="177"/>
  <c r="E66" i="174" l="1"/>
  <c r="E64" i="174" s="1"/>
  <c r="E71" i="174" s="1"/>
  <c r="D66" i="174"/>
  <c r="M50" i="519" s="1"/>
  <c r="L50" i="519"/>
  <c r="F52" i="174"/>
  <c r="F60" i="174" s="1"/>
  <c r="F41" i="174"/>
  <c r="F48" i="174" s="1"/>
  <c r="C41" i="174"/>
  <c r="E41" i="174"/>
  <c r="E48" i="174" s="1"/>
  <c r="D41" i="174"/>
  <c r="D48" i="174" s="1"/>
  <c r="F27" i="174"/>
  <c r="F37" i="174" s="1"/>
  <c r="N50" i="519" l="1"/>
  <c r="D64" i="174"/>
  <c r="D71" i="174" s="1"/>
  <c r="C48" i="174"/>
  <c r="AA191" i="537" l="1"/>
  <c r="N43" i="519" l="1"/>
  <c r="M43" i="519"/>
  <c r="L43" i="519" l="1"/>
  <c r="P17" i="535"/>
  <c r="P15" i="535" s="1"/>
  <c r="O17" i="535"/>
  <c r="O15" i="535" s="1"/>
  <c r="N17" i="535"/>
  <c r="N15" i="535" s="1"/>
  <c r="P14" i="535"/>
  <c r="P12" i="535" s="1"/>
  <c r="O14" i="535"/>
  <c r="O12" i="535" s="1"/>
  <c r="N14" i="535"/>
  <c r="N12" i="535" s="1"/>
  <c r="O18" i="535" l="1"/>
  <c r="P18" i="535"/>
  <c r="N18" i="535"/>
  <c r="C12" i="174" l="1"/>
  <c r="L38" i="519" s="1"/>
  <c r="E12" i="174"/>
  <c r="N38" i="519" s="1"/>
  <c r="D12" i="174"/>
  <c r="M38" i="519" s="1"/>
  <c r="A2" i="136" l="1"/>
  <c r="A2" i="185"/>
  <c r="O26" i="519" l="1"/>
  <c r="D21" i="185" l="1"/>
  <c r="E21" i="185"/>
  <c r="F21" i="185"/>
  <c r="G21" i="185"/>
  <c r="H21" i="185"/>
  <c r="I21" i="185"/>
  <c r="J21" i="185"/>
  <c r="K21" i="185"/>
  <c r="L21" i="185"/>
  <c r="M21" i="185"/>
  <c r="N21" i="185"/>
  <c r="C21" i="185"/>
  <c r="L60" i="519" l="1"/>
  <c r="L58" i="519" s="1"/>
  <c r="M56" i="519"/>
  <c r="M54" i="519" s="1"/>
  <c r="N56" i="519"/>
  <c r="N54" i="519" s="1"/>
  <c r="M58" i="519"/>
  <c r="N60" i="519"/>
  <c r="N58" i="519" s="1"/>
  <c r="L56" i="519"/>
  <c r="L54" i="519" s="1"/>
  <c r="L109" i="519" l="1"/>
  <c r="C10" i="174" l="1"/>
  <c r="L45" i="519" l="1"/>
  <c r="M45" i="519" l="1"/>
  <c r="N45" i="519"/>
  <c r="O34" i="519"/>
  <c r="L113" i="519" l="1"/>
  <c r="O71" i="519" l="1"/>
  <c r="O80" i="519"/>
  <c r="O79" i="519" s="1"/>
  <c r="N80" i="519"/>
  <c r="N79" i="519" s="1"/>
  <c r="M80" i="519"/>
  <c r="M79" i="519" s="1"/>
  <c r="M86" i="519"/>
  <c r="N86" i="519"/>
  <c r="O86" i="519"/>
  <c r="L90" i="519"/>
  <c r="M90" i="519"/>
  <c r="N90" i="519"/>
  <c r="O90" i="519"/>
  <c r="M97" i="519"/>
  <c r="N97" i="519"/>
  <c r="O97" i="519"/>
  <c r="L97" i="519"/>
  <c r="M105" i="519"/>
  <c r="N105" i="519"/>
  <c r="O105" i="519"/>
  <c r="O99" i="519" s="1"/>
  <c r="L105" i="519"/>
  <c r="M109" i="519"/>
  <c r="N109" i="519"/>
  <c r="O109" i="519"/>
  <c r="M113" i="519"/>
  <c r="N113" i="519"/>
  <c r="O113" i="519"/>
  <c r="O25" i="519" l="1"/>
  <c r="E14" i="136" l="1"/>
  <c r="F14" i="136"/>
  <c r="I14" i="136"/>
  <c r="J14" i="136"/>
  <c r="M14" i="136"/>
  <c r="N14" i="136"/>
  <c r="C14" i="136" l="1"/>
  <c r="G14" i="136" l="1"/>
  <c r="K14" i="136"/>
  <c r="N71" i="519" l="1"/>
  <c r="M71" i="519"/>
  <c r="H9" i="183" l="1"/>
  <c r="H15" i="183" l="1"/>
  <c r="F105" i="136"/>
  <c r="F106" i="136" s="1"/>
  <c r="H56" i="539"/>
  <c r="H57" i="539" s="1"/>
  <c r="C57" i="174"/>
  <c r="K9" i="183"/>
  <c r="J9" i="183"/>
  <c r="E57" i="174" l="1"/>
  <c r="K15" i="183"/>
  <c r="D57" i="174"/>
  <c r="J15" i="183"/>
  <c r="D52" i="174"/>
  <c r="D60" i="174" s="1"/>
  <c r="M53" i="519"/>
  <c r="M48" i="519" s="1"/>
  <c r="E52" i="174"/>
  <c r="E60" i="174" s="1"/>
  <c r="N53" i="519"/>
  <c r="N48" i="519" s="1"/>
  <c r="C52" i="174"/>
  <c r="C60" i="174" s="1"/>
  <c r="L53" i="519"/>
  <c r="J7" i="180" l="1"/>
  <c r="I8" i="180"/>
  <c r="J8" i="180"/>
  <c r="K8" i="180"/>
  <c r="I9" i="180"/>
  <c r="J9" i="180"/>
  <c r="K9" i="180"/>
  <c r="K7" i="180"/>
  <c r="I7" i="180"/>
  <c r="D10" i="180"/>
  <c r="E10" i="180"/>
  <c r="F10" i="180"/>
  <c r="G10" i="180"/>
  <c r="H10" i="180"/>
  <c r="C10" i="180"/>
  <c r="J10" i="180" l="1"/>
  <c r="K10" i="180"/>
  <c r="I10" i="180"/>
  <c r="L80" i="519" l="1"/>
  <c r="L79" i="519" s="1"/>
  <c r="L48" i="519" l="1"/>
  <c r="M99" i="519" l="1"/>
  <c r="N67" i="519" l="1"/>
  <c r="F10" i="174" l="1"/>
  <c r="F23" i="174" s="1"/>
  <c r="K11" i="111"/>
  <c r="Q11" i="111" s="1"/>
  <c r="W11" i="111" s="1"/>
  <c r="L16" i="111"/>
  <c r="M16" i="111"/>
  <c r="N16" i="111"/>
  <c r="R16" i="111"/>
  <c r="S16" i="111"/>
  <c r="T16" i="111"/>
  <c r="H16" i="111"/>
  <c r="E16" i="111"/>
  <c r="D15" i="111"/>
  <c r="C15" i="111"/>
  <c r="D14" i="111"/>
  <c r="C14" i="111"/>
  <c r="D13" i="111"/>
  <c r="C13" i="111"/>
  <c r="G11" i="111"/>
  <c r="G16" i="111" s="1"/>
  <c r="F11" i="111"/>
  <c r="F16" i="111" s="1"/>
  <c r="D11" i="111"/>
  <c r="D12" i="111"/>
  <c r="C12" i="111"/>
  <c r="D10" i="111"/>
  <c r="C10" i="111"/>
  <c r="AE28" i="110"/>
  <c r="AD28" i="110"/>
  <c r="AB28" i="110"/>
  <c r="AA28" i="110"/>
  <c r="Y28" i="110"/>
  <c r="X28" i="110"/>
  <c r="N28" i="110"/>
  <c r="J28" i="110"/>
  <c r="I28" i="110"/>
  <c r="D28" i="110"/>
  <c r="C28" i="110"/>
  <c r="AS27" i="110"/>
  <c r="AF27" i="110"/>
  <c r="AC27" i="110"/>
  <c r="Z27" i="110"/>
  <c r="H27" i="110"/>
  <c r="G27" i="110"/>
  <c r="E27" i="110"/>
  <c r="F27" i="110" s="1"/>
  <c r="AS26" i="110"/>
  <c r="AF26" i="110"/>
  <c r="AC26" i="110"/>
  <c r="Z26" i="110"/>
  <c r="H26" i="110"/>
  <c r="G26" i="110"/>
  <c r="E26" i="110"/>
  <c r="F26" i="110" s="1"/>
  <c r="AS25" i="110"/>
  <c r="E25" i="110"/>
  <c r="F25" i="110" s="1"/>
  <c r="L25" i="110" s="1"/>
  <c r="M25" i="110" s="1"/>
  <c r="O25" i="110" s="1"/>
  <c r="P25" i="110" s="1"/>
  <c r="AS24" i="110"/>
  <c r="E24" i="110"/>
  <c r="F24" i="110" s="1"/>
  <c r="AS23" i="110"/>
  <c r="AF23" i="110"/>
  <c r="AC23" i="110"/>
  <c r="Z23" i="110"/>
  <c r="K23" i="110"/>
  <c r="H23" i="110"/>
  <c r="G23" i="110"/>
  <c r="E23" i="110"/>
  <c r="F23" i="110" s="1"/>
  <c r="L23" i="110" s="1"/>
  <c r="AS22" i="110"/>
  <c r="AF22" i="110"/>
  <c r="AC22" i="110"/>
  <c r="Z22" i="110"/>
  <c r="E22" i="110"/>
  <c r="F22" i="110" s="1"/>
  <c r="AS21" i="110"/>
  <c r="AF21" i="110"/>
  <c r="AC21" i="110"/>
  <c r="Z21" i="110"/>
  <c r="H21" i="110"/>
  <c r="E21" i="110"/>
  <c r="F21" i="110" s="1"/>
  <c r="L21" i="110" s="1"/>
  <c r="M21" i="110" s="1"/>
  <c r="O21" i="110" s="1"/>
  <c r="P21" i="110" s="1"/>
  <c r="AS20" i="110"/>
  <c r="AF20" i="110"/>
  <c r="AC20" i="110"/>
  <c r="Z20" i="110"/>
  <c r="E20" i="110"/>
  <c r="F20" i="110" s="1"/>
  <c r="AS19" i="110"/>
  <c r="AF19" i="110"/>
  <c r="AC19" i="110"/>
  <c r="Z19" i="110"/>
  <c r="H19" i="110"/>
  <c r="E19" i="110"/>
  <c r="F19" i="110" s="1"/>
  <c r="L19" i="110" s="1"/>
  <c r="AS18" i="110"/>
  <c r="AF18" i="110"/>
  <c r="AC18" i="110"/>
  <c r="Z18" i="110"/>
  <c r="K18" i="110"/>
  <c r="H18" i="110"/>
  <c r="E18" i="110"/>
  <c r="F18" i="110" s="1"/>
  <c r="AS17" i="110"/>
  <c r="AF17" i="110"/>
  <c r="AC17" i="110"/>
  <c r="Z17" i="110"/>
  <c r="H17" i="110"/>
  <c r="E17" i="110"/>
  <c r="F17" i="110" s="1"/>
  <c r="L17" i="110" s="1"/>
  <c r="M17" i="110" s="1"/>
  <c r="O17" i="110" s="1"/>
  <c r="P17" i="110" s="1"/>
  <c r="R17" i="110" s="1"/>
  <c r="AS16" i="110"/>
  <c r="AF16" i="110"/>
  <c r="AC16" i="110"/>
  <c r="Z16" i="110"/>
  <c r="E16" i="110"/>
  <c r="F16" i="110" s="1"/>
  <c r="L16" i="110" s="1"/>
  <c r="AS15" i="110"/>
  <c r="AF15" i="110"/>
  <c r="AC15" i="110"/>
  <c r="Z15" i="110"/>
  <c r="E15" i="110"/>
  <c r="F15" i="110" s="1"/>
  <c r="AS14" i="110"/>
  <c r="AO14" i="110"/>
  <c r="AF14" i="110"/>
  <c r="AC14" i="110"/>
  <c r="Z14" i="110"/>
  <c r="E14" i="110"/>
  <c r="F14" i="110" s="1"/>
  <c r="K14" i="110" s="1"/>
  <c r="AS13" i="110"/>
  <c r="AF13" i="110"/>
  <c r="AC13" i="110"/>
  <c r="Z13" i="110"/>
  <c r="K13" i="110"/>
  <c r="E13" i="110"/>
  <c r="F13" i="110" s="1"/>
  <c r="AS12" i="110"/>
  <c r="AF12" i="110"/>
  <c r="AC12" i="110"/>
  <c r="Z12" i="110"/>
  <c r="H12" i="110"/>
  <c r="E12" i="110"/>
  <c r="F12" i="110" s="1"/>
  <c r="L12" i="110" s="1"/>
  <c r="AS11" i="110"/>
  <c r="AF11" i="110"/>
  <c r="AC11" i="110"/>
  <c r="Z11" i="110"/>
  <c r="K11" i="110"/>
  <c r="H11" i="110"/>
  <c r="E11" i="110"/>
  <c r="F11" i="110" s="1"/>
  <c r="AS10" i="110"/>
  <c r="AO10" i="110"/>
  <c r="AF10" i="110"/>
  <c r="AC10" i="110"/>
  <c r="Z10" i="110"/>
  <c r="K10" i="110"/>
  <c r="H10" i="110"/>
  <c r="E10" i="110"/>
  <c r="F10" i="110" s="1"/>
  <c r="L10" i="110" s="1"/>
  <c r="AS9" i="110"/>
  <c r="AO9" i="110"/>
  <c r="AF9" i="110"/>
  <c r="AC9" i="110"/>
  <c r="Z9" i="110"/>
  <c r="E9" i="110"/>
  <c r="F9" i="110" s="1"/>
  <c r="AE25" i="109"/>
  <c r="AD25" i="109"/>
  <c r="AB25" i="109"/>
  <c r="AA25" i="109"/>
  <c r="Y25" i="109"/>
  <c r="X25" i="109"/>
  <c r="U25" i="109"/>
  <c r="I25" i="109"/>
  <c r="D25" i="109"/>
  <c r="C25" i="109"/>
  <c r="AS24" i="109"/>
  <c r="AF24" i="109"/>
  <c r="AC24" i="109"/>
  <c r="Z24" i="109"/>
  <c r="E24" i="109"/>
  <c r="F24" i="109" s="1"/>
  <c r="M24" i="109" s="1"/>
  <c r="O24" i="109" s="1"/>
  <c r="P24" i="109" s="1"/>
  <c r="AF23" i="109"/>
  <c r="AC23" i="109"/>
  <c r="Z23" i="109"/>
  <c r="E23" i="109"/>
  <c r="F23" i="109" s="1"/>
  <c r="AS22" i="109"/>
  <c r="AF22" i="109"/>
  <c r="AC22" i="109"/>
  <c r="Z22" i="109"/>
  <c r="H22" i="109"/>
  <c r="G22" i="109"/>
  <c r="G25" i="109" s="1"/>
  <c r="E22" i="109"/>
  <c r="F22" i="109" s="1"/>
  <c r="AS21" i="109"/>
  <c r="AF21" i="109"/>
  <c r="AC21" i="109"/>
  <c r="Z21" i="109"/>
  <c r="H21" i="109"/>
  <c r="E21" i="109"/>
  <c r="F21" i="109" s="1"/>
  <c r="L21" i="109" s="1"/>
  <c r="AF20" i="109"/>
  <c r="AC20" i="109"/>
  <c r="Z20" i="109"/>
  <c r="E20" i="109"/>
  <c r="F20" i="109" s="1"/>
  <c r="L20" i="109" s="1"/>
  <c r="M20" i="109" s="1"/>
  <c r="O20" i="109" s="1"/>
  <c r="P20" i="109" s="1"/>
  <c r="AF19" i="109"/>
  <c r="AC19" i="109"/>
  <c r="Z19" i="109"/>
  <c r="E19" i="109"/>
  <c r="F19" i="109" s="1"/>
  <c r="AF18" i="109"/>
  <c r="AC18" i="109"/>
  <c r="Z18" i="109"/>
  <c r="E18" i="109"/>
  <c r="F18" i="109" s="1"/>
  <c r="L18" i="109" s="1"/>
  <c r="AS17" i="109"/>
  <c r="AF17" i="109"/>
  <c r="AC17" i="109"/>
  <c r="Z17" i="109"/>
  <c r="K17" i="109"/>
  <c r="J17" i="109"/>
  <c r="J25" i="109" s="1"/>
  <c r="H17" i="109"/>
  <c r="E17" i="109"/>
  <c r="F17" i="109" s="1"/>
  <c r="AS16" i="109"/>
  <c r="AF16" i="109"/>
  <c r="AC16" i="109"/>
  <c r="Z16" i="109"/>
  <c r="H16" i="109"/>
  <c r="E16" i="109"/>
  <c r="F16" i="109" s="1"/>
  <c r="AS15" i="109"/>
  <c r="AF15" i="109"/>
  <c r="AC15" i="109"/>
  <c r="Z15" i="109"/>
  <c r="H15" i="109"/>
  <c r="E15" i="109"/>
  <c r="F15" i="109" s="1"/>
  <c r="L15" i="109" s="1"/>
  <c r="AS14" i="109"/>
  <c r="AF14" i="109"/>
  <c r="AC14" i="109"/>
  <c r="Z14" i="109"/>
  <c r="H14" i="109"/>
  <c r="E14" i="109"/>
  <c r="F14" i="109" s="1"/>
  <c r="K14" i="109" s="1"/>
  <c r="AS13" i="109"/>
  <c r="AF13" i="109"/>
  <c r="AC13" i="109"/>
  <c r="Z13" i="109"/>
  <c r="H13" i="109"/>
  <c r="E13" i="109"/>
  <c r="F13" i="109" s="1"/>
  <c r="K13" i="109" s="1"/>
  <c r="AS12" i="109"/>
  <c r="AF12" i="109"/>
  <c r="AC12" i="109"/>
  <c r="Z12" i="109"/>
  <c r="E12" i="109"/>
  <c r="F12" i="109" s="1"/>
  <c r="AS11" i="109"/>
  <c r="AO11" i="109"/>
  <c r="AF11" i="109"/>
  <c r="AC11" i="109"/>
  <c r="Z11" i="109"/>
  <c r="H11" i="109"/>
  <c r="E11" i="109"/>
  <c r="F11" i="109" s="1"/>
  <c r="AS10" i="109"/>
  <c r="AO10" i="109"/>
  <c r="AF10" i="109"/>
  <c r="AC10" i="109"/>
  <c r="Z10" i="109"/>
  <c r="E10" i="109"/>
  <c r="F10" i="109" s="1"/>
  <c r="K10" i="109" s="1"/>
  <c r="AS9" i="109"/>
  <c r="AO9" i="109"/>
  <c r="AF9" i="109"/>
  <c r="AC9" i="109"/>
  <c r="Z9" i="109"/>
  <c r="E9" i="109"/>
  <c r="U66" i="108"/>
  <c r="N66" i="108"/>
  <c r="J66" i="108"/>
  <c r="I66" i="108"/>
  <c r="H66" i="108"/>
  <c r="G66" i="108"/>
  <c r="D66" i="108"/>
  <c r="C66" i="108"/>
  <c r="U65" i="108"/>
  <c r="N65" i="108"/>
  <c r="I65" i="108"/>
  <c r="G65" i="108"/>
  <c r="D65" i="108"/>
  <c r="U64" i="108"/>
  <c r="U67" i="108" s="1"/>
  <c r="N64" i="108"/>
  <c r="J64" i="108"/>
  <c r="I64" i="108"/>
  <c r="H64" i="108"/>
  <c r="G64" i="108"/>
  <c r="D64" i="108"/>
  <c r="C64" i="108"/>
  <c r="J57" i="108"/>
  <c r="I57" i="108"/>
  <c r="AQ52" i="108"/>
  <c r="AE52" i="108"/>
  <c r="AD52" i="108"/>
  <c r="AB52" i="108"/>
  <c r="AA52" i="108"/>
  <c r="Y52" i="108"/>
  <c r="X52" i="108"/>
  <c r="U52" i="108"/>
  <c r="N52" i="108"/>
  <c r="I52" i="108"/>
  <c r="D52" i="108"/>
  <c r="AQ51" i="108"/>
  <c r="AF51" i="108"/>
  <c r="AC51" i="108"/>
  <c r="Z51" i="108"/>
  <c r="C51" i="108"/>
  <c r="E51" i="108" s="1"/>
  <c r="F51" i="108" s="1"/>
  <c r="AQ50" i="108"/>
  <c r="AF50" i="108"/>
  <c r="AC50" i="108"/>
  <c r="Z50" i="108"/>
  <c r="E50" i="108"/>
  <c r="F50" i="108" s="1"/>
  <c r="L50" i="108" s="1"/>
  <c r="M50" i="108" s="1"/>
  <c r="AQ49" i="108"/>
  <c r="AF49" i="108"/>
  <c r="AC49" i="108"/>
  <c r="Z49" i="108"/>
  <c r="G49" i="108"/>
  <c r="E49" i="108"/>
  <c r="F49" i="108" s="1"/>
  <c r="L49" i="108" s="1"/>
  <c r="AQ48" i="108"/>
  <c r="AF48" i="108"/>
  <c r="AC48" i="108"/>
  <c r="Z48" i="108"/>
  <c r="K48" i="108"/>
  <c r="G48" i="108"/>
  <c r="E48" i="108"/>
  <c r="F48" i="108" s="1"/>
  <c r="L48" i="108" s="1"/>
  <c r="AQ47" i="108"/>
  <c r="AF47" i="108"/>
  <c r="AC47" i="108"/>
  <c r="Z47" i="108"/>
  <c r="K47" i="108"/>
  <c r="G47" i="108"/>
  <c r="E47" i="108"/>
  <c r="F47" i="108" s="1"/>
  <c r="AQ46" i="108"/>
  <c r="AF46" i="108"/>
  <c r="AC46" i="108"/>
  <c r="Z46" i="108"/>
  <c r="H46" i="108"/>
  <c r="E46" i="108"/>
  <c r="F46" i="108" s="1"/>
  <c r="L46" i="108" s="1"/>
  <c r="AQ45" i="108"/>
  <c r="AF45" i="108"/>
  <c r="AC45" i="108"/>
  <c r="Z45" i="108"/>
  <c r="E45" i="108"/>
  <c r="F45" i="108" s="1"/>
  <c r="AQ44" i="108"/>
  <c r="AF44" i="108"/>
  <c r="AC44" i="108"/>
  <c r="Z44" i="108"/>
  <c r="G44" i="108"/>
  <c r="C44" i="108"/>
  <c r="E44" i="108" s="1"/>
  <c r="F44" i="108" s="1"/>
  <c r="L44" i="108" s="1"/>
  <c r="AO43" i="108"/>
  <c r="AF43" i="108"/>
  <c r="AC43" i="108"/>
  <c r="Z43" i="108"/>
  <c r="E43" i="108"/>
  <c r="F43" i="108" s="1"/>
  <c r="L43" i="108" s="1"/>
  <c r="AQ42" i="108"/>
  <c r="AG42" i="108"/>
  <c r="W42" i="108"/>
  <c r="AQ41" i="108"/>
  <c r="AF41" i="108"/>
  <c r="AC41" i="108"/>
  <c r="Z41" i="108"/>
  <c r="E41" i="108"/>
  <c r="F41" i="108" s="1"/>
  <c r="M41" i="108" s="1"/>
  <c r="AQ40" i="108"/>
  <c r="AF40" i="108"/>
  <c r="AC40" i="108"/>
  <c r="Z40" i="108"/>
  <c r="H40" i="108"/>
  <c r="E40" i="108"/>
  <c r="F40" i="108" s="1"/>
  <c r="AQ39" i="108"/>
  <c r="AF39" i="108"/>
  <c r="AC39" i="108"/>
  <c r="Z39" i="108"/>
  <c r="C39" i="108"/>
  <c r="E39" i="108" s="1"/>
  <c r="F39" i="108" s="1"/>
  <c r="M39" i="108" s="1"/>
  <c r="AQ38" i="108"/>
  <c r="AF38" i="108"/>
  <c r="AC38" i="108"/>
  <c r="Z38" i="108"/>
  <c r="E38" i="108"/>
  <c r="F38" i="108" s="1"/>
  <c r="M38" i="108" s="1"/>
  <c r="O38" i="108" s="1"/>
  <c r="P38" i="108" s="1"/>
  <c r="R38" i="108" s="1"/>
  <c r="AQ37" i="108"/>
  <c r="AF37" i="108"/>
  <c r="AC37" i="108"/>
  <c r="Z37" i="108"/>
  <c r="E37" i="108"/>
  <c r="F37" i="108" s="1"/>
  <c r="L37" i="108" s="1"/>
  <c r="M37" i="108" s="1"/>
  <c r="O37" i="108" s="1"/>
  <c r="P37" i="108" s="1"/>
  <c r="AQ36" i="108"/>
  <c r="AF36" i="108"/>
  <c r="AC36" i="108"/>
  <c r="Z36" i="108"/>
  <c r="E36" i="108"/>
  <c r="F36" i="108" s="1"/>
  <c r="AQ35" i="108"/>
  <c r="AF35" i="108"/>
  <c r="AC35" i="108"/>
  <c r="Z35" i="108"/>
  <c r="K35" i="108"/>
  <c r="E35" i="108"/>
  <c r="F35" i="108" s="1"/>
  <c r="AO34" i="108"/>
  <c r="AF34" i="108"/>
  <c r="AC34" i="108"/>
  <c r="Z34" i="108"/>
  <c r="K34" i="108"/>
  <c r="J34" i="108"/>
  <c r="E34" i="108"/>
  <c r="F34" i="108" s="1"/>
  <c r="L34" i="108" s="1"/>
  <c r="AQ33" i="108"/>
  <c r="AF33" i="108"/>
  <c r="AC33" i="108"/>
  <c r="Z33" i="108"/>
  <c r="K33" i="108"/>
  <c r="E33" i="108"/>
  <c r="F33" i="108" s="1"/>
  <c r="L33" i="108" s="1"/>
  <c r="M33" i="108" s="1"/>
  <c r="O33" i="108" s="1"/>
  <c r="P33" i="108" s="1"/>
  <c r="AO32" i="108"/>
  <c r="AF32" i="108"/>
  <c r="AC32" i="108"/>
  <c r="Z32" i="108"/>
  <c r="K32" i="108"/>
  <c r="E32" i="108"/>
  <c r="F32" i="108" s="1"/>
  <c r="AQ31" i="108"/>
  <c r="AF31" i="108"/>
  <c r="AC31" i="108"/>
  <c r="Z31" i="108"/>
  <c r="K31" i="108"/>
  <c r="E31" i="108"/>
  <c r="F31" i="108" s="1"/>
  <c r="L31" i="108" s="1"/>
  <c r="AQ30" i="108"/>
  <c r="AF30" i="108"/>
  <c r="AC30" i="108"/>
  <c r="Z30" i="108"/>
  <c r="K30" i="108"/>
  <c r="E30" i="108"/>
  <c r="F30" i="108" s="1"/>
  <c r="J30" i="108" s="1"/>
  <c r="AO29" i="108"/>
  <c r="AF29" i="108"/>
  <c r="AC29" i="108"/>
  <c r="Z29" i="108"/>
  <c r="K29" i="108"/>
  <c r="E29" i="108"/>
  <c r="F29" i="108" s="1"/>
  <c r="L29" i="108" s="1"/>
  <c r="M29" i="108" s="1"/>
  <c r="O29" i="108" s="1"/>
  <c r="P29" i="108" s="1"/>
  <c r="AO28" i="108"/>
  <c r="AF28" i="108"/>
  <c r="AC28" i="108"/>
  <c r="Z28" i="108"/>
  <c r="E28" i="108"/>
  <c r="F28" i="108" s="1"/>
  <c r="L28" i="108" s="1"/>
  <c r="AQ27" i="108"/>
  <c r="AF27" i="108"/>
  <c r="AC27" i="108"/>
  <c r="Z27" i="108"/>
  <c r="C27" i="108"/>
  <c r="E27" i="108" s="1"/>
  <c r="F27" i="108" s="1"/>
  <c r="AQ26" i="108"/>
  <c r="AF26" i="108"/>
  <c r="AC26" i="108"/>
  <c r="Z26" i="108"/>
  <c r="K26" i="108"/>
  <c r="E26" i="108"/>
  <c r="F26" i="108" s="1"/>
  <c r="L26" i="108" s="1"/>
  <c r="AQ25" i="108"/>
  <c r="AF25" i="108"/>
  <c r="AC25" i="108"/>
  <c r="Z25" i="108"/>
  <c r="E25" i="108"/>
  <c r="F25" i="108" s="1"/>
  <c r="K25" i="108" s="1"/>
  <c r="AQ24" i="108"/>
  <c r="AF24" i="108"/>
  <c r="AC24" i="108"/>
  <c r="Z24" i="108"/>
  <c r="E24" i="108"/>
  <c r="F24" i="108" s="1"/>
  <c r="K24" i="108" s="1"/>
  <c r="AQ23" i="108"/>
  <c r="AF23" i="108"/>
  <c r="AC23" i="108"/>
  <c r="Z23" i="108"/>
  <c r="E23" i="108"/>
  <c r="F23" i="108" s="1"/>
  <c r="AQ22" i="108"/>
  <c r="AF22" i="108"/>
  <c r="AC22" i="108"/>
  <c r="Z22" i="108"/>
  <c r="E22" i="108"/>
  <c r="F22" i="108" s="1"/>
  <c r="K22" i="108" s="1"/>
  <c r="AO21" i="108"/>
  <c r="AF21" i="108"/>
  <c r="AC21" i="108"/>
  <c r="Z21" i="108"/>
  <c r="K21" i="108"/>
  <c r="H21" i="108"/>
  <c r="E21" i="108"/>
  <c r="F21" i="108" s="1"/>
  <c r="L21" i="108" s="1"/>
  <c r="AO20" i="108"/>
  <c r="AF20" i="108"/>
  <c r="AC20" i="108"/>
  <c r="Z20" i="108"/>
  <c r="E20" i="108"/>
  <c r="AQ19" i="108"/>
  <c r="AF19" i="108"/>
  <c r="AC19" i="108"/>
  <c r="Z19" i="108"/>
  <c r="E19" i="108"/>
  <c r="F19" i="108" s="1"/>
  <c r="AQ18" i="108"/>
  <c r="AF18" i="108"/>
  <c r="AC18" i="108"/>
  <c r="Z18" i="108"/>
  <c r="K18" i="108"/>
  <c r="E18" i="108"/>
  <c r="AQ17" i="108"/>
  <c r="AF17" i="108"/>
  <c r="AC17" i="108"/>
  <c r="Z17" i="108"/>
  <c r="E17" i="108"/>
  <c r="F17" i="108" s="1"/>
  <c r="AO16" i="108"/>
  <c r="AF16" i="108"/>
  <c r="AC16" i="108"/>
  <c r="Z16" i="108"/>
  <c r="E16" i="108"/>
  <c r="F16" i="108" s="1"/>
  <c r="AO15" i="108"/>
  <c r="AF15" i="108"/>
  <c r="AC15" i="108"/>
  <c r="AG15" i="108" s="1"/>
  <c r="AH15" i="108" s="1"/>
  <c r="Z15" i="108"/>
  <c r="E15" i="108"/>
  <c r="F15" i="108" s="1"/>
  <c r="AO14" i="108"/>
  <c r="AF14" i="108"/>
  <c r="AC14" i="108"/>
  <c r="Z14" i="108"/>
  <c r="H14" i="108"/>
  <c r="E14" i="108"/>
  <c r="F14" i="108" s="1"/>
  <c r="L14" i="108" s="1"/>
  <c r="AQ13" i="108"/>
  <c r="AF13" i="108"/>
  <c r="AC13" i="108"/>
  <c r="Z13" i="108"/>
  <c r="K13" i="108"/>
  <c r="H13" i="108"/>
  <c r="E13" i="108"/>
  <c r="AO12" i="108"/>
  <c r="AF12" i="108"/>
  <c r="AC12" i="108"/>
  <c r="Z12" i="108"/>
  <c r="E12" i="108"/>
  <c r="AO11" i="108"/>
  <c r="AF11" i="108"/>
  <c r="AC11" i="108"/>
  <c r="Z11" i="108"/>
  <c r="E11" i="108"/>
  <c r="F11" i="108" s="1"/>
  <c r="AO10" i="108"/>
  <c r="AF10" i="108"/>
  <c r="AC10" i="108"/>
  <c r="Z10" i="108"/>
  <c r="E10" i="108"/>
  <c r="F10" i="108" s="1"/>
  <c r="K10" i="108" s="1"/>
  <c r="AO9" i="108"/>
  <c r="AF9" i="108"/>
  <c r="AC9" i="108"/>
  <c r="Z9" i="108"/>
  <c r="E9" i="108"/>
  <c r="F9" i="108" s="1"/>
  <c r="L9" i="108" s="1"/>
  <c r="G28" i="107"/>
  <c r="AE23" i="107"/>
  <c r="AD23" i="107"/>
  <c r="AB23" i="107"/>
  <c r="AA23" i="107"/>
  <c r="Y23" i="107"/>
  <c r="X23" i="107"/>
  <c r="U23" i="107"/>
  <c r="H23" i="107"/>
  <c r="G23" i="107"/>
  <c r="D23" i="107"/>
  <c r="AS22" i="107"/>
  <c r="AF22" i="107"/>
  <c r="AC22" i="107"/>
  <c r="Z22" i="107"/>
  <c r="C22" i="107"/>
  <c r="E22" i="107" s="1"/>
  <c r="F22" i="107" s="1"/>
  <c r="M22" i="107" s="1"/>
  <c r="AS21" i="107"/>
  <c r="AF21" i="107"/>
  <c r="AC21" i="107"/>
  <c r="Z21" i="107"/>
  <c r="K21" i="107"/>
  <c r="E21" i="107"/>
  <c r="F21" i="107" s="1"/>
  <c r="AS20" i="107"/>
  <c r="AF20" i="107"/>
  <c r="AC20" i="107"/>
  <c r="Z20" i="107"/>
  <c r="K20" i="107"/>
  <c r="J20" i="107"/>
  <c r="E20" i="107"/>
  <c r="F20" i="107" s="1"/>
  <c r="L20" i="107" s="1"/>
  <c r="AS19" i="107"/>
  <c r="AF19" i="107"/>
  <c r="AC19" i="107"/>
  <c r="Z19" i="107"/>
  <c r="E19" i="107"/>
  <c r="F19" i="107" s="1"/>
  <c r="AS18" i="107"/>
  <c r="AF18" i="107"/>
  <c r="AC18" i="107"/>
  <c r="Z18" i="107"/>
  <c r="E18" i="107"/>
  <c r="F18" i="107" s="1"/>
  <c r="AS17" i="107"/>
  <c r="AF17" i="107"/>
  <c r="AC17" i="107"/>
  <c r="Z17" i="107"/>
  <c r="K17" i="107"/>
  <c r="J17" i="107"/>
  <c r="E17" i="107"/>
  <c r="F17" i="107" s="1"/>
  <c r="L17" i="107" s="1"/>
  <c r="AS16" i="107"/>
  <c r="AF16" i="107"/>
  <c r="AC16" i="107"/>
  <c r="Z16" i="107"/>
  <c r="K16" i="107"/>
  <c r="J16" i="107"/>
  <c r="E16" i="107"/>
  <c r="F16" i="107" s="1"/>
  <c r="L16" i="107" s="1"/>
  <c r="AS15" i="107"/>
  <c r="AF15" i="107"/>
  <c r="AC15" i="107"/>
  <c r="Z15" i="107"/>
  <c r="K15" i="107"/>
  <c r="J15" i="107"/>
  <c r="C15" i="107"/>
  <c r="E15" i="107" s="1"/>
  <c r="F15" i="107" s="1"/>
  <c r="AS14" i="107"/>
  <c r="AF14" i="107"/>
  <c r="AC14" i="107"/>
  <c r="Z14" i="107"/>
  <c r="K14" i="107"/>
  <c r="E14" i="107"/>
  <c r="F14" i="107" s="1"/>
  <c r="AS13" i="107"/>
  <c r="AF13" i="107"/>
  <c r="AC13" i="107"/>
  <c r="Z13" i="107"/>
  <c r="K13" i="107"/>
  <c r="E13" i="107"/>
  <c r="F13" i="107" s="1"/>
  <c r="L13" i="107" s="1"/>
  <c r="AS12" i="107"/>
  <c r="AF12" i="107"/>
  <c r="AC12" i="107"/>
  <c r="Z12" i="107"/>
  <c r="E12" i="107"/>
  <c r="F12" i="107" s="1"/>
  <c r="AS11" i="107"/>
  <c r="AF11" i="107"/>
  <c r="AC11" i="107"/>
  <c r="Z11" i="107"/>
  <c r="K11" i="107"/>
  <c r="E11" i="107"/>
  <c r="AS10" i="107"/>
  <c r="AO10" i="107"/>
  <c r="AF10" i="107"/>
  <c r="AC10" i="107"/>
  <c r="Z10" i="107"/>
  <c r="K10" i="107"/>
  <c r="I10" i="107"/>
  <c r="I23" i="107" s="1"/>
  <c r="E10" i="107"/>
  <c r="F10" i="107" s="1"/>
  <c r="L10" i="107" s="1"/>
  <c r="AS9" i="107"/>
  <c r="AO9" i="107"/>
  <c r="AF9" i="107"/>
  <c r="AC9" i="107"/>
  <c r="Z9" i="107"/>
  <c r="E9" i="107"/>
  <c r="F9" i="107" s="1"/>
  <c r="K9" i="107" s="1"/>
  <c r="AE21" i="106"/>
  <c r="AD21" i="106"/>
  <c r="AB21" i="106"/>
  <c r="AA21" i="106"/>
  <c r="Y21" i="106"/>
  <c r="X21" i="106"/>
  <c r="U21" i="106"/>
  <c r="J21" i="106"/>
  <c r="I21" i="106"/>
  <c r="D21" i="106"/>
  <c r="C21" i="106"/>
  <c r="AF20" i="106"/>
  <c r="AC20" i="106"/>
  <c r="Z20" i="106"/>
  <c r="H20" i="106"/>
  <c r="G20" i="106"/>
  <c r="E20" i="106"/>
  <c r="F20" i="106" s="1"/>
  <c r="AF19" i="106"/>
  <c r="AC19" i="106"/>
  <c r="Z19" i="106"/>
  <c r="E19" i="106"/>
  <c r="F19" i="106" s="1"/>
  <c r="L19" i="106" s="1"/>
  <c r="AF18" i="106"/>
  <c r="AC18" i="106"/>
  <c r="Z18" i="106"/>
  <c r="H18" i="106"/>
  <c r="G18" i="106"/>
  <c r="E18" i="106"/>
  <c r="F18" i="106" s="1"/>
  <c r="AF17" i="106"/>
  <c r="AC17" i="106"/>
  <c r="Z17" i="106"/>
  <c r="E17" i="106"/>
  <c r="F17" i="106" s="1"/>
  <c r="L17" i="106" s="1"/>
  <c r="AF16" i="106"/>
  <c r="AC16" i="106"/>
  <c r="Z16" i="106"/>
  <c r="H16" i="106"/>
  <c r="G16" i="106"/>
  <c r="E16" i="106"/>
  <c r="F16" i="106" s="1"/>
  <c r="AF15" i="106"/>
  <c r="AC15" i="106"/>
  <c r="Z15" i="106"/>
  <c r="K15" i="106"/>
  <c r="E15" i="106"/>
  <c r="F15" i="106" s="1"/>
  <c r="L15" i="106" s="1"/>
  <c r="AF14" i="106"/>
  <c r="AC14" i="106"/>
  <c r="Z14" i="106"/>
  <c r="E14" i="106"/>
  <c r="F14" i="106" s="1"/>
  <c r="L14" i="106" s="1"/>
  <c r="AF13" i="106"/>
  <c r="AC13" i="106"/>
  <c r="Z13" i="106"/>
  <c r="E13" i="106"/>
  <c r="F13" i="106" s="1"/>
  <c r="L13" i="106" s="1"/>
  <c r="AF12" i="106"/>
  <c r="AC12" i="106"/>
  <c r="Z12" i="106"/>
  <c r="E12" i="106"/>
  <c r="F12" i="106" s="1"/>
  <c r="AF11" i="106"/>
  <c r="AC11" i="106"/>
  <c r="Z11" i="106"/>
  <c r="E11" i="106"/>
  <c r="F11" i="106" s="1"/>
  <c r="AO10" i="106"/>
  <c r="AF10" i="106"/>
  <c r="AC10" i="106"/>
  <c r="Z10" i="106"/>
  <c r="E10" i="106"/>
  <c r="F10" i="106" s="1"/>
  <c r="L10" i="106" s="1"/>
  <c r="AO9" i="106"/>
  <c r="AF9" i="106"/>
  <c r="AC9" i="106"/>
  <c r="Z9" i="106"/>
  <c r="K9" i="106"/>
  <c r="E9" i="106"/>
  <c r="AE28" i="105"/>
  <c r="AD28" i="105"/>
  <c r="AB28" i="105"/>
  <c r="AA28" i="105"/>
  <c r="Y28" i="105"/>
  <c r="X28" i="105"/>
  <c r="U28" i="105"/>
  <c r="N28" i="105"/>
  <c r="J28" i="105"/>
  <c r="I28" i="105"/>
  <c r="G28" i="105"/>
  <c r="D28" i="105"/>
  <c r="C28" i="105"/>
  <c r="AL27" i="105"/>
  <c r="AF27" i="105"/>
  <c r="AC27" i="105"/>
  <c r="Z27" i="105"/>
  <c r="H27" i="105"/>
  <c r="E27" i="105"/>
  <c r="F27" i="105" s="1"/>
  <c r="AL26" i="105"/>
  <c r="AF26" i="105"/>
  <c r="AC26" i="105"/>
  <c r="Z26" i="105"/>
  <c r="H26" i="105"/>
  <c r="E26" i="105"/>
  <c r="F26" i="105" s="1"/>
  <c r="AL25" i="105"/>
  <c r="AF25" i="105"/>
  <c r="AC25" i="105"/>
  <c r="Z25" i="105"/>
  <c r="H25" i="105"/>
  <c r="E25" i="105"/>
  <c r="F25" i="105" s="1"/>
  <c r="AL24" i="105"/>
  <c r="AF24" i="105"/>
  <c r="AC24" i="105"/>
  <c r="Z24" i="105"/>
  <c r="K24" i="105"/>
  <c r="H24" i="105"/>
  <c r="E24" i="105"/>
  <c r="F24" i="105" s="1"/>
  <c r="L24" i="105" s="1"/>
  <c r="AL23" i="105"/>
  <c r="AF23" i="105"/>
  <c r="AC23" i="105"/>
  <c r="Z23" i="105"/>
  <c r="E23" i="105"/>
  <c r="F23" i="105" s="1"/>
  <c r="L23" i="105" s="1"/>
  <c r="AL22" i="105"/>
  <c r="AF22" i="105"/>
  <c r="AC22" i="105"/>
  <c r="Z22" i="105"/>
  <c r="K22" i="105"/>
  <c r="H22" i="105"/>
  <c r="E22" i="105"/>
  <c r="F22" i="105" s="1"/>
  <c r="AL21" i="105"/>
  <c r="AF21" i="105"/>
  <c r="AC21" i="105"/>
  <c r="Z21" i="105"/>
  <c r="H21" i="105"/>
  <c r="E21" i="105"/>
  <c r="F21" i="105" s="1"/>
  <c r="L21" i="105" s="1"/>
  <c r="AL20" i="105"/>
  <c r="AF20" i="105"/>
  <c r="AC20" i="105"/>
  <c r="Z20" i="105"/>
  <c r="K20" i="105"/>
  <c r="H20" i="105"/>
  <c r="E20" i="105"/>
  <c r="F20" i="105" s="1"/>
  <c r="L20" i="105" s="1"/>
  <c r="AL19" i="105"/>
  <c r="AF19" i="105"/>
  <c r="AC19" i="105"/>
  <c r="Z19" i="105"/>
  <c r="K19" i="105"/>
  <c r="H19" i="105"/>
  <c r="E19" i="105"/>
  <c r="F19" i="105" s="1"/>
  <c r="AL18" i="105"/>
  <c r="AF18" i="105"/>
  <c r="AC18" i="105"/>
  <c r="Z18" i="105"/>
  <c r="H18" i="105"/>
  <c r="E18" i="105"/>
  <c r="F18" i="105" s="1"/>
  <c r="AL17" i="105"/>
  <c r="AF17" i="105"/>
  <c r="AC17" i="105"/>
  <c r="Z17" i="105"/>
  <c r="K17" i="105"/>
  <c r="H17" i="105"/>
  <c r="E17" i="105"/>
  <c r="F17" i="105" s="1"/>
  <c r="AL16" i="105"/>
  <c r="AF16" i="105"/>
  <c r="AC16" i="105"/>
  <c r="Z16" i="105"/>
  <c r="K16" i="105"/>
  <c r="H16" i="105"/>
  <c r="E16" i="105"/>
  <c r="F16" i="105" s="1"/>
  <c r="L16" i="105" s="1"/>
  <c r="AL15" i="105"/>
  <c r="AF15" i="105"/>
  <c r="AC15" i="105"/>
  <c r="Z15" i="105"/>
  <c r="H15" i="105"/>
  <c r="E15" i="105"/>
  <c r="F15" i="105" s="1"/>
  <c r="K15" i="105" s="1"/>
  <c r="AL14" i="105"/>
  <c r="AF14" i="105"/>
  <c r="AC14" i="105"/>
  <c r="Z14" i="105"/>
  <c r="H14" i="105"/>
  <c r="E14" i="105"/>
  <c r="F14" i="105" s="1"/>
  <c r="L14" i="105" s="1"/>
  <c r="AL13" i="105"/>
  <c r="AF13" i="105"/>
  <c r="AC13" i="105"/>
  <c r="Z13" i="105"/>
  <c r="H13" i="105"/>
  <c r="E13" i="105"/>
  <c r="F13" i="105" s="1"/>
  <c r="AL12" i="105"/>
  <c r="AF12" i="105"/>
  <c r="AC12" i="105"/>
  <c r="Z12" i="105"/>
  <c r="H12" i="105"/>
  <c r="E12" i="105"/>
  <c r="F12" i="105" s="1"/>
  <c r="L12" i="105" s="1"/>
  <c r="AL11" i="105"/>
  <c r="AF11" i="105"/>
  <c r="AC11" i="105"/>
  <c r="Z11" i="105"/>
  <c r="K11" i="105"/>
  <c r="H11" i="105"/>
  <c r="E11" i="105"/>
  <c r="F11" i="105" s="1"/>
  <c r="AL10" i="105"/>
  <c r="AF10" i="105"/>
  <c r="AC10" i="105"/>
  <c r="Z10" i="105"/>
  <c r="K10" i="105"/>
  <c r="E10" i="105"/>
  <c r="F10" i="105" s="1"/>
  <c r="L10" i="105" s="1"/>
  <c r="AL9" i="105"/>
  <c r="AF9" i="105"/>
  <c r="AC9" i="105"/>
  <c r="Z9" i="105"/>
  <c r="K9" i="105"/>
  <c r="E9" i="105"/>
  <c r="F9" i="105" s="1"/>
  <c r="AE28" i="104"/>
  <c r="AD28" i="104"/>
  <c r="AB28" i="104"/>
  <c r="AA28" i="104"/>
  <c r="Y28" i="104"/>
  <c r="X28" i="104"/>
  <c r="N28" i="104"/>
  <c r="J28" i="104"/>
  <c r="I28" i="104"/>
  <c r="D28" i="104"/>
  <c r="C28" i="104"/>
  <c r="AS27" i="104"/>
  <c r="AF27" i="104"/>
  <c r="AC27" i="104"/>
  <c r="Z27" i="104"/>
  <c r="H27" i="104"/>
  <c r="G27" i="104"/>
  <c r="E27" i="104"/>
  <c r="F27" i="104" s="1"/>
  <c r="AS26" i="104"/>
  <c r="AF26" i="104"/>
  <c r="AC26" i="104"/>
  <c r="Z26" i="104"/>
  <c r="H26" i="104"/>
  <c r="G26" i="104"/>
  <c r="E26" i="104"/>
  <c r="F26" i="104" s="1"/>
  <c r="AS25" i="104"/>
  <c r="E25" i="104"/>
  <c r="F25" i="104" s="1"/>
  <c r="L25" i="104" s="1"/>
  <c r="M25" i="104" s="1"/>
  <c r="AS24" i="104"/>
  <c r="E24" i="104"/>
  <c r="F24" i="104" s="1"/>
  <c r="L24" i="104" s="1"/>
  <c r="M24" i="104" s="1"/>
  <c r="O24" i="104" s="1"/>
  <c r="P24" i="104" s="1"/>
  <c r="Q24" i="104" s="1"/>
  <c r="AS23" i="104"/>
  <c r="AF23" i="104"/>
  <c r="AC23" i="104"/>
  <c r="Z23" i="104"/>
  <c r="K23" i="104"/>
  <c r="H23" i="104"/>
  <c r="G23" i="104"/>
  <c r="E23" i="104"/>
  <c r="F23" i="104" s="1"/>
  <c r="L23" i="104" s="1"/>
  <c r="AS22" i="104"/>
  <c r="AF22" i="104"/>
  <c r="AC22" i="104"/>
  <c r="Z22" i="104"/>
  <c r="E22" i="104"/>
  <c r="F22" i="104" s="1"/>
  <c r="K22" i="104" s="1"/>
  <c r="AS21" i="104"/>
  <c r="AF21" i="104"/>
  <c r="AC21" i="104"/>
  <c r="Z21" i="104"/>
  <c r="H21" i="104"/>
  <c r="E21" i="104"/>
  <c r="F21" i="104" s="1"/>
  <c r="L21" i="104" s="1"/>
  <c r="AS20" i="104"/>
  <c r="AF20" i="104"/>
  <c r="AC20" i="104"/>
  <c r="Z20" i="104"/>
  <c r="E20" i="104"/>
  <c r="F20" i="104" s="1"/>
  <c r="K20" i="104" s="1"/>
  <c r="AS19" i="104"/>
  <c r="AF19" i="104"/>
  <c r="AC19" i="104"/>
  <c r="Z19" i="104"/>
  <c r="H19" i="104"/>
  <c r="E19" i="104"/>
  <c r="F19" i="104" s="1"/>
  <c r="AS18" i="104"/>
  <c r="AF18" i="104"/>
  <c r="AC18" i="104"/>
  <c r="Z18" i="104"/>
  <c r="K18" i="104"/>
  <c r="H18" i="104"/>
  <c r="E18" i="104"/>
  <c r="F18" i="104" s="1"/>
  <c r="AS17" i="104"/>
  <c r="AF17" i="104"/>
  <c r="AC17" i="104"/>
  <c r="Z17" i="104"/>
  <c r="H17" i="104"/>
  <c r="E17" i="104"/>
  <c r="F17" i="104" s="1"/>
  <c r="AS16" i="104"/>
  <c r="AF16" i="104"/>
  <c r="AC16" i="104"/>
  <c r="Z16" i="104"/>
  <c r="E16" i="104"/>
  <c r="F16" i="104" s="1"/>
  <c r="L16" i="104" s="1"/>
  <c r="AS15" i="104"/>
  <c r="AF15" i="104"/>
  <c r="AC15" i="104"/>
  <c r="Z15" i="104"/>
  <c r="E15" i="104"/>
  <c r="F15" i="104" s="1"/>
  <c r="AS14" i="104"/>
  <c r="AO14" i="104"/>
  <c r="AF14" i="104"/>
  <c r="AC14" i="104"/>
  <c r="Z14" i="104"/>
  <c r="E14" i="104"/>
  <c r="F14" i="104" s="1"/>
  <c r="L14" i="104" s="1"/>
  <c r="AS13" i="104"/>
  <c r="AF13" i="104"/>
  <c r="AC13" i="104"/>
  <c r="Z13" i="104"/>
  <c r="K13" i="104"/>
  <c r="E13" i="104"/>
  <c r="F13" i="104" s="1"/>
  <c r="AS12" i="104"/>
  <c r="AF12" i="104"/>
  <c r="AC12" i="104"/>
  <c r="Z12" i="104"/>
  <c r="H12" i="104"/>
  <c r="E12" i="104"/>
  <c r="F12" i="104" s="1"/>
  <c r="L12" i="104" s="1"/>
  <c r="AS11" i="104"/>
  <c r="AF11" i="104"/>
  <c r="AC11" i="104"/>
  <c r="Z11" i="104"/>
  <c r="K11" i="104"/>
  <c r="H11" i="104"/>
  <c r="M11" i="104" s="1"/>
  <c r="O11" i="104" s="1"/>
  <c r="P11" i="104" s="1"/>
  <c r="E11" i="104"/>
  <c r="F11" i="104" s="1"/>
  <c r="L11" i="104" s="1"/>
  <c r="AS10" i="104"/>
  <c r="AO10" i="104"/>
  <c r="AF10" i="104"/>
  <c r="AC10" i="104"/>
  <c r="Z10" i="104"/>
  <c r="K10" i="104"/>
  <c r="H10" i="104"/>
  <c r="E10" i="104"/>
  <c r="F10" i="104" s="1"/>
  <c r="AS9" i="104"/>
  <c r="AO9" i="104"/>
  <c r="AF9" i="104"/>
  <c r="AC9" i="104"/>
  <c r="Z9" i="104"/>
  <c r="E9" i="104"/>
  <c r="AE25" i="103"/>
  <c r="AD25" i="103"/>
  <c r="AB25" i="103"/>
  <c r="AA25" i="103"/>
  <c r="Y25" i="103"/>
  <c r="X25" i="103"/>
  <c r="U25" i="103"/>
  <c r="I25" i="103"/>
  <c r="D25" i="103"/>
  <c r="C25" i="103"/>
  <c r="AS24" i="103"/>
  <c r="AF24" i="103"/>
  <c r="AC24" i="103"/>
  <c r="Z24" i="103"/>
  <c r="E24" i="103"/>
  <c r="F24" i="103" s="1"/>
  <c r="M24" i="103" s="1"/>
  <c r="O24" i="103" s="1"/>
  <c r="AF23" i="103"/>
  <c r="AC23" i="103"/>
  <c r="Z23" i="103"/>
  <c r="E23" i="103"/>
  <c r="F23" i="103" s="1"/>
  <c r="L23" i="103" s="1"/>
  <c r="AS22" i="103"/>
  <c r="AF22" i="103"/>
  <c r="AC22" i="103"/>
  <c r="Z22" i="103"/>
  <c r="H22" i="103"/>
  <c r="G22" i="103"/>
  <c r="G25" i="103" s="1"/>
  <c r="E22" i="103"/>
  <c r="F22" i="103" s="1"/>
  <c r="AS21" i="103"/>
  <c r="AF21" i="103"/>
  <c r="AC21" i="103"/>
  <c r="Z21" i="103"/>
  <c r="H21" i="103"/>
  <c r="E21" i="103"/>
  <c r="F21" i="103" s="1"/>
  <c r="L21" i="103" s="1"/>
  <c r="AF20" i="103"/>
  <c r="AC20" i="103"/>
  <c r="Z20" i="103"/>
  <c r="E20" i="103"/>
  <c r="F20" i="103" s="1"/>
  <c r="L20" i="103" s="1"/>
  <c r="AF19" i="103"/>
  <c r="AC19" i="103"/>
  <c r="Z19" i="103"/>
  <c r="E19" i="103"/>
  <c r="F19" i="103" s="1"/>
  <c r="AF18" i="103"/>
  <c r="AC18" i="103"/>
  <c r="Z18" i="103"/>
  <c r="E18" i="103"/>
  <c r="F18" i="103" s="1"/>
  <c r="AS17" i="103"/>
  <c r="AF17" i="103"/>
  <c r="AC17" i="103"/>
  <c r="Z17" i="103"/>
  <c r="K17" i="103"/>
  <c r="J17" i="103"/>
  <c r="J25" i="103" s="1"/>
  <c r="H17" i="103"/>
  <c r="E17" i="103"/>
  <c r="F17" i="103" s="1"/>
  <c r="L17" i="103" s="1"/>
  <c r="AS16" i="103"/>
  <c r="AF16" i="103"/>
  <c r="AC16" i="103"/>
  <c r="Z16" i="103"/>
  <c r="H16" i="103"/>
  <c r="E16" i="103"/>
  <c r="F16" i="103" s="1"/>
  <c r="K16" i="103" s="1"/>
  <c r="AS15" i="103"/>
  <c r="AF15" i="103"/>
  <c r="AG15" i="103" s="1"/>
  <c r="AC15" i="103"/>
  <c r="Z15" i="103"/>
  <c r="H15" i="103"/>
  <c r="E15" i="103"/>
  <c r="F15" i="103" s="1"/>
  <c r="K15" i="103" s="1"/>
  <c r="AS14" i="103"/>
  <c r="AF14" i="103"/>
  <c r="AC14" i="103"/>
  <c r="Z14" i="103"/>
  <c r="H14" i="103"/>
  <c r="E14" i="103"/>
  <c r="F14" i="103" s="1"/>
  <c r="AS13" i="103"/>
  <c r="AF13" i="103"/>
  <c r="AC13" i="103"/>
  <c r="Z13" i="103"/>
  <c r="H13" i="103"/>
  <c r="E13" i="103"/>
  <c r="F13" i="103" s="1"/>
  <c r="L13" i="103" s="1"/>
  <c r="AS12" i="103"/>
  <c r="AF12" i="103"/>
  <c r="AC12" i="103"/>
  <c r="Z12" i="103"/>
  <c r="E12" i="103"/>
  <c r="F12" i="103" s="1"/>
  <c r="L12" i="103" s="1"/>
  <c r="AS11" i="103"/>
  <c r="AO11" i="103"/>
  <c r="AF11" i="103"/>
  <c r="AC11" i="103"/>
  <c r="Z11" i="103"/>
  <c r="H11" i="103"/>
  <c r="E11" i="103"/>
  <c r="F11" i="103" s="1"/>
  <c r="K11" i="103" s="1"/>
  <c r="AS10" i="103"/>
  <c r="AO10" i="103"/>
  <c r="AF10" i="103"/>
  <c r="AC10" i="103"/>
  <c r="Z10" i="103"/>
  <c r="E10" i="103"/>
  <c r="F10" i="103" s="1"/>
  <c r="K10" i="103" s="1"/>
  <c r="AS9" i="103"/>
  <c r="AO9" i="103"/>
  <c r="AF9" i="103"/>
  <c r="AC9" i="103"/>
  <c r="Z9" i="103"/>
  <c r="E9" i="103"/>
  <c r="U66" i="102"/>
  <c r="N66" i="102"/>
  <c r="J66" i="102"/>
  <c r="I66" i="102"/>
  <c r="H66" i="102"/>
  <c r="G66" i="102"/>
  <c r="D66" i="102"/>
  <c r="C66" i="102"/>
  <c r="U65" i="102"/>
  <c r="N65" i="102"/>
  <c r="I65" i="102"/>
  <c r="G65" i="102"/>
  <c r="D65" i="102"/>
  <c r="U64" i="102"/>
  <c r="N64" i="102"/>
  <c r="J64" i="102"/>
  <c r="I64" i="102"/>
  <c r="H64" i="102"/>
  <c r="G64" i="102"/>
  <c r="D64" i="102"/>
  <c r="C64" i="102"/>
  <c r="J57" i="102"/>
  <c r="I57" i="102"/>
  <c r="AQ52" i="102"/>
  <c r="AE52" i="102"/>
  <c r="AD52" i="102"/>
  <c r="AB52" i="102"/>
  <c r="AA52" i="102"/>
  <c r="Y52" i="102"/>
  <c r="X52" i="102"/>
  <c r="U52" i="102"/>
  <c r="N52" i="102"/>
  <c r="I52" i="102"/>
  <c r="D52" i="102"/>
  <c r="AQ51" i="102"/>
  <c r="AF51" i="102"/>
  <c r="AC51" i="102"/>
  <c r="Z51" i="102"/>
  <c r="C51" i="102"/>
  <c r="E51" i="102" s="1"/>
  <c r="F51" i="102" s="1"/>
  <c r="AQ50" i="102"/>
  <c r="AF50" i="102"/>
  <c r="AC50" i="102"/>
  <c r="Z50" i="102"/>
  <c r="E50" i="102"/>
  <c r="F50" i="102" s="1"/>
  <c r="L50" i="102" s="1"/>
  <c r="M50" i="102" s="1"/>
  <c r="AQ49" i="102"/>
  <c r="AF49" i="102"/>
  <c r="AC49" i="102"/>
  <c r="Z49" i="102"/>
  <c r="G49" i="102"/>
  <c r="E49" i="102"/>
  <c r="F49" i="102" s="1"/>
  <c r="L49" i="102" s="1"/>
  <c r="AQ48" i="102"/>
  <c r="AF48" i="102"/>
  <c r="AC48" i="102"/>
  <c r="Z48" i="102"/>
  <c r="K48" i="102"/>
  <c r="G48" i="102"/>
  <c r="E48" i="102"/>
  <c r="F48" i="102" s="1"/>
  <c r="L48" i="102" s="1"/>
  <c r="AQ47" i="102"/>
  <c r="AF47" i="102"/>
  <c r="AC47" i="102"/>
  <c r="Z47" i="102"/>
  <c r="K47" i="102"/>
  <c r="G47" i="102"/>
  <c r="E47" i="102"/>
  <c r="F47" i="102" s="1"/>
  <c r="L47" i="102" s="1"/>
  <c r="AQ46" i="102"/>
  <c r="AF46" i="102"/>
  <c r="AC46" i="102"/>
  <c r="Z46" i="102"/>
  <c r="H46" i="102"/>
  <c r="E46" i="102"/>
  <c r="F46" i="102" s="1"/>
  <c r="L46" i="102" s="1"/>
  <c r="AQ45" i="102"/>
  <c r="AF45" i="102"/>
  <c r="AC45" i="102"/>
  <c r="Z45" i="102"/>
  <c r="E45" i="102"/>
  <c r="F45" i="102" s="1"/>
  <c r="L45" i="102" s="1"/>
  <c r="AQ44" i="102"/>
  <c r="AF44" i="102"/>
  <c r="AC44" i="102"/>
  <c r="Z44" i="102"/>
  <c r="G44" i="102"/>
  <c r="C44" i="102"/>
  <c r="E44" i="102" s="1"/>
  <c r="AO43" i="102"/>
  <c r="AF43" i="102"/>
  <c r="AC43" i="102"/>
  <c r="Z43" i="102"/>
  <c r="E43" i="102"/>
  <c r="F43" i="102" s="1"/>
  <c r="K43" i="102" s="1"/>
  <c r="AQ42" i="102"/>
  <c r="AG42" i="102"/>
  <c r="W42" i="102"/>
  <c r="AQ41" i="102"/>
  <c r="AF41" i="102"/>
  <c r="AC41" i="102"/>
  <c r="Z41" i="102"/>
  <c r="F41" i="102"/>
  <c r="M41" i="102" s="1"/>
  <c r="O41" i="102" s="1"/>
  <c r="P41" i="102" s="1"/>
  <c r="E41" i="102"/>
  <c r="AQ40" i="102"/>
  <c r="AF40" i="102"/>
  <c r="AC40" i="102"/>
  <c r="Z40" i="102"/>
  <c r="H40" i="102"/>
  <c r="E40" i="102"/>
  <c r="F40" i="102" s="1"/>
  <c r="AQ39" i="102"/>
  <c r="AF39" i="102"/>
  <c r="AC39" i="102"/>
  <c r="Z39" i="102"/>
  <c r="C39" i="102"/>
  <c r="E39" i="102" s="1"/>
  <c r="F39" i="102" s="1"/>
  <c r="M39" i="102" s="1"/>
  <c r="AQ38" i="102"/>
  <c r="AF38" i="102"/>
  <c r="AC38" i="102"/>
  <c r="Z38" i="102"/>
  <c r="E38" i="102"/>
  <c r="F38" i="102" s="1"/>
  <c r="M38" i="102" s="1"/>
  <c r="AQ37" i="102"/>
  <c r="AF37" i="102"/>
  <c r="AC37" i="102"/>
  <c r="Z37" i="102"/>
  <c r="E37" i="102"/>
  <c r="F37" i="102" s="1"/>
  <c r="AQ36" i="102"/>
  <c r="AF36" i="102"/>
  <c r="AC36" i="102"/>
  <c r="Z36" i="102"/>
  <c r="E36" i="102"/>
  <c r="F36" i="102" s="1"/>
  <c r="AQ35" i="102"/>
  <c r="AF35" i="102"/>
  <c r="AC35" i="102"/>
  <c r="Z35" i="102"/>
  <c r="K35" i="102"/>
  <c r="E35" i="102"/>
  <c r="F35" i="102" s="1"/>
  <c r="AO34" i="102"/>
  <c r="AF34" i="102"/>
  <c r="AC34" i="102"/>
  <c r="Z34" i="102"/>
  <c r="K34" i="102"/>
  <c r="J34" i="102"/>
  <c r="E34" i="102"/>
  <c r="F34" i="102" s="1"/>
  <c r="L34" i="102" s="1"/>
  <c r="AQ33" i="102"/>
  <c r="AF33" i="102"/>
  <c r="AC33" i="102"/>
  <c r="Z33" i="102"/>
  <c r="K33" i="102"/>
  <c r="E33" i="102"/>
  <c r="F33" i="102" s="1"/>
  <c r="AO32" i="102"/>
  <c r="AF32" i="102"/>
  <c r="AC32" i="102"/>
  <c r="Z32" i="102"/>
  <c r="K32" i="102"/>
  <c r="E32" i="102"/>
  <c r="F32" i="102" s="1"/>
  <c r="AQ31" i="102"/>
  <c r="AF31" i="102"/>
  <c r="AC31" i="102"/>
  <c r="Z31" i="102"/>
  <c r="K31" i="102"/>
  <c r="E31" i="102"/>
  <c r="F31" i="102" s="1"/>
  <c r="AQ30" i="102"/>
  <c r="AF30" i="102"/>
  <c r="AC30" i="102"/>
  <c r="Z30" i="102"/>
  <c r="K30" i="102"/>
  <c r="E30" i="102"/>
  <c r="F30" i="102" s="1"/>
  <c r="AO29" i="102"/>
  <c r="AF29" i="102"/>
  <c r="AC29" i="102"/>
  <c r="Z29" i="102"/>
  <c r="K29" i="102"/>
  <c r="E29" i="102"/>
  <c r="F29" i="102" s="1"/>
  <c r="L29" i="102" s="1"/>
  <c r="AO28" i="102"/>
  <c r="AF28" i="102"/>
  <c r="AC28" i="102"/>
  <c r="Z28" i="102"/>
  <c r="E28" i="102"/>
  <c r="F28" i="102" s="1"/>
  <c r="K28" i="102" s="1"/>
  <c r="AQ27" i="102"/>
  <c r="AF27" i="102"/>
  <c r="AC27" i="102"/>
  <c r="Z27" i="102"/>
  <c r="C27" i="102"/>
  <c r="E27" i="102" s="1"/>
  <c r="F27" i="102" s="1"/>
  <c r="L27" i="102" s="1"/>
  <c r="AQ26" i="102"/>
  <c r="AF26" i="102"/>
  <c r="AC26" i="102"/>
  <c r="Z26" i="102"/>
  <c r="K26" i="102"/>
  <c r="E26" i="102"/>
  <c r="F26" i="102" s="1"/>
  <c r="AQ25" i="102"/>
  <c r="AF25" i="102"/>
  <c r="AC25" i="102"/>
  <c r="Z25" i="102"/>
  <c r="E25" i="102"/>
  <c r="F25" i="102" s="1"/>
  <c r="AQ24" i="102"/>
  <c r="AF24" i="102"/>
  <c r="AC24" i="102"/>
  <c r="Z24" i="102"/>
  <c r="E24" i="102"/>
  <c r="F24" i="102" s="1"/>
  <c r="AQ23" i="102"/>
  <c r="AF23" i="102"/>
  <c r="AC23" i="102"/>
  <c r="Z23" i="102"/>
  <c r="E23" i="102"/>
  <c r="F23" i="102" s="1"/>
  <c r="L23" i="102" s="1"/>
  <c r="AQ22" i="102"/>
  <c r="AF22" i="102"/>
  <c r="AC22" i="102"/>
  <c r="Z22" i="102"/>
  <c r="E22" i="102"/>
  <c r="F22" i="102" s="1"/>
  <c r="AO21" i="102"/>
  <c r="AF21" i="102"/>
  <c r="AC21" i="102"/>
  <c r="Z21" i="102"/>
  <c r="K21" i="102"/>
  <c r="H21" i="102"/>
  <c r="E21" i="102"/>
  <c r="F21" i="102" s="1"/>
  <c r="L21" i="102" s="1"/>
  <c r="AO20" i="102"/>
  <c r="AF20" i="102"/>
  <c r="AC20" i="102"/>
  <c r="Z20" i="102"/>
  <c r="E20" i="102"/>
  <c r="F20" i="102" s="1"/>
  <c r="AQ19" i="102"/>
  <c r="AF19" i="102"/>
  <c r="AC19" i="102"/>
  <c r="Z19" i="102"/>
  <c r="E19" i="102"/>
  <c r="F19" i="102" s="1"/>
  <c r="K19" i="102" s="1"/>
  <c r="AQ18" i="102"/>
  <c r="AF18" i="102"/>
  <c r="AC18" i="102"/>
  <c r="Z18" i="102"/>
  <c r="K18" i="102"/>
  <c r="E18" i="102"/>
  <c r="F18" i="102" s="1"/>
  <c r="AQ17" i="102"/>
  <c r="AF17" i="102"/>
  <c r="AC17" i="102"/>
  <c r="Z17" i="102"/>
  <c r="E17" i="102"/>
  <c r="F17" i="102" s="1"/>
  <c r="L17" i="102" s="1"/>
  <c r="AO16" i="102"/>
  <c r="AF16" i="102"/>
  <c r="AC16" i="102"/>
  <c r="Z16" i="102"/>
  <c r="E16" i="102"/>
  <c r="F16" i="102" s="1"/>
  <c r="L16" i="102" s="1"/>
  <c r="AO15" i="102"/>
  <c r="AF15" i="102"/>
  <c r="AC15" i="102"/>
  <c r="Z15" i="102"/>
  <c r="E15" i="102"/>
  <c r="F15" i="102" s="1"/>
  <c r="K15" i="102" s="1"/>
  <c r="AO14" i="102"/>
  <c r="AF14" i="102"/>
  <c r="AC14" i="102"/>
  <c r="Z14" i="102"/>
  <c r="H14" i="102"/>
  <c r="E14" i="102"/>
  <c r="F14" i="102" s="1"/>
  <c r="K14" i="102" s="1"/>
  <c r="AQ13" i="102"/>
  <c r="AF13" i="102"/>
  <c r="AC13" i="102"/>
  <c r="Z13" i="102"/>
  <c r="K13" i="102"/>
  <c r="H13" i="102"/>
  <c r="E13" i="102"/>
  <c r="AO12" i="102"/>
  <c r="AF12" i="102"/>
  <c r="AC12" i="102"/>
  <c r="Z12" i="102"/>
  <c r="E12" i="102"/>
  <c r="F12" i="102" s="1"/>
  <c r="L12" i="102" s="1"/>
  <c r="M12" i="102" s="1"/>
  <c r="AO11" i="102"/>
  <c r="AF11" i="102"/>
  <c r="AC11" i="102"/>
  <c r="Z11" i="102"/>
  <c r="E11" i="102"/>
  <c r="AO10" i="102"/>
  <c r="AF10" i="102"/>
  <c r="AC10" i="102"/>
  <c r="Z10" i="102"/>
  <c r="E10" i="102"/>
  <c r="F10" i="102" s="1"/>
  <c r="K10" i="102" s="1"/>
  <c r="AO9" i="102"/>
  <c r="AF9" i="102"/>
  <c r="AC9" i="102"/>
  <c r="Z9" i="102"/>
  <c r="E9" i="102"/>
  <c r="F9" i="102" s="1"/>
  <c r="G28" i="101"/>
  <c r="AE23" i="101"/>
  <c r="AD23" i="101"/>
  <c r="AB23" i="101"/>
  <c r="AA23" i="101"/>
  <c r="Y23" i="101"/>
  <c r="X23" i="101"/>
  <c r="U23" i="101"/>
  <c r="H23" i="101"/>
  <c r="G23" i="101"/>
  <c r="D23" i="101"/>
  <c r="AS22" i="101"/>
  <c r="AF22" i="101"/>
  <c r="AC22" i="101"/>
  <c r="Z22" i="101"/>
  <c r="C22" i="101"/>
  <c r="E22" i="101" s="1"/>
  <c r="F22" i="101" s="1"/>
  <c r="M22" i="101" s="1"/>
  <c r="O22" i="101" s="1"/>
  <c r="AS21" i="101"/>
  <c r="AF21" i="101"/>
  <c r="AC21" i="101"/>
  <c r="Z21" i="101"/>
  <c r="K21" i="101"/>
  <c r="E21" i="101"/>
  <c r="F21" i="101" s="1"/>
  <c r="AS20" i="101"/>
  <c r="AF20" i="101"/>
  <c r="AC20" i="101"/>
  <c r="Z20" i="101"/>
  <c r="K20" i="101"/>
  <c r="J20" i="101"/>
  <c r="E20" i="101"/>
  <c r="F20" i="101" s="1"/>
  <c r="AS19" i="101"/>
  <c r="AF19" i="101"/>
  <c r="AC19" i="101"/>
  <c r="Z19" i="101"/>
  <c r="E19" i="101"/>
  <c r="F19" i="101" s="1"/>
  <c r="AS18" i="101"/>
  <c r="AF18" i="101"/>
  <c r="AC18" i="101"/>
  <c r="Z18" i="101"/>
  <c r="E18" i="101"/>
  <c r="F18" i="101" s="1"/>
  <c r="L18" i="101" s="1"/>
  <c r="AS17" i="101"/>
  <c r="AF17" i="101"/>
  <c r="AC17" i="101"/>
  <c r="Z17" i="101"/>
  <c r="K17" i="101"/>
  <c r="J17" i="101"/>
  <c r="E17" i="101"/>
  <c r="F17" i="101" s="1"/>
  <c r="L17" i="101" s="1"/>
  <c r="AS16" i="101"/>
  <c r="AF16" i="101"/>
  <c r="AC16" i="101"/>
  <c r="Z16" i="101"/>
  <c r="K16" i="101"/>
  <c r="J16" i="101"/>
  <c r="E16" i="101"/>
  <c r="F16" i="101" s="1"/>
  <c r="L16" i="101" s="1"/>
  <c r="AS15" i="101"/>
  <c r="AF15" i="101"/>
  <c r="AC15" i="101"/>
  <c r="Z15" i="101"/>
  <c r="K15" i="101"/>
  <c r="J15" i="101"/>
  <c r="C15" i="101"/>
  <c r="AS14" i="101"/>
  <c r="AF14" i="101"/>
  <c r="AC14" i="101"/>
  <c r="Z14" i="101"/>
  <c r="K14" i="101"/>
  <c r="E14" i="101"/>
  <c r="F14" i="101" s="1"/>
  <c r="L14" i="101" s="1"/>
  <c r="AS13" i="101"/>
  <c r="AF13" i="101"/>
  <c r="AC13" i="101"/>
  <c r="Z13" i="101"/>
  <c r="K13" i="101"/>
  <c r="E13" i="101"/>
  <c r="F13" i="101" s="1"/>
  <c r="L13" i="101" s="1"/>
  <c r="AS12" i="101"/>
  <c r="AF12" i="101"/>
  <c r="AC12" i="101"/>
  <c r="Z12" i="101"/>
  <c r="E12" i="101"/>
  <c r="F12" i="101" s="1"/>
  <c r="AS11" i="101"/>
  <c r="AF11" i="101"/>
  <c r="AC11" i="101"/>
  <c r="Z11" i="101"/>
  <c r="K11" i="101"/>
  <c r="E11" i="101"/>
  <c r="F11" i="101" s="1"/>
  <c r="L11" i="101" s="1"/>
  <c r="AS10" i="101"/>
  <c r="AO10" i="101"/>
  <c r="AF10" i="101"/>
  <c r="AC10" i="101"/>
  <c r="Z10" i="101"/>
  <c r="K10" i="101"/>
  <c r="I10" i="101"/>
  <c r="I23" i="101" s="1"/>
  <c r="E10" i="101"/>
  <c r="F10" i="101" s="1"/>
  <c r="L10" i="101" s="1"/>
  <c r="AS9" i="101"/>
  <c r="AO9" i="101"/>
  <c r="AF9" i="101"/>
  <c r="AC9" i="101"/>
  <c r="Z9" i="101"/>
  <c r="E9" i="101"/>
  <c r="F9" i="101" s="1"/>
  <c r="L9" i="101" s="1"/>
  <c r="AE21" i="100"/>
  <c r="AD21" i="100"/>
  <c r="AB21" i="100"/>
  <c r="AA21" i="100"/>
  <c r="Y21" i="100"/>
  <c r="X21" i="100"/>
  <c r="U21" i="100"/>
  <c r="J21" i="100"/>
  <c r="I21" i="100"/>
  <c r="D21" i="100"/>
  <c r="C21" i="100"/>
  <c r="AF20" i="100"/>
  <c r="AC20" i="100"/>
  <c r="Z20" i="100"/>
  <c r="H20" i="100"/>
  <c r="G20" i="100"/>
  <c r="E20" i="100"/>
  <c r="F20" i="100" s="1"/>
  <c r="L20" i="100" s="1"/>
  <c r="AF19" i="100"/>
  <c r="AC19" i="100"/>
  <c r="Z19" i="100"/>
  <c r="E19" i="100"/>
  <c r="F19" i="100" s="1"/>
  <c r="L19" i="100" s="1"/>
  <c r="M19" i="100" s="1"/>
  <c r="O19" i="100" s="1"/>
  <c r="P19" i="100" s="1"/>
  <c r="Q19" i="100" s="1"/>
  <c r="AF18" i="100"/>
  <c r="AC18" i="100"/>
  <c r="Z18" i="100"/>
  <c r="H18" i="100"/>
  <c r="G18" i="100"/>
  <c r="E18" i="100"/>
  <c r="F18" i="100" s="1"/>
  <c r="L18" i="100" s="1"/>
  <c r="AF17" i="100"/>
  <c r="AC17" i="100"/>
  <c r="Z17" i="100"/>
  <c r="E17" i="100"/>
  <c r="F17" i="100" s="1"/>
  <c r="AF16" i="100"/>
  <c r="AC16" i="100"/>
  <c r="Z16" i="100"/>
  <c r="H16" i="100"/>
  <c r="G16" i="100"/>
  <c r="E16" i="100"/>
  <c r="F16" i="100" s="1"/>
  <c r="AF15" i="100"/>
  <c r="AC15" i="100"/>
  <c r="Z15" i="100"/>
  <c r="K15" i="100"/>
  <c r="E15" i="100"/>
  <c r="F15" i="100" s="1"/>
  <c r="L15" i="100" s="1"/>
  <c r="AF14" i="100"/>
  <c r="AC14" i="100"/>
  <c r="Z14" i="100"/>
  <c r="E14" i="100"/>
  <c r="F14" i="100" s="1"/>
  <c r="L14" i="100" s="1"/>
  <c r="AF13" i="100"/>
  <c r="AC13" i="100"/>
  <c r="Z13" i="100"/>
  <c r="E13" i="100"/>
  <c r="F13" i="100" s="1"/>
  <c r="L13" i="100" s="1"/>
  <c r="AF12" i="100"/>
  <c r="AC12" i="100"/>
  <c r="Z12" i="100"/>
  <c r="AG12" i="100" s="1"/>
  <c r="E12" i="100"/>
  <c r="F12" i="100" s="1"/>
  <c r="AF11" i="100"/>
  <c r="AC11" i="100"/>
  <c r="Z11" i="100"/>
  <c r="E11" i="100"/>
  <c r="F11" i="100" s="1"/>
  <c r="L11" i="100" s="1"/>
  <c r="AO10" i="100"/>
  <c r="AF10" i="100"/>
  <c r="AC10" i="100"/>
  <c r="Z10" i="100"/>
  <c r="E10" i="100"/>
  <c r="AO9" i="100"/>
  <c r="AF9" i="100"/>
  <c r="AC9" i="100"/>
  <c r="Z9" i="100"/>
  <c r="K9" i="100"/>
  <c r="E9" i="100"/>
  <c r="F9" i="100" s="1"/>
  <c r="AE28" i="99"/>
  <c r="AD28" i="99"/>
  <c r="AB28" i="99"/>
  <c r="AA28" i="99"/>
  <c r="Y28" i="99"/>
  <c r="X28" i="99"/>
  <c r="U28" i="99"/>
  <c r="N28" i="99"/>
  <c r="J28" i="99"/>
  <c r="I28" i="99"/>
  <c r="G28" i="99"/>
  <c r="D28" i="99"/>
  <c r="C28" i="99"/>
  <c r="AL27" i="99"/>
  <c r="AF27" i="99"/>
  <c r="AC27" i="99"/>
  <c r="Z27" i="99"/>
  <c r="H27" i="99"/>
  <c r="E27" i="99"/>
  <c r="F27" i="99" s="1"/>
  <c r="AL26" i="99"/>
  <c r="AF26" i="99"/>
  <c r="AC26" i="99"/>
  <c r="Z26" i="99"/>
  <c r="H26" i="99"/>
  <c r="E26" i="99"/>
  <c r="F26" i="99" s="1"/>
  <c r="AL25" i="99"/>
  <c r="AF25" i="99"/>
  <c r="AC25" i="99"/>
  <c r="Z25" i="99"/>
  <c r="H25" i="99"/>
  <c r="E25" i="99"/>
  <c r="F25" i="99" s="1"/>
  <c r="AL24" i="99"/>
  <c r="AF24" i="99"/>
  <c r="AC24" i="99"/>
  <c r="Z24" i="99"/>
  <c r="K24" i="99"/>
  <c r="H24" i="99"/>
  <c r="E24" i="99"/>
  <c r="F24" i="99" s="1"/>
  <c r="AL23" i="99"/>
  <c r="AF23" i="99"/>
  <c r="AC23" i="99"/>
  <c r="Z23" i="99"/>
  <c r="E23" i="99"/>
  <c r="F23" i="99" s="1"/>
  <c r="L23" i="99" s="1"/>
  <c r="AL22" i="99"/>
  <c r="AF22" i="99"/>
  <c r="AC22" i="99"/>
  <c r="Z22" i="99"/>
  <c r="K22" i="99"/>
  <c r="H22" i="99"/>
  <c r="E22" i="99"/>
  <c r="F22" i="99" s="1"/>
  <c r="L22" i="99" s="1"/>
  <c r="AL21" i="99"/>
  <c r="AF21" i="99"/>
  <c r="AC21" i="99"/>
  <c r="Z21" i="99"/>
  <c r="H21" i="99"/>
  <c r="E21" i="99"/>
  <c r="F21" i="99" s="1"/>
  <c r="AL20" i="99"/>
  <c r="AF20" i="99"/>
  <c r="AC20" i="99"/>
  <c r="Z20" i="99"/>
  <c r="K20" i="99"/>
  <c r="H20" i="99"/>
  <c r="E20" i="99"/>
  <c r="F20" i="99" s="1"/>
  <c r="AL19" i="99"/>
  <c r="AF19" i="99"/>
  <c r="AC19" i="99"/>
  <c r="Z19" i="99"/>
  <c r="K19" i="99"/>
  <c r="H19" i="99"/>
  <c r="E19" i="99"/>
  <c r="F19" i="99" s="1"/>
  <c r="L19" i="99" s="1"/>
  <c r="AL18" i="99"/>
  <c r="AF18" i="99"/>
  <c r="AC18" i="99"/>
  <c r="Z18" i="99"/>
  <c r="H18" i="99"/>
  <c r="E18" i="99"/>
  <c r="F18" i="99" s="1"/>
  <c r="AL17" i="99"/>
  <c r="AF17" i="99"/>
  <c r="AC17" i="99"/>
  <c r="Z17" i="99"/>
  <c r="K17" i="99"/>
  <c r="H17" i="99"/>
  <c r="E17" i="99"/>
  <c r="F17" i="99" s="1"/>
  <c r="L17" i="99" s="1"/>
  <c r="AL16" i="99"/>
  <c r="AF16" i="99"/>
  <c r="AC16" i="99"/>
  <c r="Z16" i="99"/>
  <c r="K16" i="99"/>
  <c r="H16" i="99"/>
  <c r="E16" i="99"/>
  <c r="F16" i="99" s="1"/>
  <c r="AL15" i="99"/>
  <c r="AF15" i="99"/>
  <c r="AC15" i="99"/>
  <c r="Z15" i="99"/>
  <c r="H15" i="99"/>
  <c r="E15" i="99"/>
  <c r="F15" i="99" s="1"/>
  <c r="AL14" i="99"/>
  <c r="AF14" i="99"/>
  <c r="AC14" i="99"/>
  <c r="Z14" i="99"/>
  <c r="H14" i="99"/>
  <c r="E14" i="99"/>
  <c r="F14" i="99" s="1"/>
  <c r="L14" i="99" s="1"/>
  <c r="AL13" i="99"/>
  <c r="AF13" i="99"/>
  <c r="AC13" i="99"/>
  <c r="Z13" i="99"/>
  <c r="H13" i="99"/>
  <c r="E13" i="99"/>
  <c r="F13" i="99" s="1"/>
  <c r="L13" i="99" s="1"/>
  <c r="AL12" i="99"/>
  <c r="AF12" i="99"/>
  <c r="AC12" i="99"/>
  <c r="Z12" i="99"/>
  <c r="H12" i="99"/>
  <c r="E12" i="99"/>
  <c r="AL11" i="99"/>
  <c r="AF11" i="99"/>
  <c r="AC11" i="99"/>
  <c r="Z11" i="99"/>
  <c r="K11" i="99"/>
  <c r="H11" i="99"/>
  <c r="E11" i="99"/>
  <c r="F11" i="99" s="1"/>
  <c r="L11" i="99" s="1"/>
  <c r="AL10" i="99"/>
  <c r="AF10" i="99"/>
  <c r="AC10" i="99"/>
  <c r="Z10" i="99"/>
  <c r="K10" i="99"/>
  <c r="E10" i="99"/>
  <c r="F10" i="99" s="1"/>
  <c r="L10" i="99" s="1"/>
  <c r="AL9" i="99"/>
  <c r="AF9" i="99"/>
  <c r="AC9" i="99"/>
  <c r="Z9" i="99"/>
  <c r="K9" i="99"/>
  <c r="E9" i="99"/>
  <c r="F9" i="99" s="1"/>
  <c r="L9" i="99" s="1"/>
  <c r="K14" i="105"/>
  <c r="L9" i="107"/>
  <c r="K13" i="106"/>
  <c r="L51" i="108"/>
  <c r="M51" i="108" s="1"/>
  <c r="O51" i="108" s="1"/>
  <c r="L15" i="108"/>
  <c r="L36" i="108"/>
  <c r="M36" i="108" s="1"/>
  <c r="O36" i="108" s="1"/>
  <c r="P36" i="108" s="1"/>
  <c r="K14" i="108"/>
  <c r="L16" i="108"/>
  <c r="K16" i="108"/>
  <c r="AG19" i="110"/>
  <c r="F13" i="108"/>
  <c r="L13" i="108" s="1"/>
  <c r="L18" i="110"/>
  <c r="K16" i="110"/>
  <c r="L24" i="110"/>
  <c r="M24" i="110" s="1"/>
  <c r="O24" i="110" s="1"/>
  <c r="P24" i="110" s="1"/>
  <c r="L23" i="109"/>
  <c r="M23" i="109" s="1"/>
  <c r="K12" i="110"/>
  <c r="L24" i="99"/>
  <c r="L21" i="99"/>
  <c r="K14" i="99"/>
  <c r="M17" i="102"/>
  <c r="L20" i="102"/>
  <c r="K20" i="102"/>
  <c r="M17" i="101"/>
  <c r="O17" i="101" s="1"/>
  <c r="P17" i="101" s="1"/>
  <c r="F11" i="102"/>
  <c r="K11" i="102" s="1"/>
  <c r="K23" i="102"/>
  <c r="L15" i="103"/>
  <c r="F9" i="104"/>
  <c r="L9" i="104" s="1"/>
  <c r="M9" i="104" s="1"/>
  <c r="O9" i="104" s="1"/>
  <c r="P9" i="104" s="1"/>
  <c r="K14" i="104"/>
  <c r="K21" i="103"/>
  <c r="L9" i="105"/>
  <c r="O17" i="102"/>
  <c r="P17" i="102" s="1"/>
  <c r="Q17" i="102" s="1"/>
  <c r="AL13" i="80"/>
  <c r="AL15" i="80"/>
  <c r="AL11" i="80"/>
  <c r="AL10" i="80"/>
  <c r="AL9" i="80"/>
  <c r="K10" i="80"/>
  <c r="AO10" i="81"/>
  <c r="AO9" i="81"/>
  <c r="AO43" i="84"/>
  <c r="AO34" i="84"/>
  <c r="AO32" i="84"/>
  <c r="AO29" i="84"/>
  <c r="AO28" i="84"/>
  <c r="AO21" i="84"/>
  <c r="AO20" i="84"/>
  <c r="AO16" i="84"/>
  <c r="AO15" i="84"/>
  <c r="AO14" i="84"/>
  <c r="AO12" i="84"/>
  <c r="AO10" i="84"/>
  <c r="AO11" i="84"/>
  <c r="AO9" i="84"/>
  <c r="AO14" i="86"/>
  <c r="AO10" i="86"/>
  <c r="AO9" i="86"/>
  <c r="AO11" i="85"/>
  <c r="AO10" i="85"/>
  <c r="AO9" i="85"/>
  <c r="AG42" i="84"/>
  <c r="K34" i="84"/>
  <c r="K31" i="84"/>
  <c r="K21" i="84"/>
  <c r="K18" i="84"/>
  <c r="H16" i="42"/>
  <c r="E16" i="42"/>
  <c r="D15" i="42"/>
  <c r="C15" i="42"/>
  <c r="D14" i="42"/>
  <c r="C14" i="42"/>
  <c r="D13" i="42"/>
  <c r="C13" i="42"/>
  <c r="G12" i="42"/>
  <c r="F12" i="42"/>
  <c r="F16" i="42" s="1"/>
  <c r="D12" i="42"/>
  <c r="D11" i="42"/>
  <c r="C11" i="42"/>
  <c r="D10" i="42"/>
  <c r="C10" i="42"/>
  <c r="H17" i="80"/>
  <c r="H16" i="80"/>
  <c r="H27" i="86"/>
  <c r="H10" i="86"/>
  <c r="H11" i="86"/>
  <c r="X25" i="85"/>
  <c r="AF23" i="85"/>
  <c r="AC23" i="85"/>
  <c r="Z23" i="85"/>
  <c r="AF20" i="85"/>
  <c r="AC20" i="85"/>
  <c r="Z20" i="85"/>
  <c r="AF19" i="85"/>
  <c r="AC19" i="85"/>
  <c r="Z19" i="85"/>
  <c r="AF18" i="85"/>
  <c r="AC18" i="85"/>
  <c r="Z18" i="85"/>
  <c r="AS9" i="85"/>
  <c r="J17" i="85"/>
  <c r="H11" i="85"/>
  <c r="E18" i="85"/>
  <c r="F18" i="85" s="1"/>
  <c r="L18" i="85" s="1"/>
  <c r="E19" i="85"/>
  <c r="F19" i="85" s="1"/>
  <c r="E20" i="85"/>
  <c r="F20" i="85" s="1"/>
  <c r="L20" i="85" s="1"/>
  <c r="M20" i="85" s="1"/>
  <c r="E21" i="85"/>
  <c r="F21" i="85" s="1"/>
  <c r="K21" i="85" s="1"/>
  <c r="E22" i="85"/>
  <c r="F22" i="85" s="1"/>
  <c r="L22" i="85" s="1"/>
  <c r="E23" i="85"/>
  <c r="F23" i="85" s="1"/>
  <c r="AL12" i="80"/>
  <c r="AL14" i="80"/>
  <c r="AL16" i="80"/>
  <c r="AL17" i="80"/>
  <c r="AL18" i="80"/>
  <c r="AL19" i="80"/>
  <c r="AL20" i="80"/>
  <c r="AL21" i="80"/>
  <c r="AL22" i="80"/>
  <c r="AL23" i="80"/>
  <c r="AL24" i="80"/>
  <c r="AL25" i="80"/>
  <c r="AL26" i="80"/>
  <c r="W42" i="84"/>
  <c r="K30" i="84"/>
  <c r="K35" i="84"/>
  <c r="K48" i="84"/>
  <c r="K33" i="84"/>
  <c r="K32" i="84"/>
  <c r="K13" i="84"/>
  <c r="K47" i="84"/>
  <c r="K29" i="84"/>
  <c r="H21" i="84"/>
  <c r="H14" i="84"/>
  <c r="H13" i="84"/>
  <c r="G49" i="84"/>
  <c r="G48" i="84"/>
  <c r="G47" i="84"/>
  <c r="G44" i="84"/>
  <c r="C51" i="84"/>
  <c r="C44" i="84"/>
  <c r="E44" i="84" s="1"/>
  <c r="F44" i="84" s="1"/>
  <c r="L44" i="84" s="1"/>
  <c r="C39" i="84"/>
  <c r="E39" i="84" s="1"/>
  <c r="F39" i="84" s="1"/>
  <c r="M39" i="84" s="1"/>
  <c r="C27" i="84"/>
  <c r="E27" i="84" s="1"/>
  <c r="F27" i="84" s="1"/>
  <c r="L27" i="84" s="1"/>
  <c r="J57" i="84"/>
  <c r="G13" i="111" s="1"/>
  <c r="G16" i="42"/>
  <c r="I57" i="84"/>
  <c r="F13" i="111" s="1"/>
  <c r="K19" i="80"/>
  <c r="K24" i="80"/>
  <c r="K16" i="80"/>
  <c r="K17" i="80"/>
  <c r="K22" i="80"/>
  <c r="K11" i="80"/>
  <c r="K9" i="80"/>
  <c r="K20" i="80"/>
  <c r="K9" i="81"/>
  <c r="K15" i="81"/>
  <c r="AL27" i="80"/>
  <c r="H19" i="80"/>
  <c r="H24" i="80"/>
  <c r="H27" i="80"/>
  <c r="H14" i="80"/>
  <c r="H21" i="80"/>
  <c r="H18" i="80"/>
  <c r="H22" i="80"/>
  <c r="H26" i="80"/>
  <c r="H11" i="80"/>
  <c r="H12" i="80"/>
  <c r="H13" i="80"/>
  <c r="H15" i="80"/>
  <c r="H20" i="80"/>
  <c r="H25" i="80"/>
  <c r="AQ13" i="84"/>
  <c r="AQ17" i="84"/>
  <c r="AQ18" i="84"/>
  <c r="AQ19" i="84"/>
  <c r="AQ22" i="84"/>
  <c r="AQ23" i="84"/>
  <c r="AQ24" i="84"/>
  <c r="AQ25" i="84"/>
  <c r="AQ26" i="84"/>
  <c r="AQ27" i="84"/>
  <c r="AQ30" i="84"/>
  <c r="AQ31" i="84"/>
  <c r="AQ33" i="84"/>
  <c r="AQ35" i="84"/>
  <c r="AQ36" i="84"/>
  <c r="AQ37" i="84"/>
  <c r="AQ38" i="84"/>
  <c r="AQ39" i="84"/>
  <c r="AQ40" i="84"/>
  <c r="AQ41" i="84"/>
  <c r="AQ42" i="84"/>
  <c r="AQ44" i="84"/>
  <c r="AQ45" i="84"/>
  <c r="AQ46" i="84"/>
  <c r="AQ47" i="84"/>
  <c r="AQ48" i="84"/>
  <c r="AQ49" i="84"/>
  <c r="AQ50" i="84"/>
  <c r="AQ51" i="84"/>
  <c r="AQ52" i="84"/>
  <c r="E25" i="86"/>
  <c r="F25" i="86" s="1"/>
  <c r="L25" i="86" s="1"/>
  <c r="M25" i="86" s="1"/>
  <c r="AS25" i="86"/>
  <c r="E24" i="86"/>
  <c r="F24" i="86" s="1"/>
  <c r="AS24" i="86"/>
  <c r="C28" i="86"/>
  <c r="B15" i="111" s="1"/>
  <c r="J34" i="84"/>
  <c r="H46" i="84"/>
  <c r="H40" i="84"/>
  <c r="K26" i="84"/>
  <c r="G22" i="85"/>
  <c r="G25" i="85" s="1"/>
  <c r="H21" i="85"/>
  <c r="H15" i="85"/>
  <c r="H17" i="85"/>
  <c r="H14" i="85"/>
  <c r="H16" i="85"/>
  <c r="H13" i="85"/>
  <c r="H22" i="85"/>
  <c r="K17" i="85"/>
  <c r="G18" i="81"/>
  <c r="G20" i="81"/>
  <c r="G16" i="81"/>
  <c r="H18" i="81"/>
  <c r="H20" i="81"/>
  <c r="H16" i="81"/>
  <c r="G26" i="86"/>
  <c r="G27" i="86"/>
  <c r="G23" i="86"/>
  <c r="H26" i="86"/>
  <c r="H23" i="86"/>
  <c r="H17" i="86"/>
  <c r="H19" i="86"/>
  <c r="H21" i="86"/>
  <c r="H18" i="86"/>
  <c r="H12" i="86"/>
  <c r="K10" i="86"/>
  <c r="K13" i="86"/>
  <c r="K11" i="86"/>
  <c r="K18" i="86"/>
  <c r="K23" i="86"/>
  <c r="E13" i="84"/>
  <c r="F13" i="84" s="1"/>
  <c r="L13" i="84" s="1"/>
  <c r="E12" i="84"/>
  <c r="F12" i="84" s="1"/>
  <c r="L12" i="84" s="1"/>
  <c r="E10" i="84"/>
  <c r="E11" i="84"/>
  <c r="F11" i="84" s="1"/>
  <c r="K11" i="84" s="1"/>
  <c r="E9" i="84"/>
  <c r="F9" i="84" s="1"/>
  <c r="L9" i="84" s="1"/>
  <c r="AC22" i="86"/>
  <c r="AF19" i="86"/>
  <c r="AC11" i="86"/>
  <c r="AF10" i="86"/>
  <c r="AC22" i="85"/>
  <c r="AF22" i="85"/>
  <c r="AC11" i="85"/>
  <c r="E14" i="84"/>
  <c r="F14" i="84" s="1"/>
  <c r="E15" i="84"/>
  <c r="F15" i="84" s="1"/>
  <c r="E16" i="84"/>
  <c r="F16" i="84" s="1"/>
  <c r="E17" i="84"/>
  <c r="E18" i="84"/>
  <c r="F18" i="84" s="1"/>
  <c r="L18" i="84" s="1"/>
  <c r="E19" i="84"/>
  <c r="F19" i="84" s="1"/>
  <c r="K19" i="84" s="1"/>
  <c r="E20" i="84"/>
  <c r="F20" i="84" s="1"/>
  <c r="K20" i="84" s="1"/>
  <c r="E21" i="84"/>
  <c r="F21" i="84" s="1"/>
  <c r="L21" i="84" s="1"/>
  <c r="E22" i="84"/>
  <c r="F22" i="84" s="1"/>
  <c r="E23" i="84"/>
  <c r="F23" i="84" s="1"/>
  <c r="K23" i="84" s="1"/>
  <c r="E24" i="84"/>
  <c r="F24" i="84" s="1"/>
  <c r="L24" i="84" s="1"/>
  <c r="E25" i="84"/>
  <c r="F25" i="84" s="1"/>
  <c r="E26" i="84"/>
  <c r="F26" i="84" s="1"/>
  <c r="L26" i="84" s="1"/>
  <c r="E28" i="84"/>
  <c r="F28" i="84" s="1"/>
  <c r="E29" i="84"/>
  <c r="F29" i="84" s="1"/>
  <c r="E30" i="84"/>
  <c r="F30" i="84" s="1"/>
  <c r="L30" i="84" s="1"/>
  <c r="E31" i="84"/>
  <c r="F31" i="84" s="1"/>
  <c r="L31" i="84" s="1"/>
  <c r="E32" i="84"/>
  <c r="F32" i="84" s="1"/>
  <c r="E33" i="84"/>
  <c r="F33" i="84" s="1"/>
  <c r="L33" i="84" s="1"/>
  <c r="E34" i="84"/>
  <c r="F34" i="84" s="1"/>
  <c r="E35" i="84"/>
  <c r="F35" i="84" s="1"/>
  <c r="E36" i="84"/>
  <c r="F36" i="84" s="1"/>
  <c r="E37" i="84"/>
  <c r="F37" i="84" s="1"/>
  <c r="E38" i="84"/>
  <c r="F38" i="84" s="1"/>
  <c r="M38" i="84" s="1"/>
  <c r="O38" i="84" s="1"/>
  <c r="E40" i="84"/>
  <c r="F40" i="84" s="1"/>
  <c r="E41" i="84"/>
  <c r="F41" i="84" s="1"/>
  <c r="M41" i="84" s="1"/>
  <c r="E43" i="84"/>
  <c r="F43" i="84" s="1"/>
  <c r="L43" i="84" s="1"/>
  <c r="E45" i="84"/>
  <c r="F45" i="84" s="1"/>
  <c r="L45" i="84" s="1"/>
  <c r="E46" i="84"/>
  <c r="F46" i="84" s="1"/>
  <c r="L46" i="84" s="1"/>
  <c r="E47" i="84"/>
  <c r="F47" i="84" s="1"/>
  <c r="E48" i="84"/>
  <c r="F48" i="84" s="1"/>
  <c r="L48" i="84" s="1"/>
  <c r="E49" i="84"/>
  <c r="F49" i="84" s="1"/>
  <c r="E50" i="84"/>
  <c r="F50" i="84" s="1"/>
  <c r="AC9" i="84"/>
  <c r="AF9" i="84"/>
  <c r="AC10" i="84"/>
  <c r="AF10" i="84"/>
  <c r="AC11" i="84"/>
  <c r="AF11" i="84"/>
  <c r="AC12" i="84"/>
  <c r="AF12" i="84"/>
  <c r="AC13" i="84"/>
  <c r="AF13" i="84"/>
  <c r="AC14" i="84"/>
  <c r="AF14" i="84"/>
  <c r="AC15" i="84"/>
  <c r="AF15" i="84"/>
  <c r="AC16" i="84"/>
  <c r="AF16" i="84"/>
  <c r="AC17" i="84"/>
  <c r="AF17" i="84"/>
  <c r="AC18" i="84"/>
  <c r="AF18" i="84"/>
  <c r="AC19" i="84"/>
  <c r="AF19" i="84"/>
  <c r="AC20" i="84"/>
  <c r="AF20" i="84"/>
  <c r="AC21" i="84"/>
  <c r="AF21" i="84"/>
  <c r="AC22" i="84"/>
  <c r="AF22" i="84"/>
  <c r="AC23" i="84"/>
  <c r="AF23" i="84"/>
  <c r="AC24" i="84"/>
  <c r="AF24" i="84"/>
  <c r="AC25" i="84"/>
  <c r="AF25" i="84"/>
  <c r="AC26" i="84"/>
  <c r="AF26" i="84"/>
  <c r="AG26" i="84" s="1"/>
  <c r="AC27" i="84"/>
  <c r="AF27" i="84"/>
  <c r="AC28" i="84"/>
  <c r="AF28" i="84"/>
  <c r="AC29" i="84"/>
  <c r="AF29" i="84"/>
  <c r="AC30" i="84"/>
  <c r="AF30" i="84"/>
  <c r="AC31" i="84"/>
  <c r="AF31" i="84"/>
  <c r="AC32" i="84"/>
  <c r="AF32" i="84"/>
  <c r="AC33" i="84"/>
  <c r="AF33" i="84"/>
  <c r="AC34" i="84"/>
  <c r="AF34" i="84"/>
  <c r="AC35" i="84"/>
  <c r="AF35" i="84"/>
  <c r="AC36" i="84"/>
  <c r="AF36" i="84"/>
  <c r="AC37" i="84"/>
  <c r="AF37" i="84"/>
  <c r="AC38" i="84"/>
  <c r="AF38" i="84"/>
  <c r="AC39" i="84"/>
  <c r="AF39" i="84"/>
  <c r="AC40" i="84"/>
  <c r="AF40" i="84"/>
  <c r="AC41" i="84"/>
  <c r="AF41" i="84"/>
  <c r="AC43" i="84"/>
  <c r="AF43" i="84"/>
  <c r="AC44" i="84"/>
  <c r="AF44" i="84"/>
  <c r="AC45" i="84"/>
  <c r="AF45" i="84"/>
  <c r="AC46" i="84"/>
  <c r="AF46" i="84"/>
  <c r="AC47" i="84"/>
  <c r="AF47" i="84"/>
  <c r="AC48" i="84"/>
  <c r="AF48" i="84"/>
  <c r="AC49" i="84"/>
  <c r="AF49" i="84"/>
  <c r="AC50" i="84"/>
  <c r="AF50" i="84"/>
  <c r="AC51" i="84"/>
  <c r="AF51" i="84"/>
  <c r="Z21" i="80"/>
  <c r="AC21" i="80"/>
  <c r="AF21" i="80"/>
  <c r="E21" i="80"/>
  <c r="F21" i="80" s="1"/>
  <c r="L21" i="80" s="1"/>
  <c r="E23" i="80"/>
  <c r="F23" i="80" s="1"/>
  <c r="L23" i="80" s="1"/>
  <c r="Z23" i="80"/>
  <c r="AC23" i="80"/>
  <c r="AF23" i="80"/>
  <c r="E12" i="80"/>
  <c r="F12" i="80" s="1"/>
  <c r="L12" i="80" s="1"/>
  <c r="M12" i="80" s="1"/>
  <c r="Z12" i="80"/>
  <c r="AC12" i="80"/>
  <c r="AF12" i="80"/>
  <c r="C28" i="80"/>
  <c r="B10" i="111" s="1"/>
  <c r="AC9" i="86"/>
  <c r="AF9" i="86"/>
  <c r="AC10" i="86"/>
  <c r="AF11" i="86"/>
  <c r="AC12" i="86"/>
  <c r="AF12" i="86"/>
  <c r="AC13" i="86"/>
  <c r="AF13" i="86"/>
  <c r="AC14" i="86"/>
  <c r="AF14" i="86"/>
  <c r="AC15" i="86"/>
  <c r="AF15" i="86"/>
  <c r="AC16" i="86"/>
  <c r="AF16" i="86"/>
  <c r="AC17" i="86"/>
  <c r="AF17" i="86"/>
  <c r="AC18" i="86"/>
  <c r="AF18" i="86"/>
  <c r="AC19" i="86"/>
  <c r="AC20" i="86"/>
  <c r="AF20" i="86"/>
  <c r="AC21" i="86"/>
  <c r="AF21" i="86"/>
  <c r="AF22" i="86"/>
  <c r="AC23" i="86"/>
  <c r="AF23" i="86"/>
  <c r="AC26" i="86"/>
  <c r="AG26" i="86" s="1"/>
  <c r="AH26" i="86" s="1"/>
  <c r="AF26" i="86"/>
  <c r="AC27" i="86"/>
  <c r="AF27" i="86"/>
  <c r="AC13" i="81"/>
  <c r="AF10" i="81"/>
  <c r="AC11" i="81"/>
  <c r="AC9" i="80"/>
  <c r="AF9" i="80"/>
  <c r="AC10" i="80"/>
  <c r="AF10" i="80"/>
  <c r="AC11" i="80"/>
  <c r="AF11" i="80"/>
  <c r="AC13" i="80"/>
  <c r="AF13" i="80"/>
  <c r="AC14" i="80"/>
  <c r="AF14" i="80"/>
  <c r="AG14" i="80" s="1"/>
  <c r="AC15" i="80"/>
  <c r="AF15" i="80"/>
  <c r="AC16" i="80"/>
  <c r="AF16" i="80"/>
  <c r="AC17" i="80"/>
  <c r="AF17" i="80"/>
  <c r="AC18" i="80"/>
  <c r="AF18" i="80"/>
  <c r="AC19" i="80"/>
  <c r="AF19" i="80"/>
  <c r="AC20" i="80"/>
  <c r="AF20" i="80"/>
  <c r="AC22" i="80"/>
  <c r="AF22" i="80"/>
  <c r="AC24" i="80"/>
  <c r="AF24" i="80"/>
  <c r="AG24" i="80" s="1"/>
  <c r="AH24" i="80" s="1"/>
  <c r="AC25" i="80"/>
  <c r="AF25" i="80"/>
  <c r="AC26" i="80"/>
  <c r="AF26" i="80"/>
  <c r="AC27" i="80"/>
  <c r="AF27" i="80"/>
  <c r="Z18" i="86"/>
  <c r="Z17" i="86"/>
  <c r="Z21" i="86"/>
  <c r="Z11" i="86"/>
  <c r="AG11" i="86" s="1"/>
  <c r="Z14" i="86"/>
  <c r="Z26" i="86"/>
  <c r="Z15" i="86"/>
  <c r="Z9" i="86"/>
  <c r="AG9" i="86" s="1"/>
  <c r="Z10" i="86"/>
  <c r="Z12" i="86"/>
  <c r="Z13" i="86"/>
  <c r="Z16" i="86"/>
  <c r="AG16" i="86" s="1"/>
  <c r="AH16" i="86" s="1"/>
  <c r="Z19" i="86"/>
  <c r="Z20" i="86"/>
  <c r="Z22" i="86"/>
  <c r="AG22" i="86" s="1"/>
  <c r="AH22" i="86" s="1"/>
  <c r="Z23" i="86"/>
  <c r="AG23" i="86" s="1"/>
  <c r="AH23" i="86" s="1"/>
  <c r="Z27" i="86"/>
  <c r="E18" i="86"/>
  <c r="F18" i="86" s="1"/>
  <c r="L18" i="86" s="1"/>
  <c r="E9" i="86"/>
  <c r="F9" i="86" s="1"/>
  <c r="L9" i="86" s="1"/>
  <c r="E10" i="86"/>
  <c r="F10" i="86" s="1"/>
  <c r="E11" i="86"/>
  <c r="F11" i="86" s="1"/>
  <c r="L11" i="86" s="1"/>
  <c r="E12" i="86"/>
  <c r="F12" i="86" s="1"/>
  <c r="L12" i="86" s="1"/>
  <c r="E13" i="86"/>
  <c r="F13" i="86" s="1"/>
  <c r="E14" i="86"/>
  <c r="F14" i="86" s="1"/>
  <c r="L14" i="86" s="1"/>
  <c r="E15" i="86"/>
  <c r="F15" i="86" s="1"/>
  <c r="L15" i="86" s="1"/>
  <c r="E16" i="86"/>
  <c r="F16" i="86" s="1"/>
  <c r="K16" i="86" s="1"/>
  <c r="E17" i="86"/>
  <c r="F17" i="86" s="1"/>
  <c r="E19" i="86"/>
  <c r="F19" i="86" s="1"/>
  <c r="E20" i="86"/>
  <c r="F20" i="86" s="1"/>
  <c r="L20" i="86" s="1"/>
  <c r="E21" i="86"/>
  <c r="F21" i="86" s="1"/>
  <c r="E22" i="86"/>
  <c r="F22" i="86" s="1"/>
  <c r="L22" i="86" s="1"/>
  <c r="E23" i="86"/>
  <c r="F23" i="86" s="1"/>
  <c r="L23" i="86" s="1"/>
  <c r="E26" i="86"/>
  <c r="F26" i="86" s="1"/>
  <c r="E27" i="86"/>
  <c r="F27" i="86" s="1"/>
  <c r="M27" i="86" s="1"/>
  <c r="B15" i="42"/>
  <c r="Z15" i="85"/>
  <c r="Z22" i="85"/>
  <c r="AG22" i="85" s="1"/>
  <c r="AH22" i="85" s="1"/>
  <c r="Z11" i="85"/>
  <c r="Z21" i="85"/>
  <c r="Z16" i="85"/>
  <c r="Z28" i="84"/>
  <c r="AG28" i="84" s="1"/>
  <c r="Z29" i="84"/>
  <c r="Z30" i="84"/>
  <c r="Z31" i="84"/>
  <c r="Z32" i="84"/>
  <c r="Z33" i="84"/>
  <c r="Z34" i="84"/>
  <c r="Z35" i="84"/>
  <c r="Z36" i="84"/>
  <c r="Z37" i="84"/>
  <c r="Z38" i="84"/>
  <c r="Z39" i="84"/>
  <c r="Z40" i="84"/>
  <c r="Z41" i="84"/>
  <c r="Z43" i="84"/>
  <c r="Z44" i="84"/>
  <c r="Z45" i="84"/>
  <c r="Z46" i="84"/>
  <c r="Z47" i="84"/>
  <c r="Z48" i="84"/>
  <c r="Z49" i="84"/>
  <c r="Z50" i="84"/>
  <c r="Z51" i="84"/>
  <c r="Z9" i="81"/>
  <c r="Z13" i="81"/>
  <c r="Z10" i="81"/>
  <c r="Z16" i="81"/>
  <c r="Z18" i="81"/>
  <c r="Z17" i="81"/>
  <c r="Z11" i="81"/>
  <c r="Z19" i="81"/>
  <c r="Z12" i="81"/>
  <c r="E10" i="80"/>
  <c r="F10" i="80" s="1"/>
  <c r="L10" i="80" s="1"/>
  <c r="E20" i="80"/>
  <c r="F20" i="80" s="1"/>
  <c r="L20" i="80" s="1"/>
  <c r="E15" i="80"/>
  <c r="F15" i="80" s="1"/>
  <c r="E9" i="80"/>
  <c r="E11" i="80"/>
  <c r="F11" i="80" s="1"/>
  <c r="L11" i="80" s="1"/>
  <c r="E13" i="80"/>
  <c r="F13" i="80" s="1"/>
  <c r="E16" i="80"/>
  <c r="F16" i="80" s="1"/>
  <c r="L16" i="80" s="1"/>
  <c r="M16" i="80" s="1"/>
  <c r="E17" i="80"/>
  <c r="F17" i="80" s="1"/>
  <c r="E18" i="80"/>
  <c r="F18" i="80" s="1"/>
  <c r="E19" i="80"/>
  <c r="F19" i="80" s="1"/>
  <c r="L19" i="80" s="1"/>
  <c r="E22" i="80"/>
  <c r="F22" i="80" s="1"/>
  <c r="L22" i="80" s="1"/>
  <c r="E24" i="80"/>
  <c r="F24" i="80" s="1"/>
  <c r="L24" i="80" s="1"/>
  <c r="E25" i="80"/>
  <c r="F25" i="80" s="1"/>
  <c r="E26" i="80"/>
  <c r="F26" i="80" s="1"/>
  <c r="E27" i="80"/>
  <c r="F27" i="80" s="1"/>
  <c r="M27" i="80" s="1"/>
  <c r="O27" i="80" s="1"/>
  <c r="E14" i="80"/>
  <c r="F14" i="80" s="1"/>
  <c r="Z9" i="80"/>
  <c r="Z11" i="80"/>
  <c r="AG11" i="80" s="1"/>
  <c r="AH11" i="80" s="1"/>
  <c r="Z13" i="80"/>
  <c r="Z16" i="80"/>
  <c r="Z17" i="80"/>
  <c r="Z19" i="80"/>
  <c r="Z20" i="80"/>
  <c r="AG20" i="80" s="1"/>
  <c r="Z22" i="80"/>
  <c r="Z24" i="80"/>
  <c r="Z25" i="80"/>
  <c r="Z10" i="80"/>
  <c r="Z14" i="80"/>
  <c r="Z15" i="80"/>
  <c r="Z18" i="80"/>
  <c r="Z26" i="80"/>
  <c r="Z27" i="80"/>
  <c r="E9" i="85"/>
  <c r="E10" i="85"/>
  <c r="F10" i="85" s="1"/>
  <c r="L10" i="85" s="1"/>
  <c r="E11" i="85"/>
  <c r="F11" i="85" s="1"/>
  <c r="E12" i="85"/>
  <c r="F12" i="85" s="1"/>
  <c r="L12" i="85" s="1"/>
  <c r="E13" i="85"/>
  <c r="F13" i="85" s="1"/>
  <c r="E14" i="85"/>
  <c r="F14" i="85" s="1"/>
  <c r="E15" i="85"/>
  <c r="F15" i="85" s="1"/>
  <c r="E16" i="85"/>
  <c r="F16" i="85" s="1"/>
  <c r="E17" i="85"/>
  <c r="F17" i="85" s="1"/>
  <c r="L17" i="85" s="1"/>
  <c r="E24" i="85"/>
  <c r="F24" i="85" s="1"/>
  <c r="M24" i="85" s="1"/>
  <c r="Z11" i="84"/>
  <c r="Z12" i="84"/>
  <c r="Z9" i="84"/>
  <c r="Z10" i="84"/>
  <c r="Z13" i="84"/>
  <c r="Z14" i="84"/>
  <c r="Z15" i="84"/>
  <c r="Z16" i="84"/>
  <c r="AG16" i="84" s="1"/>
  <c r="Z17" i="84"/>
  <c r="Z18" i="84"/>
  <c r="Z19" i="84"/>
  <c r="Z20" i="84"/>
  <c r="AG20" i="84" s="1"/>
  <c r="Z21" i="84"/>
  <c r="Z22" i="84"/>
  <c r="Z23" i="84"/>
  <c r="Z24" i="84"/>
  <c r="Z25" i="84"/>
  <c r="Z26" i="84"/>
  <c r="Z27" i="84"/>
  <c r="AE52" i="84"/>
  <c r="AD52" i="84"/>
  <c r="AB52" i="84"/>
  <c r="AA52" i="84"/>
  <c r="Y52" i="84"/>
  <c r="X52" i="84"/>
  <c r="U52" i="84"/>
  <c r="N52" i="84"/>
  <c r="I52" i="84"/>
  <c r="D52" i="84"/>
  <c r="E9" i="81"/>
  <c r="F9" i="81" s="1"/>
  <c r="E10" i="81"/>
  <c r="F10" i="81" s="1"/>
  <c r="E11" i="81"/>
  <c r="F11" i="81" s="1"/>
  <c r="L11" i="81" s="1"/>
  <c r="E12" i="81"/>
  <c r="F12" i="81" s="1"/>
  <c r="E13" i="81"/>
  <c r="F13" i="81" s="1"/>
  <c r="E14" i="81"/>
  <c r="F14" i="81" s="1"/>
  <c r="L14" i="81" s="1"/>
  <c r="E15" i="81"/>
  <c r="F15" i="81" s="1"/>
  <c r="E16" i="81"/>
  <c r="F16" i="81" s="1"/>
  <c r="E17" i="81"/>
  <c r="F17" i="81" s="1"/>
  <c r="E18" i="81"/>
  <c r="F18" i="81" s="1"/>
  <c r="E19" i="81"/>
  <c r="F19" i="81" s="1"/>
  <c r="L19" i="81" s="1"/>
  <c r="E20" i="81"/>
  <c r="F20" i="81" s="1"/>
  <c r="AS21" i="86"/>
  <c r="AE28" i="86"/>
  <c r="AD28" i="86"/>
  <c r="AB28" i="86"/>
  <c r="AA28" i="86"/>
  <c r="Y28" i="86"/>
  <c r="X28" i="86"/>
  <c r="J28" i="86"/>
  <c r="I28" i="86"/>
  <c r="D28" i="86"/>
  <c r="AS27" i="86"/>
  <c r="AS26" i="86"/>
  <c r="AS23" i="86"/>
  <c r="AS22" i="86"/>
  <c r="AS20" i="86"/>
  <c r="AS19" i="86"/>
  <c r="AS18" i="86"/>
  <c r="AS17" i="86"/>
  <c r="AS16" i="86"/>
  <c r="AS15" i="86"/>
  <c r="AS14" i="86"/>
  <c r="AS13" i="86"/>
  <c r="AS12" i="86"/>
  <c r="AS11" i="86"/>
  <c r="AS10" i="86"/>
  <c r="AS9" i="86"/>
  <c r="N28" i="86"/>
  <c r="AE25" i="85"/>
  <c r="AD25" i="85"/>
  <c r="AB25" i="85"/>
  <c r="AA25" i="85"/>
  <c r="Y25" i="85"/>
  <c r="U25" i="85"/>
  <c r="I25" i="85"/>
  <c r="D25" i="85"/>
  <c r="C25" i="85"/>
  <c r="AS24" i="85"/>
  <c r="AF24" i="85"/>
  <c r="AC24" i="85"/>
  <c r="Z24" i="85"/>
  <c r="AS22" i="85"/>
  <c r="AS21" i="85"/>
  <c r="AF21" i="85"/>
  <c r="AC21" i="85"/>
  <c r="AS17" i="85"/>
  <c r="AF17" i="85"/>
  <c r="AC17" i="85"/>
  <c r="Z17" i="85"/>
  <c r="AS16" i="85"/>
  <c r="AF16" i="85"/>
  <c r="AC16" i="85"/>
  <c r="AS15" i="85"/>
  <c r="AF15" i="85"/>
  <c r="AC15" i="85"/>
  <c r="AG15" i="85" s="1"/>
  <c r="AS14" i="85"/>
  <c r="AF14" i="85"/>
  <c r="AC14" i="85"/>
  <c r="Z14" i="85"/>
  <c r="AS13" i="85"/>
  <c r="AF13" i="85"/>
  <c r="AC13" i="85"/>
  <c r="Z13" i="85"/>
  <c r="AS12" i="85"/>
  <c r="AF12" i="85"/>
  <c r="AC12" i="85"/>
  <c r="Z12" i="85"/>
  <c r="AS11" i="85"/>
  <c r="AF11" i="85"/>
  <c r="AS10" i="85"/>
  <c r="AF10" i="85"/>
  <c r="AC10" i="85"/>
  <c r="Z10" i="85"/>
  <c r="AF9" i="85"/>
  <c r="AC9" i="85"/>
  <c r="Z9" i="85"/>
  <c r="U66" i="84"/>
  <c r="N66" i="84"/>
  <c r="J66" i="84"/>
  <c r="I66" i="84"/>
  <c r="G66" i="84"/>
  <c r="D66" i="84"/>
  <c r="C66" i="84"/>
  <c r="U65" i="84"/>
  <c r="N65" i="84"/>
  <c r="I65" i="84"/>
  <c r="G65" i="84"/>
  <c r="D65" i="84"/>
  <c r="C65" i="84"/>
  <c r="U64" i="84"/>
  <c r="N64" i="84"/>
  <c r="J64" i="84"/>
  <c r="I64" i="84"/>
  <c r="G64" i="84"/>
  <c r="D64" i="84"/>
  <c r="C64" i="84"/>
  <c r="H66" i="84"/>
  <c r="H64" i="84"/>
  <c r="AE21" i="81"/>
  <c r="AD21" i="81"/>
  <c r="AB21" i="81"/>
  <c r="AA21" i="81"/>
  <c r="Y21" i="81"/>
  <c r="X21" i="81"/>
  <c r="U21" i="81"/>
  <c r="J21" i="81"/>
  <c r="I21" i="81"/>
  <c r="D21" i="81"/>
  <c r="C21" i="81"/>
  <c r="AF20" i="81"/>
  <c r="AC20" i="81"/>
  <c r="Z20" i="81"/>
  <c r="AF19" i="81"/>
  <c r="AC19" i="81"/>
  <c r="AF18" i="81"/>
  <c r="AC18" i="81"/>
  <c r="AF17" i="81"/>
  <c r="AC17" i="81"/>
  <c r="AF16" i="81"/>
  <c r="AC16" i="81"/>
  <c r="AF15" i="81"/>
  <c r="AC15" i="81"/>
  <c r="Z15" i="81"/>
  <c r="AF14" i="81"/>
  <c r="AC14" i="81"/>
  <c r="Z14" i="81"/>
  <c r="AF13" i="81"/>
  <c r="AF12" i="81"/>
  <c r="AC12" i="81"/>
  <c r="AF11" i="81"/>
  <c r="AC10" i="81"/>
  <c r="AF9" i="81"/>
  <c r="AC9" i="81"/>
  <c r="AE28" i="80"/>
  <c r="AD28" i="80"/>
  <c r="AB28" i="80"/>
  <c r="AA28" i="80"/>
  <c r="Y28" i="80"/>
  <c r="X28" i="80"/>
  <c r="U28" i="80"/>
  <c r="N28" i="80"/>
  <c r="J28" i="80"/>
  <c r="G28" i="80"/>
  <c r="D28" i="80"/>
  <c r="I28" i="80"/>
  <c r="C12" i="42"/>
  <c r="C11" i="111"/>
  <c r="AG32" i="84"/>
  <c r="L9" i="81"/>
  <c r="AG19" i="86"/>
  <c r="K15" i="86"/>
  <c r="AG21" i="86"/>
  <c r="AH21" i="86" s="1"/>
  <c r="L21" i="86"/>
  <c r="J25" i="85"/>
  <c r="L15" i="85"/>
  <c r="L13" i="85"/>
  <c r="L11" i="85"/>
  <c r="P38" i="84"/>
  <c r="R38" i="84" s="1"/>
  <c r="L20" i="84"/>
  <c r="M12" i="84"/>
  <c r="L47" i="84"/>
  <c r="J25" i="84"/>
  <c r="K25" i="84"/>
  <c r="F17" i="84"/>
  <c r="O41" i="84"/>
  <c r="P41" i="84" s="1"/>
  <c r="L25" i="84"/>
  <c r="L34" i="84"/>
  <c r="J23" i="84"/>
  <c r="L23" i="84"/>
  <c r="AG16" i="80"/>
  <c r="AH16" i="80" s="1"/>
  <c r="L14" i="80"/>
  <c r="M21" i="80"/>
  <c r="L17" i="80"/>
  <c r="K12" i="86"/>
  <c r="M12" i="86" s="1"/>
  <c r="O12" i="86" s="1"/>
  <c r="P12" i="86" s="1"/>
  <c r="AG17" i="86"/>
  <c r="AH17" i="86" s="1"/>
  <c r="L13" i="86"/>
  <c r="AG13" i="86"/>
  <c r="AH13" i="86" s="1"/>
  <c r="B12" i="42"/>
  <c r="B11" i="111"/>
  <c r="M45" i="84"/>
  <c r="K12" i="42"/>
  <c r="N12" i="42" s="1"/>
  <c r="J12" i="42"/>
  <c r="J11" i="111"/>
  <c r="P11" i="111" s="1"/>
  <c r="V11" i="111" s="1"/>
  <c r="I11" i="111"/>
  <c r="O11" i="111" s="1"/>
  <c r="U11" i="111" s="1"/>
  <c r="I12" i="42"/>
  <c r="L12" i="42" s="1"/>
  <c r="AG9" i="80" l="1"/>
  <c r="AH9" i="80" s="1"/>
  <c r="M19" i="80"/>
  <c r="O19" i="80" s="1"/>
  <c r="P19" i="80" s="1"/>
  <c r="AG23" i="80"/>
  <c r="AH23" i="80" s="1"/>
  <c r="AG10" i="84"/>
  <c r="AG51" i="84"/>
  <c r="AG34" i="84"/>
  <c r="AG15" i="86"/>
  <c r="AH15" i="86" s="1"/>
  <c r="AG18" i="80"/>
  <c r="AH18" i="80" s="1"/>
  <c r="AG27" i="86"/>
  <c r="AH27" i="86" s="1"/>
  <c r="AG12" i="86"/>
  <c r="AG12" i="80"/>
  <c r="AG35" i="84"/>
  <c r="AH35" i="84" s="1"/>
  <c r="M48" i="84"/>
  <c r="AG47" i="84"/>
  <c r="AG38" i="84"/>
  <c r="AH38" i="84" s="1"/>
  <c r="K19" i="110"/>
  <c r="AG17" i="100"/>
  <c r="AH17" i="100" s="1"/>
  <c r="M18" i="110"/>
  <c r="O18" i="110" s="1"/>
  <c r="K16" i="104"/>
  <c r="M16" i="104" s="1"/>
  <c r="O16" i="104" s="1"/>
  <c r="M17" i="106"/>
  <c r="O17" i="106" s="1"/>
  <c r="P17" i="106" s="1"/>
  <c r="M17" i="80"/>
  <c r="AG27" i="80"/>
  <c r="AH27" i="80" s="1"/>
  <c r="AG18" i="86"/>
  <c r="AH18" i="86" s="1"/>
  <c r="AG14" i="86"/>
  <c r="AH14" i="86" s="1"/>
  <c r="AG41" i="84"/>
  <c r="AH41" i="84" s="1"/>
  <c r="K43" i="108"/>
  <c r="M43" i="108" s="1"/>
  <c r="O43" i="108" s="1"/>
  <c r="P43" i="108" s="1"/>
  <c r="M20" i="103"/>
  <c r="O20" i="103" s="1"/>
  <c r="P20" i="103" s="1"/>
  <c r="R20" i="103" s="1"/>
  <c r="AG20" i="99"/>
  <c r="AH20" i="99" s="1"/>
  <c r="AG13" i="100"/>
  <c r="M20" i="100"/>
  <c r="M44" i="84"/>
  <c r="O44" i="84" s="1"/>
  <c r="P44" i="84" s="1"/>
  <c r="AG20" i="85"/>
  <c r="AH20" i="85" s="1"/>
  <c r="AG10" i="104"/>
  <c r="AH10" i="104" s="1"/>
  <c r="AG19" i="107"/>
  <c r="AH19" i="107" s="1"/>
  <c r="AG13" i="110"/>
  <c r="AG20" i="110"/>
  <c r="AH20" i="110" s="1"/>
  <c r="L10" i="102"/>
  <c r="AG49" i="102"/>
  <c r="AH49" i="102" s="1"/>
  <c r="U67" i="102"/>
  <c r="AG13" i="103"/>
  <c r="AH13" i="103" s="1"/>
  <c r="AG14" i="105"/>
  <c r="AH14" i="105" s="1"/>
  <c r="AG11" i="106"/>
  <c r="AH11" i="106" s="1"/>
  <c r="AG12" i="106"/>
  <c r="AH12" i="106" s="1"/>
  <c r="AG14" i="106"/>
  <c r="AH14" i="106" s="1"/>
  <c r="AG24" i="108"/>
  <c r="AH24" i="108" s="1"/>
  <c r="M40" i="108"/>
  <c r="AG47" i="108"/>
  <c r="AH47" i="108" s="1"/>
  <c r="M13" i="86"/>
  <c r="O13" i="86" s="1"/>
  <c r="P13" i="86" s="1"/>
  <c r="AG9" i="85"/>
  <c r="M21" i="84"/>
  <c r="G21" i="81"/>
  <c r="C65" i="102"/>
  <c r="C67" i="102" s="1"/>
  <c r="K18" i="109"/>
  <c r="M18" i="109" s="1"/>
  <c r="L13" i="109"/>
  <c r="M13" i="109" s="1"/>
  <c r="O13" i="109" s="1"/>
  <c r="P13" i="109" s="1"/>
  <c r="M26" i="108"/>
  <c r="O26" i="108" s="1"/>
  <c r="AG16" i="100"/>
  <c r="M34" i="102"/>
  <c r="O34" i="102" s="1"/>
  <c r="Z28" i="110"/>
  <c r="AG15" i="110"/>
  <c r="AH15" i="110" s="1"/>
  <c r="AG17" i="110"/>
  <c r="AH17" i="110" s="1"/>
  <c r="AG21" i="110"/>
  <c r="AH21" i="110" s="1"/>
  <c r="K15" i="109"/>
  <c r="M15" i="109" s="1"/>
  <c r="O15" i="109" s="1"/>
  <c r="P15" i="109" s="1"/>
  <c r="Q15" i="109" s="1"/>
  <c r="AG9" i="99"/>
  <c r="AH9" i="99" s="1"/>
  <c r="AG26" i="99"/>
  <c r="M27" i="99"/>
  <c r="M14" i="105"/>
  <c r="O14" i="105" s="1"/>
  <c r="P14" i="105" s="1"/>
  <c r="R14" i="105" s="1"/>
  <c r="M24" i="105"/>
  <c r="O24" i="105" s="1"/>
  <c r="P24" i="105" s="1"/>
  <c r="AC23" i="107"/>
  <c r="AG17" i="107"/>
  <c r="AH17" i="107" s="1"/>
  <c r="AG9" i="108"/>
  <c r="AH9" i="108" s="1"/>
  <c r="H65" i="108"/>
  <c r="AG30" i="108"/>
  <c r="AH30" i="108" s="1"/>
  <c r="M34" i="108"/>
  <c r="O34" i="108" s="1"/>
  <c r="P34" i="108" s="1"/>
  <c r="M44" i="108"/>
  <c r="O44" i="108" s="1"/>
  <c r="P44" i="108" s="1"/>
  <c r="M49" i="108"/>
  <c r="O49" i="108" s="1"/>
  <c r="P49" i="108" s="1"/>
  <c r="AG14" i="109"/>
  <c r="AH14" i="109" s="1"/>
  <c r="AG16" i="109"/>
  <c r="AH16" i="109" s="1"/>
  <c r="AG23" i="109"/>
  <c r="AH23" i="109" s="1"/>
  <c r="AG24" i="109"/>
  <c r="L32" i="84"/>
  <c r="J32" i="84"/>
  <c r="L15" i="84"/>
  <c r="K15" i="84"/>
  <c r="L29" i="84"/>
  <c r="M29" i="84" s="1"/>
  <c r="O29" i="84" s="1"/>
  <c r="K14" i="86"/>
  <c r="E66" i="84"/>
  <c r="G67" i="84"/>
  <c r="AG17" i="81"/>
  <c r="AG20" i="86"/>
  <c r="AH20" i="86" s="1"/>
  <c r="AG10" i="86"/>
  <c r="Q38" i="108"/>
  <c r="S38" i="108" s="1"/>
  <c r="T38" i="108" s="1"/>
  <c r="V38" i="108" s="1"/>
  <c r="K13" i="99"/>
  <c r="M13" i="99" s="1"/>
  <c r="O13" i="99" s="1"/>
  <c r="P13" i="99" s="1"/>
  <c r="L14" i="109"/>
  <c r="M46" i="108"/>
  <c r="O46" i="108" s="1"/>
  <c r="P46" i="108" s="1"/>
  <c r="L10" i="108"/>
  <c r="AC52" i="102"/>
  <c r="K16" i="102"/>
  <c r="M16" i="102" s="1"/>
  <c r="O16" i="102" s="1"/>
  <c r="AG18" i="102"/>
  <c r="AH18" i="102" s="1"/>
  <c r="AG11" i="104"/>
  <c r="AH11" i="104" s="1"/>
  <c r="AG12" i="104"/>
  <c r="AH12" i="104" s="1"/>
  <c r="AG16" i="105"/>
  <c r="AH16" i="105" s="1"/>
  <c r="M20" i="105"/>
  <c r="O20" i="105" s="1"/>
  <c r="AG21" i="108"/>
  <c r="AH21" i="108" s="1"/>
  <c r="C67" i="84"/>
  <c r="AF28" i="86"/>
  <c r="H25" i="85"/>
  <c r="H65" i="84"/>
  <c r="H67" i="84" s="1"/>
  <c r="M12" i="42"/>
  <c r="M21" i="103"/>
  <c r="P24" i="103"/>
  <c r="R24" i="103" s="1"/>
  <c r="AG9" i="100"/>
  <c r="AH9" i="100" s="1"/>
  <c r="AG15" i="100"/>
  <c r="AG9" i="101"/>
  <c r="D67" i="102"/>
  <c r="I67" i="102"/>
  <c r="H25" i="103"/>
  <c r="M23" i="104"/>
  <c r="M10" i="105"/>
  <c r="O10" i="105" s="1"/>
  <c r="P10" i="105" s="1"/>
  <c r="Q10" i="105" s="1"/>
  <c r="AG15" i="105"/>
  <c r="AH15" i="105" s="1"/>
  <c r="M16" i="105"/>
  <c r="O16" i="105" s="1"/>
  <c r="P16" i="105" s="1"/>
  <c r="Q16" i="105" s="1"/>
  <c r="J23" i="107"/>
  <c r="AG13" i="108"/>
  <c r="M10" i="110"/>
  <c r="O10" i="110" s="1"/>
  <c r="P10" i="110" s="1"/>
  <c r="R10" i="110" s="1"/>
  <c r="AF52" i="84"/>
  <c r="M23" i="86"/>
  <c r="O23" i="86" s="1"/>
  <c r="P23" i="86" s="1"/>
  <c r="M12" i="110"/>
  <c r="O12" i="110" s="1"/>
  <c r="P12" i="110" s="1"/>
  <c r="R12" i="110" s="1"/>
  <c r="AH19" i="110"/>
  <c r="Z28" i="86"/>
  <c r="M33" i="84"/>
  <c r="O33" i="84" s="1"/>
  <c r="AG15" i="84"/>
  <c r="AH15" i="84" s="1"/>
  <c r="AG9" i="84"/>
  <c r="AH9" i="84" s="1"/>
  <c r="AG25" i="80"/>
  <c r="AH25" i="80" s="1"/>
  <c r="AG19" i="80"/>
  <c r="AH19" i="80" s="1"/>
  <c r="AG33" i="84"/>
  <c r="AH33" i="84" s="1"/>
  <c r="AG22" i="80"/>
  <c r="AH22" i="80" s="1"/>
  <c r="AG44" i="84"/>
  <c r="AH44" i="84" s="1"/>
  <c r="AG17" i="84"/>
  <c r="AH17" i="84" s="1"/>
  <c r="AG13" i="84"/>
  <c r="AH13" i="84" s="1"/>
  <c r="AC52" i="84"/>
  <c r="J23" i="102"/>
  <c r="M23" i="102" s="1"/>
  <c r="O23" i="102" s="1"/>
  <c r="P23" i="102" s="1"/>
  <c r="Q23" i="102" s="1"/>
  <c r="L43" i="102"/>
  <c r="M19" i="110"/>
  <c r="O19" i="110" s="1"/>
  <c r="L30" i="108"/>
  <c r="J24" i="108"/>
  <c r="AG48" i="102"/>
  <c r="AG9" i="103"/>
  <c r="AH9" i="103" s="1"/>
  <c r="AG19" i="103"/>
  <c r="AH19" i="103" s="1"/>
  <c r="E21" i="106"/>
  <c r="AF23" i="107"/>
  <c r="M21" i="108"/>
  <c r="O21" i="108" s="1"/>
  <c r="P21" i="108" s="1"/>
  <c r="Q21" i="108" s="1"/>
  <c r="AG23" i="108"/>
  <c r="AG38" i="108"/>
  <c r="AH38" i="108" s="1"/>
  <c r="AF25" i="109"/>
  <c r="Z25" i="109"/>
  <c r="L16" i="99"/>
  <c r="M16" i="99" s="1"/>
  <c r="O16" i="99" s="1"/>
  <c r="P16" i="99" s="1"/>
  <c r="Q16" i="99" s="1"/>
  <c r="L22" i="109"/>
  <c r="K22" i="109"/>
  <c r="AG27" i="84"/>
  <c r="AH27" i="84" s="1"/>
  <c r="AG23" i="84"/>
  <c r="AH23" i="84" s="1"/>
  <c r="AG19" i="84"/>
  <c r="AH19" i="84" s="1"/>
  <c r="P18" i="110"/>
  <c r="R18" i="110" s="1"/>
  <c r="AG9" i="104"/>
  <c r="AH9" i="104" s="1"/>
  <c r="L22" i="104"/>
  <c r="M22" i="104" s="1"/>
  <c r="O22" i="104" s="1"/>
  <c r="P22" i="104" s="1"/>
  <c r="L19" i="102"/>
  <c r="M19" i="102" s="1"/>
  <c r="E64" i="102"/>
  <c r="L28" i="102"/>
  <c r="K13" i="100"/>
  <c r="M13" i="100" s="1"/>
  <c r="O13" i="100" s="1"/>
  <c r="L14" i="110"/>
  <c r="M14" i="110" s="1"/>
  <c r="J28" i="108"/>
  <c r="M15" i="106"/>
  <c r="O15" i="106" s="1"/>
  <c r="P15" i="106" s="1"/>
  <c r="Q15" i="106" s="1"/>
  <c r="H65" i="102"/>
  <c r="H67" i="102" s="1"/>
  <c r="AG14" i="102"/>
  <c r="AH14" i="102" s="1"/>
  <c r="AG22" i="102"/>
  <c r="AH22" i="102" s="1"/>
  <c r="M40" i="102"/>
  <c r="O40" i="102" s="1"/>
  <c r="P40" i="102" s="1"/>
  <c r="R40" i="102" s="1"/>
  <c r="M43" i="102"/>
  <c r="AG12" i="103"/>
  <c r="AH12" i="103" s="1"/>
  <c r="AG9" i="105"/>
  <c r="AH9" i="105" s="1"/>
  <c r="AC28" i="105"/>
  <c r="Z21" i="106"/>
  <c r="AG14" i="107"/>
  <c r="AH14" i="107" s="1"/>
  <c r="L12" i="100"/>
  <c r="M12" i="100" s="1"/>
  <c r="O12" i="100" s="1"/>
  <c r="P12" i="100" s="1"/>
  <c r="L14" i="103"/>
  <c r="K14" i="103"/>
  <c r="K22" i="103"/>
  <c r="L22" i="103"/>
  <c r="L10" i="104"/>
  <c r="M10" i="104" s="1"/>
  <c r="O10" i="104" s="1"/>
  <c r="P10" i="104" s="1"/>
  <c r="L19" i="108"/>
  <c r="K19" i="108"/>
  <c r="J24" i="84"/>
  <c r="C16" i="111"/>
  <c r="M26" i="80"/>
  <c r="AG50" i="84"/>
  <c r="AH50" i="84" s="1"/>
  <c r="AG46" i="84"/>
  <c r="AH46" i="84" s="1"/>
  <c r="AG37" i="84"/>
  <c r="AH37" i="84" s="1"/>
  <c r="AG29" i="84"/>
  <c r="L11" i="102"/>
  <c r="M11" i="102" s="1"/>
  <c r="M9" i="105"/>
  <c r="O9" i="105" s="1"/>
  <c r="P9" i="105" s="1"/>
  <c r="Q9" i="105" s="1"/>
  <c r="AH13" i="110"/>
  <c r="L16" i="103"/>
  <c r="M16" i="103" s="1"/>
  <c r="O16" i="103" s="1"/>
  <c r="P16" i="103" s="1"/>
  <c r="L10" i="103"/>
  <c r="J28" i="102"/>
  <c r="L14" i="102"/>
  <c r="M14" i="102" s="1"/>
  <c r="O14" i="102" s="1"/>
  <c r="P14" i="102" s="1"/>
  <c r="M10" i="101"/>
  <c r="O10" i="101" s="1"/>
  <c r="M14" i="100"/>
  <c r="O14" i="100" s="1"/>
  <c r="P14" i="100" s="1"/>
  <c r="R14" i="100" s="1"/>
  <c r="E28" i="105"/>
  <c r="AG13" i="109"/>
  <c r="AH13" i="109" s="1"/>
  <c r="K24" i="84"/>
  <c r="K43" i="84"/>
  <c r="K9" i="84"/>
  <c r="M9" i="84" s="1"/>
  <c r="J30" i="84"/>
  <c r="M30" i="84" s="1"/>
  <c r="O30" i="84" s="1"/>
  <c r="L21" i="85"/>
  <c r="M21" i="85" s="1"/>
  <c r="O21" i="85" s="1"/>
  <c r="P21" i="85" s="1"/>
  <c r="AG15" i="80"/>
  <c r="AH15" i="80" s="1"/>
  <c r="AG17" i="80"/>
  <c r="AH17" i="80" s="1"/>
  <c r="K22" i="86"/>
  <c r="M22" i="86" s="1"/>
  <c r="O22" i="86" s="1"/>
  <c r="P22" i="86" s="1"/>
  <c r="M18" i="86"/>
  <c r="O18" i="86" s="1"/>
  <c r="P18" i="86" s="1"/>
  <c r="R18" i="86" s="1"/>
  <c r="M10" i="80"/>
  <c r="O10" i="80" s="1"/>
  <c r="P10" i="80" s="1"/>
  <c r="M18" i="84"/>
  <c r="O18" i="84" s="1"/>
  <c r="P18" i="84" s="1"/>
  <c r="AG25" i="84"/>
  <c r="AH25" i="84" s="1"/>
  <c r="AG21" i="84"/>
  <c r="AH21" i="84" s="1"/>
  <c r="AG11" i="84"/>
  <c r="AH11" i="84" s="1"/>
  <c r="AG48" i="84"/>
  <c r="AH48" i="84" s="1"/>
  <c r="AG39" i="84"/>
  <c r="AH39" i="84" s="1"/>
  <c r="AG31" i="84"/>
  <c r="AH31" i="84" s="1"/>
  <c r="M11" i="86"/>
  <c r="L11" i="103"/>
  <c r="M11" i="103" s="1"/>
  <c r="O11" i="103" s="1"/>
  <c r="P11" i="103" s="1"/>
  <c r="K13" i="103"/>
  <c r="M13" i="103" s="1"/>
  <c r="H52" i="102"/>
  <c r="M47" i="102"/>
  <c r="O47" i="102" s="1"/>
  <c r="P47" i="102" s="1"/>
  <c r="M21" i="102"/>
  <c r="O21" i="102" s="1"/>
  <c r="K18" i="101"/>
  <c r="H67" i="108"/>
  <c r="F9" i="106"/>
  <c r="L30" i="102"/>
  <c r="J30" i="102"/>
  <c r="L37" i="102"/>
  <c r="M37" i="102" s="1"/>
  <c r="O37" i="102" s="1"/>
  <c r="P37" i="102" s="1"/>
  <c r="AG43" i="102"/>
  <c r="AH43" i="102" s="1"/>
  <c r="L51" i="102"/>
  <c r="M51" i="102" s="1"/>
  <c r="G28" i="104"/>
  <c r="M18" i="105"/>
  <c r="O18" i="105" s="1"/>
  <c r="P18" i="105" s="1"/>
  <c r="Q18" i="105" s="1"/>
  <c r="L12" i="106"/>
  <c r="M12" i="106" s="1"/>
  <c r="O12" i="106" s="1"/>
  <c r="P12" i="106" s="1"/>
  <c r="AG21" i="107"/>
  <c r="AH21" i="107" s="1"/>
  <c r="H52" i="108"/>
  <c r="AG34" i="108"/>
  <c r="AH34" i="108" s="1"/>
  <c r="L35" i="108"/>
  <c r="M35" i="108" s="1"/>
  <c r="O35" i="108" s="1"/>
  <c r="P35" i="108" s="1"/>
  <c r="Q35" i="108" s="1"/>
  <c r="AG12" i="110"/>
  <c r="AH12" i="110" s="1"/>
  <c r="H28" i="110"/>
  <c r="M17" i="107"/>
  <c r="O17" i="107" s="1"/>
  <c r="AG36" i="108"/>
  <c r="AH36" i="108" s="1"/>
  <c r="M9" i="99"/>
  <c r="O9" i="99" s="1"/>
  <c r="M11" i="99"/>
  <c r="O11" i="99" s="1"/>
  <c r="H21" i="100"/>
  <c r="M18" i="100"/>
  <c r="J23" i="101"/>
  <c r="AG16" i="101"/>
  <c r="AH16" i="101" s="1"/>
  <c r="AG44" i="102"/>
  <c r="AH44" i="102" s="1"/>
  <c r="AG16" i="104"/>
  <c r="AH16" i="104" s="1"/>
  <c r="AG26" i="104"/>
  <c r="AH26" i="104" s="1"/>
  <c r="M27" i="104"/>
  <c r="M27" i="105"/>
  <c r="AG13" i="107"/>
  <c r="AH13" i="107" s="1"/>
  <c r="AG20" i="107"/>
  <c r="AH20" i="107" s="1"/>
  <c r="AG11" i="108"/>
  <c r="AH11" i="108" s="1"/>
  <c r="M14" i="108"/>
  <c r="O14" i="108" s="1"/>
  <c r="P14" i="108" s="1"/>
  <c r="AG29" i="108"/>
  <c r="AH29" i="108" s="1"/>
  <c r="AG37" i="108"/>
  <c r="AH37" i="108" s="1"/>
  <c r="AG50" i="108"/>
  <c r="AH50" i="108" s="1"/>
  <c r="N67" i="108"/>
  <c r="AG14" i="110"/>
  <c r="AG26" i="110"/>
  <c r="AH26" i="110" s="1"/>
  <c r="M27" i="110"/>
  <c r="O27" i="110" s="1"/>
  <c r="L28" i="84"/>
  <c r="J28" i="84"/>
  <c r="K28" i="84"/>
  <c r="K12" i="101"/>
  <c r="L12" i="101"/>
  <c r="L18" i="106"/>
  <c r="M18" i="106" s="1"/>
  <c r="O18" i="106" s="1"/>
  <c r="L32" i="108"/>
  <c r="J32" i="108"/>
  <c r="K16" i="100"/>
  <c r="L16" i="100"/>
  <c r="L13" i="104"/>
  <c r="M13" i="104" s="1"/>
  <c r="L11" i="105"/>
  <c r="M11" i="105" s="1"/>
  <c r="O11" i="105" s="1"/>
  <c r="F28" i="105"/>
  <c r="K18" i="107"/>
  <c r="L18" i="107"/>
  <c r="K16" i="84"/>
  <c r="L16" i="84"/>
  <c r="L25" i="99"/>
  <c r="K25" i="99"/>
  <c r="L14" i="84"/>
  <c r="K14" i="84"/>
  <c r="L16" i="85"/>
  <c r="K16" i="85"/>
  <c r="K22" i="84"/>
  <c r="L22" i="84"/>
  <c r="L22" i="105"/>
  <c r="M22" i="105" s="1"/>
  <c r="K12" i="107"/>
  <c r="L12" i="107"/>
  <c r="M22" i="80"/>
  <c r="O22" i="80" s="1"/>
  <c r="P22" i="80" s="1"/>
  <c r="AH19" i="86"/>
  <c r="AH14" i="80"/>
  <c r="AC28" i="80"/>
  <c r="AH12" i="86"/>
  <c r="M46" i="84"/>
  <c r="O46" i="84" s="1"/>
  <c r="P46" i="84" s="1"/>
  <c r="M27" i="84"/>
  <c r="O27" i="84" s="1"/>
  <c r="P27" i="84" s="1"/>
  <c r="R27" i="84" s="1"/>
  <c r="M34" i="84"/>
  <c r="O34" i="84" s="1"/>
  <c r="P34" i="84" s="1"/>
  <c r="R34" i="84" s="1"/>
  <c r="F21" i="106"/>
  <c r="AG19" i="81"/>
  <c r="AH19" i="81" s="1"/>
  <c r="I67" i="84"/>
  <c r="U67" i="84"/>
  <c r="Z25" i="85"/>
  <c r="AG11" i="81"/>
  <c r="AH11" i="81" s="1"/>
  <c r="AG11" i="85"/>
  <c r="AH11" i="85" s="1"/>
  <c r="AF28" i="80"/>
  <c r="AG49" i="84"/>
  <c r="AH49" i="84" s="1"/>
  <c r="AG45" i="84"/>
  <c r="AG43" i="84"/>
  <c r="AH43" i="84" s="1"/>
  <c r="AG40" i="84"/>
  <c r="AH40" i="84" s="1"/>
  <c r="AG36" i="84"/>
  <c r="AH36" i="84" s="1"/>
  <c r="AG30" i="84"/>
  <c r="AH30" i="84" s="1"/>
  <c r="AG24" i="84"/>
  <c r="AG12" i="84"/>
  <c r="M40" i="84"/>
  <c r="O40" i="84" s="1"/>
  <c r="P40" i="84" s="1"/>
  <c r="G28" i="86"/>
  <c r="G52" i="84"/>
  <c r="AC28" i="99"/>
  <c r="G21" i="100"/>
  <c r="AG19" i="100"/>
  <c r="AH19" i="100" s="1"/>
  <c r="AC23" i="101"/>
  <c r="AF52" i="102"/>
  <c r="M49" i="102"/>
  <c r="O49" i="102" s="1"/>
  <c r="P49" i="102" s="1"/>
  <c r="M26" i="104"/>
  <c r="H28" i="105"/>
  <c r="H21" i="106"/>
  <c r="C23" i="107"/>
  <c r="AG10" i="108"/>
  <c r="AH10" i="108" s="1"/>
  <c r="AG20" i="108"/>
  <c r="AG26" i="108"/>
  <c r="AH26" i="108" s="1"/>
  <c r="AG27" i="108"/>
  <c r="AH27" i="108" s="1"/>
  <c r="AG31" i="108"/>
  <c r="AH31" i="108" s="1"/>
  <c r="I67" i="108"/>
  <c r="AH26" i="99"/>
  <c r="AG11" i="100"/>
  <c r="AH11" i="100" s="1"/>
  <c r="AH12" i="100"/>
  <c r="AG16" i="102"/>
  <c r="AH16" i="102" s="1"/>
  <c r="AG20" i="102"/>
  <c r="AH20" i="102" s="1"/>
  <c r="AG25" i="102"/>
  <c r="AH25" i="102" s="1"/>
  <c r="AG27" i="102"/>
  <c r="AH27" i="102" s="1"/>
  <c r="M45" i="102"/>
  <c r="O45" i="102" s="1"/>
  <c r="P45" i="102" s="1"/>
  <c r="Q45" i="102" s="1"/>
  <c r="AG46" i="102"/>
  <c r="AH46" i="102" s="1"/>
  <c r="AG47" i="102"/>
  <c r="AH47" i="102" s="1"/>
  <c r="AG14" i="103"/>
  <c r="AH14" i="103" s="1"/>
  <c r="AG16" i="103"/>
  <c r="AH16" i="103" s="1"/>
  <c r="AG17" i="103"/>
  <c r="AH17" i="103" s="1"/>
  <c r="M21" i="104"/>
  <c r="O21" i="104" s="1"/>
  <c r="AG22" i="105"/>
  <c r="AH22" i="105" s="1"/>
  <c r="M16" i="107"/>
  <c r="O16" i="107" s="1"/>
  <c r="P16" i="107" s="1"/>
  <c r="Q16" i="107" s="1"/>
  <c r="AG19" i="108"/>
  <c r="AH19" i="108" s="1"/>
  <c r="AG44" i="108"/>
  <c r="AH44" i="108" s="1"/>
  <c r="D67" i="84"/>
  <c r="N67" i="84"/>
  <c r="AH9" i="85"/>
  <c r="AF25" i="85"/>
  <c r="AG13" i="85"/>
  <c r="AH13" i="85" s="1"/>
  <c r="AG14" i="85"/>
  <c r="AH14" i="85" s="1"/>
  <c r="AG16" i="85"/>
  <c r="AH16" i="85" s="1"/>
  <c r="M26" i="84"/>
  <c r="O26" i="84" s="1"/>
  <c r="H52" i="84"/>
  <c r="M10" i="102"/>
  <c r="O10" i="102" s="1"/>
  <c r="P10" i="102" s="1"/>
  <c r="M16" i="110"/>
  <c r="O16" i="110" s="1"/>
  <c r="P16" i="110" s="1"/>
  <c r="M9" i="107"/>
  <c r="O9" i="107" s="1"/>
  <c r="P9" i="107" s="1"/>
  <c r="R9" i="107" s="1"/>
  <c r="M19" i="99"/>
  <c r="O19" i="99" s="1"/>
  <c r="P19" i="99" s="1"/>
  <c r="Q19" i="99" s="1"/>
  <c r="M26" i="99"/>
  <c r="O26" i="99" s="1"/>
  <c r="P26" i="99" s="1"/>
  <c r="M15" i="100"/>
  <c r="O15" i="100" s="1"/>
  <c r="P15" i="100" s="1"/>
  <c r="AG18" i="101"/>
  <c r="AG20" i="101"/>
  <c r="AH20" i="101" s="1"/>
  <c r="AG9" i="102"/>
  <c r="AH9" i="102" s="1"/>
  <c r="AG45" i="102"/>
  <c r="AH45" i="102" s="1"/>
  <c r="AC28" i="104"/>
  <c r="F28" i="104"/>
  <c r="AG11" i="105"/>
  <c r="AH11" i="105" s="1"/>
  <c r="AG24" i="105"/>
  <c r="AH24" i="105" s="1"/>
  <c r="M26" i="105"/>
  <c r="AG15" i="106"/>
  <c r="AH15" i="106" s="1"/>
  <c r="E23" i="107"/>
  <c r="M13" i="107"/>
  <c r="O13" i="107" s="1"/>
  <c r="P13" i="107" s="1"/>
  <c r="R13" i="107" s="1"/>
  <c r="AG15" i="107"/>
  <c r="AH15" i="107" s="1"/>
  <c r="M31" i="108"/>
  <c r="O31" i="108" s="1"/>
  <c r="K22" i="110"/>
  <c r="L22" i="110"/>
  <c r="AG43" i="108"/>
  <c r="AH43" i="108" s="1"/>
  <c r="G67" i="108"/>
  <c r="AG22" i="110"/>
  <c r="AH22" i="110" s="1"/>
  <c r="AG23" i="110"/>
  <c r="AH23" i="110" s="1"/>
  <c r="G52" i="108"/>
  <c r="AG51" i="108"/>
  <c r="AH51" i="108" s="1"/>
  <c r="D67" i="108"/>
  <c r="AG10" i="109"/>
  <c r="AH10" i="109" s="1"/>
  <c r="H25" i="109"/>
  <c r="AG17" i="109"/>
  <c r="AH17" i="109" s="1"/>
  <c r="AG16" i="110"/>
  <c r="AH16" i="110" s="1"/>
  <c r="L37" i="84"/>
  <c r="M37" i="84" s="1"/>
  <c r="B12" i="111"/>
  <c r="B11" i="42"/>
  <c r="K15" i="80"/>
  <c r="L15" i="80"/>
  <c r="K22" i="85"/>
  <c r="M22" i="85" s="1"/>
  <c r="O22" i="85" s="1"/>
  <c r="P22" i="85" s="1"/>
  <c r="AH9" i="86"/>
  <c r="K25" i="80"/>
  <c r="L25" i="80"/>
  <c r="Q9" i="104"/>
  <c r="R9" i="104"/>
  <c r="F64" i="102"/>
  <c r="L9" i="102"/>
  <c r="K9" i="102"/>
  <c r="K64" i="102" s="1"/>
  <c r="F44" i="102"/>
  <c r="L44" i="102" s="1"/>
  <c r="M44" i="102" s="1"/>
  <c r="E52" i="102"/>
  <c r="AG21" i="80"/>
  <c r="AH21" i="80" s="1"/>
  <c r="AH29" i="84"/>
  <c r="AG10" i="85"/>
  <c r="AH10" i="85" s="1"/>
  <c r="L17" i="81"/>
  <c r="M17" i="81" s="1"/>
  <c r="M17" i="85"/>
  <c r="O17" i="85" s="1"/>
  <c r="P17" i="85" s="1"/>
  <c r="K14" i="80"/>
  <c r="M14" i="80" s="1"/>
  <c r="O14" i="80" s="1"/>
  <c r="P14" i="80" s="1"/>
  <c r="F9" i="80"/>
  <c r="L9" i="80" s="1"/>
  <c r="M9" i="80" s="1"/>
  <c r="O9" i="80" s="1"/>
  <c r="P9" i="80" s="1"/>
  <c r="E28" i="80"/>
  <c r="AG12" i="81"/>
  <c r="AH12" i="81" s="1"/>
  <c r="AG9" i="81"/>
  <c r="AH9" i="81" s="1"/>
  <c r="AH15" i="85"/>
  <c r="M47" i="84"/>
  <c r="M43" i="84"/>
  <c r="O43" i="84" s="1"/>
  <c r="P43" i="84" s="1"/>
  <c r="P26" i="84"/>
  <c r="R26" i="84" s="1"/>
  <c r="Q17" i="101"/>
  <c r="R17" i="101"/>
  <c r="AH10" i="86"/>
  <c r="AH12" i="80"/>
  <c r="AH11" i="86"/>
  <c r="R19" i="99"/>
  <c r="Z28" i="80"/>
  <c r="M11" i="80"/>
  <c r="O11" i="80" s="1"/>
  <c r="P11" i="80" s="1"/>
  <c r="P33" i="84"/>
  <c r="Q33" i="84" s="1"/>
  <c r="L10" i="81"/>
  <c r="AF21" i="81"/>
  <c r="AG16" i="81"/>
  <c r="AH16" i="81" s="1"/>
  <c r="L15" i="81"/>
  <c r="M15" i="81" s="1"/>
  <c r="O15" i="81" s="1"/>
  <c r="P15" i="81" s="1"/>
  <c r="K10" i="81"/>
  <c r="O24" i="85"/>
  <c r="P24" i="85" s="1"/>
  <c r="R24" i="85" s="1"/>
  <c r="K13" i="85"/>
  <c r="M13" i="85" s="1"/>
  <c r="O13" i="85" s="1"/>
  <c r="P13" i="85" s="1"/>
  <c r="K13" i="80"/>
  <c r="L13" i="80"/>
  <c r="M20" i="80"/>
  <c r="O20" i="80" s="1"/>
  <c r="P20" i="80" s="1"/>
  <c r="R20" i="80" s="1"/>
  <c r="L17" i="86"/>
  <c r="M17" i="86" s="1"/>
  <c r="L49" i="84"/>
  <c r="M49" i="84" s="1"/>
  <c r="O49" i="84" s="1"/>
  <c r="P49" i="84" s="1"/>
  <c r="F10" i="84"/>
  <c r="E64" i="84"/>
  <c r="E51" i="84"/>
  <c r="F51" i="84" s="1"/>
  <c r="C52" i="84"/>
  <c r="AG18" i="85"/>
  <c r="AH18" i="85" s="1"/>
  <c r="AG19" i="85"/>
  <c r="AH19" i="85" s="1"/>
  <c r="AH20" i="80"/>
  <c r="H21" i="81"/>
  <c r="M13" i="108"/>
  <c r="Q33" i="108"/>
  <c r="M11" i="101"/>
  <c r="M13" i="101"/>
  <c r="O13" i="101" s="1"/>
  <c r="P13" i="101" s="1"/>
  <c r="Q13" i="101" s="1"/>
  <c r="AG11" i="101"/>
  <c r="AH11" i="101" s="1"/>
  <c r="E15" i="101"/>
  <c r="F15" i="101" s="1"/>
  <c r="F23" i="101" s="1"/>
  <c r="C23" i="101"/>
  <c r="AG12" i="102"/>
  <c r="AH12" i="102" s="1"/>
  <c r="F13" i="102"/>
  <c r="E65" i="102"/>
  <c r="AG23" i="102"/>
  <c r="AH23" i="102" s="1"/>
  <c r="J24" i="102"/>
  <c r="K24" i="102"/>
  <c r="M27" i="102"/>
  <c r="AG34" i="102"/>
  <c r="AH34" i="102" s="1"/>
  <c r="O39" i="102"/>
  <c r="P39" i="102" s="1"/>
  <c r="AG40" i="102"/>
  <c r="AH40" i="102" s="1"/>
  <c r="AG41" i="102"/>
  <c r="AH41" i="102" s="1"/>
  <c r="L45" i="108"/>
  <c r="M45" i="108" s="1"/>
  <c r="G28" i="110"/>
  <c r="M26" i="110"/>
  <c r="O26" i="110" s="1"/>
  <c r="P26" i="110" s="1"/>
  <c r="R26" i="110" s="1"/>
  <c r="K20" i="86"/>
  <c r="M20" i="86" s="1"/>
  <c r="O20" i="86" s="1"/>
  <c r="P20" i="86" s="1"/>
  <c r="E28" i="86"/>
  <c r="M23" i="80"/>
  <c r="O23" i="80" s="1"/>
  <c r="P23" i="80" s="1"/>
  <c r="Q23" i="80" s="1"/>
  <c r="AG10" i="81"/>
  <c r="AH10" i="81" s="1"/>
  <c r="AG15" i="81"/>
  <c r="AH15" i="81" s="1"/>
  <c r="AG17" i="85"/>
  <c r="AH17" i="85" s="1"/>
  <c r="AG21" i="85"/>
  <c r="AH21" i="85" s="1"/>
  <c r="AG24" i="85"/>
  <c r="AH24" i="85" s="1"/>
  <c r="AG13" i="81"/>
  <c r="AH13" i="81" s="1"/>
  <c r="R24" i="104"/>
  <c r="S24" i="104" s="1"/>
  <c r="T24" i="104" s="1"/>
  <c r="V24" i="104" s="1"/>
  <c r="W24" i="104" s="1"/>
  <c r="Q11" i="104"/>
  <c r="R21" i="110"/>
  <c r="Q17" i="110"/>
  <c r="S17" i="110" s="1"/>
  <c r="T17" i="110" s="1"/>
  <c r="V17" i="110" s="1"/>
  <c r="M29" i="102"/>
  <c r="L24" i="102"/>
  <c r="M10" i="99"/>
  <c r="O10" i="99" s="1"/>
  <c r="P10" i="99" s="1"/>
  <c r="P11" i="99"/>
  <c r="M23" i="99"/>
  <c r="P26" i="108"/>
  <c r="H28" i="99"/>
  <c r="AG14" i="99"/>
  <c r="AH14" i="99" s="1"/>
  <c r="K15" i="99"/>
  <c r="L15" i="99"/>
  <c r="M21" i="99"/>
  <c r="O21" i="99" s="1"/>
  <c r="P21" i="99" s="1"/>
  <c r="R21" i="99" s="1"/>
  <c r="M24" i="99"/>
  <c r="O24" i="99" s="1"/>
  <c r="P24" i="99" s="1"/>
  <c r="L9" i="100"/>
  <c r="M9" i="100" s="1"/>
  <c r="AH15" i="100"/>
  <c r="AH16" i="100"/>
  <c r="AG10" i="101"/>
  <c r="AH10" i="101" s="1"/>
  <c r="Z23" i="101"/>
  <c r="K19" i="101"/>
  <c r="L19" i="101"/>
  <c r="AG21" i="102"/>
  <c r="AH21" i="102" s="1"/>
  <c r="L36" i="102"/>
  <c r="M36" i="102" s="1"/>
  <c r="AG38" i="102"/>
  <c r="AH38" i="102" s="1"/>
  <c r="M48" i="102"/>
  <c r="O48" i="102" s="1"/>
  <c r="P48" i="102" s="1"/>
  <c r="G52" i="102"/>
  <c r="M10" i="103"/>
  <c r="O10" i="103" s="1"/>
  <c r="Z25" i="103"/>
  <c r="AG11" i="103"/>
  <c r="AH11" i="103" s="1"/>
  <c r="AH15" i="103"/>
  <c r="K25" i="105"/>
  <c r="L25" i="105"/>
  <c r="AG27" i="105"/>
  <c r="AH27" i="105" s="1"/>
  <c r="M19" i="106"/>
  <c r="F12" i="108"/>
  <c r="F64" i="108" s="1"/>
  <c r="E52" i="108"/>
  <c r="E64" i="108"/>
  <c r="AG17" i="108"/>
  <c r="AH17" i="108" s="1"/>
  <c r="Z52" i="108"/>
  <c r="F18" i="108"/>
  <c r="E66" i="108"/>
  <c r="F20" i="108"/>
  <c r="F65" i="108" s="1"/>
  <c r="E65" i="108"/>
  <c r="L22" i="108"/>
  <c r="M22" i="108" s="1"/>
  <c r="O22" i="108" s="1"/>
  <c r="P22" i="108" s="1"/>
  <c r="AG25" i="108"/>
  <c r="AH25" i="108" s="1"/>
  <c r="AC25" i="109"/>
  <c r="AG9" i="109"/>
  <c r="AH9" i="109" s="1"/>
  <c r="L10" i="109"/>
  <c r="M10" i="109" s="1"/>
  <c r="AH24" i="109"/>
  <c r="AC28" i="110"/>
  <c r="K15" i="110"/>
  <c r="L15" i="110"/>
  <c r="Q18" i="110"/>
  <c r="S18" i="110" s="1"/>
  <c r="T18" i="110" s="1"/>
  <c r="V18" i="110" s="1"/>
  <c r="P34" i="102"/>
  <c r="P51" i="108"/>
  <c r="L20" i="99"/>
  <c r="M20" i="99" s="1"/>
  <c r="O20" i="99" s="1"/>
  <c r="P20" i="99" s="1"/>
  <c r="AG22" i="99"/>
  <c r="AH22" i="99" s="1"/>
  <c r="L20" i="101"/>
  <c r="M20" i="101" s="1"/>
  <c r="O20" i="101" s="1"/>
  <c r="P20" i="101" s="1"/>
  <c r="AG10" i="102"/>
  <c r="AH10" i="102" s="1"/>
  <c r="Z52" i="102"/>
  <c r="L15" i="102"/>
  <c r="M15" i="102" s="1"/>
  <c r="AG17" i="102"/>
  <c r="AH17" i="102" s="1"/>
  <c r="L18" i="102"/>
  <c r="F66" i="102"/>
  <c r="L26" i="102"/>
  <c r="M26" i="102" s="1"/>
  <c r="O26" i="102" s="1"/>
  <c r="P26" i="102" s="1"/>
  <c r="L31" i="102"/>
  <c r="M31" i="102" s="1"/>
  <c r="P21" i="104"/>
  <c r="M23" i="84"/>
  <c r="O23" i="84" s="1"/>
  <c r="P23" i="84" s="1"/>
  <c r="AG13" i="80"/>
  <c r="AH13" i="80" s="1"/>
  <c r="L19" i="84"/>
  <c r="M19" i="84" s="1"/>
  <c r="O19" i="84" s="1"/>
  <c r="P19" i="84" s="1"/>
  <c r="M25" i="84"/>
  <c r="O25" i="84" s="1"/>
  <c r="P25" i="84" s="1"/>
  <c r="L50" i="84"/>
  <c r="M50" i="84" s="1"/>
  <c r="O50" i="84" s="1"/>
  <c r="P50" i="84" s="1"/>
  <c r="AC28" i="86"/>
  <c r="M15" i="86"/>
  <c r="AC21" i="81"/>
  <c r="AG12" i="85"/>
  <c r="AH12" i="85" s="1"/>
  <c r="M26" i="86"/>
  <c r="H28" i="80"/>
  <c r="AG23" i="85"/>
  <c r="AH23" i="85" s="1"/>
  <c r="D16" i="42"/>
  <c r="D22" i="42" s="1"/>
  <c r="R11" i="104"/>
  <c r="R33" i="108"/>
  <c r="Q21" i="110"/>
  <c r="P16" i="102"/>
  <c r="M23" i="103"/>
  <c r="L20" i="104"/>
  <c r="M20" i="104" s="1"/>
  <c r="E28" i="104"/>
  <c r="C52" i="102"/>
  <c r="AG19" i="102"/>
  <c r="AH19" i="102" s="1"/>
  <c r="AG28" i="102"/>
  <c r="AH28" i="102" s="1"/>
  <c r="AG32" i="102"/>
  <c r="AH32" i="102" s="1"/>
  <c r="Z28" i="99"/>
  <c r="P22" i="101"/>
  <c r="M14" i="109"/>
  <c r="O14" i="109" s="1"/>
  <c r="P14" i="109" s="1"/>
  <c r="Q14" i="109" s="1"/>
  <c r="C52" i="108"/>
  <c r="P11" i="105"/>
  <c r="F12" i="99"/>
  <c r="L12" i="99" s="1"/>
  <c r="M12" i="99" s="1"/>
  <c r="O12" i="99" s="1"/>
  <c r="P12" i="99" s="1"/>
  <c r="E28" i="99"/>
  <c r="AG15" i="99"/>
  <c r="AH15" i="99" s="1"/>
  <c r="M17" i="99"/>
  <c r="O17" i="99" s="1"/>
  <c r="P17" i="99" s="1"/>
  <c r="AG21" i="99"/>
  <c r="M22" i="99"/>
  <c r="O22" i="99" s="1"/>
  <c r="P22" i="99" s="1"/>
  <c r="AG27" i="99"/>
  <c r="AH27" i="99" s="1"/>
  <c r="Z21" i="100"/>
  <c r="F10" i="100"/>
  <c r="K10" i="100" s="1"/>
  <c r="E21" i="100"/>
  <c r="AF21" i="100"/>
  <c r="AH13" i="100"/>
  <c r="AG14" i="100"/>
  <c r="AH14" i="100" s="1"/>
  <c r="AG18" i="100"/>
  <c r="AH18" i="100" s="1"/>
  <c r="AG20" i="100"/>
  <c r="AH20" i="100" s="1"/>
  <c r="K9" i="101"/>
  <c r="M9" i="101" s="1"/>
  <c r="M14" i="101"/>
  <c r="O14" i="101" s="1"/>
  <c r="P14" i="101" s="1"/>
  <c r="M16" i="101"/>
  <c r="O16" i="101" s="1"/>
  <c r="P16" i="101" s="1"/>
  <c r="Q16" i="101" s="1"/>
  <c r="AH18" i="101"/>
  <c r="AG30" i="102"/>
  <c r="AH30" i="102" s="1"/>
  <c r="AG35" i="102"/>
  <c r="AH35" i="102" s="1"/>
  <c r="AG36" i="102"/>
  <c r="AH36" i="102" s="1"/>
  <c r="AG37" i="102"/>
  <c r="AH37" i="102" s="1"/>
  <c r="M46" i="102"/>
  <c r="O46" i="102" s="1"/>
  <c r="P46" i="102" s="1"/>
  <c r="Q46" i="102" s="1"/>
  <c r="AH48" i="102"/>
  <c r="N67" i="102"/>
  <c r="F9" i="103"/>
  <c r="E25" i="103"/>
  <c r="AC25" i="103"/>
  <c r="AF25" i="103"/>
  <c r="M15" i="103"/>
  <c r="O15" i="103" s="1"/>
  <c r="P15" i="103" s="1"/>
  <c r="M17" i="103"/>
  <c r="O17" i="103" s="1"/>
  <c r="P17" i="103" s="1"/>
  <c r="K18" i="103"/>
  <c r="L18" i="103"/>
  <c r="AG10" i="105"/>
  <c r="AH10" i="105" s="1"/>
  <c r="Z28" i="105"/>
  <c r="AG13" i="105"/>
  <c r="AH13" i="105" s="1"/>
  <c r="L15" i="105"/>
  <c r="M15" i="105" s="1"/>
  <c r="AG23" i="105"/>
  <c r="AH23" i="105" s="1"/>
  <c r="AG26" i="105"/>
  <c r="AH26" i="105" s="1"/>
  <c r="AG13" i="106"/>
  <c r="AH13" i="106" s="1"/>
  <c r="K16" i="106"/>
  <c r="L16" i="106"/>
  <c r="AG11" i="107"/>
  <c r="AH11" i="107" s="1"/>
  <c r="Z23" i="107"/>
  <c r="AG12" i="107"/>
  <c r="AH12" i="107" s="1"/>
  <c r="M20" i="107"/>
  <c r="O20" i="107" s="1"/>
  <c r="P20" i="107" s="1"/>
  <c r="AC52" i="108"/>
  <c r="AH13" i="108"/>
  <c r="L17" i="108"/>
  <c r="M17" i="108" s="1"/>
  <c r="O17" i="108" s="1"/>
  <c r="AF52" i="108"/>
  <c r="AG18" i="108"/>
  <c r="AH18" i="108" s="1"/>
  <c r="AH23" i="108"/>
  <c r="M48" i="108"/>
  <c r="F9" i="109"/>
  <c r="F25" i="109" s="1"/>
  <c r="E25" i="109"/>
  <c r="L12" i="109"/>
  <c r="M12" i="109" s="1"/>
  <c r="O12" i="109" s="1"/>
  <c r="P12" i="109" s="1"/>
  <c r="AG15" i="109"/>
  <c r="AH15" i="109" s="1"/>
  <c r="L16" i="109"/>
  <c r="K16" i="109"/>
  <c r="AG18" i="109"/>
  <c r="AH18" i="109" s="1"/>
  <c r="AG19" i="109"/>
  <c r="AH19" i="109" s="1"/>
  <c r="L9" i="110"/>
  <c r="M9" i="110" s="1"/>
  <c r="F28" i="110"/>
  <c r="AF28" i="110"/>
  <c r="L34" i="519"/>
  <c r="M34" i="519"/>
  <c r="N34" i="519"/>
  <c r="M14" i="104"/>
  <c r="M20" i="102"/>
  <c r="O20" i="102" s="1"/>
  <c r="P20" i="102" s="1"/>
  <c r="AG17" i="99"/>
  <c r="AG19" i="99"/>
  <c r="AH19" i="99" s="1"/>
  <c r="AG23" i="99"/>
  <c r="AH23" i="99" s="1"/>
  <c r="AG13" i="101"/>
  <c r="AH13" i="101" s="1"/>
  <c r="AG19" i="101"/>
  <c r="AH19" i="101" s="1"/>
  <c r="AG29" i="102"/>
  <c r="AH29" i="102" s="1"/>
  <c r="AG31" i="102"/>
  <c r="AH31" i="102" s="1"/>
  <c r="AG33" i="102"/>
  <c r="AH33" i="102" s="1"/>
  <c r="G67" i="102"/>
  <c r="Z28" i="104"/>
  <c r="K12" i="104"/>
  <c r="M12" i="104" s="1"/>
  <c r="O12" i="104" s="1"/>
  <c r="P12" i="104" s="1"/>
  <c r="Q12" i="104" s="1"/>
  <c r="AG19" i="104"/>
  <c r="AH19" i="104" s="1"/>
  <c r="M23" i="105"/>
  <c r="O23" i="105" s="1"/>
  <c r="P23" i="105" s="1"/>
  <c r="AG25" i="105"/>
  <c r="AH25" i="105" s="1"/>
  <c r="AG16" i="106"/>
  <c r="AH16" i="106" s="1"/>
  <c r="AG18" i="107"/>
  <c r="AH18" i="107" s="1"/>
  <c r="AG33" i="108"/>
  <c r="AH33" i="108" s="1"/>
  <c r="AG40" i="108"/>
  <c r="AH40" i="108" s="1"/>
  <c r="AG46" i="108"/>
  <c r="AH46" i="108" s="1"/>
  <c r="E28" i="110"/>
  <c r="H28" i="86"/>
  <c r="M10" i="108"/>
  <c r="O10" i="108" s="1"/>
  <c r="P10" i="108" s="1"/>
  <c r="R10" i="108" s="1"/>
  <c r="AG10" i="99"/>
  <c r="AH10" i="99" s="1"/>
  <c r="AG13" i="99"/>
  <c r="AH13" i="99" s="1"/>
  <c r="M18" i="99"/>
  <c r="O18" i="99" s="1"/>
  <c r="P18" i="99" s="1"/>
  <c r="AG18" i="99"/>
  <c r="AH18" i="99" s="1"/>
  <c r="AC21" i="100"/>
  <c r="AF23" i="101"/>
  <c r="AG22" i="101"/>
  <c r="AH22" i="101" s="1"/>
  <c r="E66" i="102"/>
  <c r="AG15" i="102"/>
  <c r="AH15" i="102" s="1"/>
  <c r="AG24" i="102"/>
  <c r="AH24" i="102" s="1"/>
  <c r="AG26" i="102"/>
  <c r="AH26" i="102" s="1"/>
  <c r="AG39" i="102"/>
  <c r="AH39" i="102" s="1"/>
  <c r="AG18" i="103"/>
  <c r="AH18" i="103" s="1"/>
  <c r="AF28" i="104"/>
  <c r="AG14" i="104"/>
  <c r="AH14" i="104" s="1"/>
  <c r="G21" i="106"/>
  <c r="AG21" i="109"/>
  <c r="AH21" i="109" s="1"/>
  <c r="AG50" i="102"/>
  <c r="AH50" i="102" s="1"/>
  <c r="AG51" i="102"/>
  <c r="AH51" i="102" s="1"/>
  <c r="AG20" i="103"/>
  <c r="AH20" i="103" s="1"/>
  <c r="AG22" i="103"/>
  <c r="AH22" i="103" s="1"/>
  <c r="AG24" i="103"/>
  <c r="AH24" i="103" s="1"/>
  <c r="H28" i="104"/>
  <c r="AG18" i="104"/>
  <c r="AH18" i="104" s="1"/>
  <c r="AG21" i="104"/>
  <c r="AF28" i="105"/>
  <c r="AG19" i="105"/>
  <c r="AH19" i="105" s="1"/>
  <c r="AG20" i="105"/>
  <c r="AH20" i="105" s="1"/>
  <c r="AG21" i="105"/>
  <c r="AH21" i="105" s="1"/>
  <c r="AF21" i="106"/>
  <c r="AG18" i="106"/>
  <c r="AH18" i="106" s="1"/>
  <c r="AG19" i="106"/>
  <c r="AH19" i="106" s="1"/>
  <c r="AG22" i="107"/>
  <c r="AH22" i="107" s="1"/>
  <c r="AG22" i="108"/>
  <c r="AH22" i="108" s="1"/>
  <c r="AG28" i="108"/>
  <c r="AH28" i="108" s="1"/>
  <c r="AG32" i="108"/>
  <c r="AH32" i="108" s="1"/>
  <c r="C65" i="108"/>
  <c r="C67" i="108" s="1"/>
  <c r="AG48" i="108"/>
  <c r="AH48" i="108" s="1"/>
  <c r="AG11" i="109"/>
  <c r="AH11" i="109" s="1"/>
  <c r="AG10" i="110"/>
  <c r="AH10" i="110" s="1"/>
  <c r="AG11" i="110"/>
  <c r="AH11" i="110" s="1"/>
  <c r="AG18" i="110"/>
  <c r="AH18" i="110" s="1"/>
  <c r="AG21" i="103"/>
  <c r="AH21" i="103" s="1"/>
  <c r="AG23" i="103"/>
  <c r="AH23" i="103" s="1"/>
  <c r="AG15" i="104"/>
  <c r="AH15" i="104" s="1"/>
  <c r="AG17" i="105"/>
  <c r="AH17" i="105" s="1"/>
  <c r="AG9" i="106"/>
  <c r="AH9" i="106" s="1"/>
  <c r="AG17" i="106"/>
  <c r="AH17" i="106" s="1"/>
  <c r="AG20" i="106"/>
  <c r="AH20" i="106" s="1"/>
  <c r="AG9" i="107"/>
  <c r="AH9" i="107" s="1"/>
  <c r="AG10" i="107"/>
  <c r="AH10" i="107" s="1"/>
  <c r="AG14" i="108"/>
  <c r="AH14" i="108" s="1"/>
  <c r="AG16" i="108"/>
  <c r="AH16" i="108" s="1"/>
  <c r="AG35" i="108"/>
  <c r="AH35" i="108" s="1"/>
  <c r="AG41" i="108"/>
  <c r="AH41" i="108" s="1"/>
  <c r="AG45" i="108"/>
  <c r="AH45" i="108" s="1"/>
  <c r="AG12" i="109"/>
  <c r="AH12" i="109" s="1"/>
  <c r="AG9" i="110"/>
  <c r="AH9" i="110" s="1"/>
  <c r="C16" i="42"/>
  <c r="B16" i="111"/>
  <c r="D16" i="111"/>
  <c r="D22" i="111" s="1"/>
  <c r="R19" i="80"/>
  <c r="Q19" i="80"/>
  <c r="Q27" i="84"/>
  <c r="O21" i="84"/>
  <c r="P21" i="84" s="1"/>
  <c r="Q12" i="86"/>
  <c r="R12" i="86"/>
  <c r="M9" i="86"/>
  <c r="O16" i="80"/>
  <c r="P16" i="80" s="1"/>
  <c r="O9" i="84"/>
  <c r="P9" i="84" s="1"/>
  <c r="O27" i="86"/>
  <c r="P27" i="86" s="1"/>
  <c r="O11" i="86"/>
  <c r="P11" i="86" s="1"/>
  <c r="R23" i="80"/>
  <c r="Q44" i="84"/>
  <c r="R44" i="84"/>
  <c r="K66" i="84"/>
  <c r="Q34" i="84"/>
  <c r="O48" i="84"/>
  <c r="P48" i="84" s="1"/>
  <c r="Q18" i="86"/>
  <c r="O17" i="80"/>
  <c r="P17" i="80" s="1"/>
  <c r="R10" i="80"/>
  <c r="Q10" i="80"/>
  <c r="R41" i="84"/>
  <c r="Q41" i="84"/>
  <c r="R23" i="86"/>
  <c r="Q23" i="86"/>
  <c r="M24" i="80"/>
  <c r="B14" i="111"/>
  <c r="B14" i="42"/>
  <c r="K16" i="81"/>
  <c r="L16" i="81"/>
  <c r="K13" i="81"/>
  <c r="L13" i="81"/>
  <c r="K14" i="85"/>
  <c r="L14" i="85"/>
  <c r="K10" i="85"/>
  <c r="M10" i="85" s="1"/>
  <c r="L10" i="86"/>
  <c r="L24" i="86"/>
  <c r="M24" i="86" s="1"/>
  <c r="E21" i="81"/>
  <c r="AH26" i="84"/>
  <c r="AH12" i="84"/>
  <c r="F28" i="86"/>
  <c r="O21" i="80"/>
  <c r="P21" i="80" s="1"/>
  <c r="O12" i="80"/>
  <c r="P12" i="80" s="1"/>
  <c r="L17" i="84"/>
  <c r="M17" i="84" s="1"/>
  <c r="F66" i="84"/>
  <c r="L11" i="84"/>
  <c r="L66" i="84" s="1"/>
  <c r="O47" i="84"/>
  <c r="P47" i="84" s="1"/>
  <c r="O45" i="84"/>
  <c r="P45" i="84" s="1"/>
  <c r="Q38" i="84"/>
  <c r="S38" i="84" s="1"/>
  <c r="M14" i="86"/>
  <c r="L16" i="86"/>
  <c r="M16" i="86" s="1"/>
  <c r="AG26" i="80"/>
  <c r="AH26" i="80" s="1"/>
  <c r="F65" i="84"/>
  <c r="L36" i="84"/>
  <c r="M36" i="84" s="1"/>
  <c r="O39" i="84"/>
  <c r="P39" i="84" s="1"/>
  <c r="M20" i="84"/>
  <c r="AG22" i="84"/>
  <c r="AH22" i="84" s="1"/>
  <c r="AH17" i="81"/>
  <c r="M19" i="81"/>
  <c r="M14" i="81"/>
  <c r="M11" i="81"/>
  <c r="M12" i="85"/>
  <c r="M18" i="80"/>
  <c r="AH51" i="84"/>
  <c r="AH47" i="84"/>
  <c r="AH34" i="84"/>
  <c r="F21" i="81"/>
  <c r="M9" i="81"/>
  <c r="E25" i="85"/>
  <c r="F9" i="85"/>
  <c r="M13" i="84"/>
  <c r="O12" i="84"/>
  <c r="P12" i="84" s="1"/>
  <c r="O26" i="80"/>
  <c r="P26" i="80" s="1"/>
  <c r="AG10" i="80"/>
  <c r="Z21" i="81"/>
  <c r="M31" i="84"/>
  <c r="E65" i="84"/>
  <c r="AG18" i="84"/>
  <c r="AH18" i="84" s="1"/>
  <c r="AH24" i="84"/>
  <c r="AH20" i="84"/>
  <c r="AH16" i="84"/>
  <c r="AH10" i="84"/>
  <c r="M21" i="86"/>
  <c r="AG20" i="81"/>
  <c r="AH20" i="81" s="1"/>
  <c r="AC25" i="85"/>
  <c r="L20" i="81"/>
  <c r="M20" i="81" s="1"/>
  <c r="L19" i="86"/>
  <c r="K19" i="86"/>
  <c r="O25" i="86"/>
  <c r="P25" i="86" s="1"/>
  <c r="L23" i="85"/>
  <c r="M23" i="85" s="1"/>
  <c r="O20" i="85"/>
  <c r="P20" i="85" s="1"/>
  <c r="Z52" i="84"/>
  <c r="AG14" i="84"/>
  <c r="AG14" i="81"/>
  <c r="AH14" i="81" s="1"/>
  <c r="L18" i="81"/>
  <c r="M18" i="81" s="1"/>
  <c r="L12" i="81"/>
  <c r="K15" i="85"/>
  <c r="M15" i="85" s="1"/>
  <c r="K11" i="85"/>
  <c r="M11" i="85" s="1"/>
  <c r="P27" i="80"/>
  <c r="AH45" i="84"/>
  <c r="AH32" i="84"/>
  <c r="AH28" i="84"/>
  <c r="Q20" i="103"/>
  <c r="S20" i="103" s="1"/>
  <c r="R15" i="109"/>
  <c r="R10" i="105"/>
  <c r="Q24" i="109"/>
  <c r="R24" i="109"/>
  <c r="O50" i="108"/>
  <c r="P50" i="108" s="1"/>
  <c r="K18" i="85"/>
  <c r="M18" i="85" s="1"/>
  <c r="L19" i="85"/>
  <c r="M19" i="85" s="1"/>
  <c r="R37" i="108"/>
  <c r="Q37" i="108"/>
  <c r="R21" i="108"/>
  <c r="Q14" i="105"/>
  <c r="Q34" i="108"/>
  <c r="R34" i="108"/>
  <c r="O25" i="104"/>
  <c r="P25" i="104" s="1"/>
  <c r="O43" i="102"/>
  <c r="P43" i="102" s="1"/>
  <c r="L10" i="100"/>
  <c r="L17" i="100"/>
  <c r="M17" i="100"/>
  <c r="R19" i="100"/>
  <c r="S19" i="100" s="1"/>
  <c r="Q20" i="109"/>
  <c r="R20" i="109"/>
  <c r="R17" i="106"/>
  <c r="Q17" i="106"/>
  <c r="Q24" i="105"/>
  <c r="R24" i="105"/>
  <c r="Q29" i="108"/>
  <c r="R29" i="108"/>
  <c r="R25" i="110"/>
  <c r="Q25" i="110"/>
  <c r="O14" i="104"/>
  <c r="P14" i="104" s="1"/>
  <c r="O12" i="102"/>
  <c r="R41" i="102"/>
  <c r="Q41" i="102"/>
  <c r="O18" i="109"/>
  <c r="P18" i="109" s="1"/>
  <c r="L21" i="101"/>
  <c r="M21" i="101" s="1"/>
  <c r="AG18" i="81"/>
  <c r="AH18" i="81" s="1"/>
  <c r="B10" i="42"/>
  <c r="L35" i="84"/>
  <c r="M35" i="84" s="1"/>
  <c r="F13" i="42"/>
  <c r="G13" i="42"/>
  <c r="R17" i="102"/>
  <c r="S17" i="102" s="1"/>
  <c r="Q43" i="108"/>
  <c r="R43" i="108"/>
  <c r="Q9" i="107"/>
  <c r="Q24" i="110"/>
  <c r="R24" i="110"/>
  <c r="Q36" i="108"/>
  <c r="R36" i="108"/>
  <c r="O23" i="104"/>
  <c r="P23" i="104" s="1"/>
  <c r="O21" i="103"/>
  <c r="P21" i="103" s="1"/>
  <c r="O50" i="102"/>
  <c r="P50" i="102" s="1"/>
  <c r="O13" i="103"/>
  <c r="P13" i="103" s="1"/>
  <c r="O20" i="100"/>
  <c r="P20" i="100" s="1"/>
  <c r="O18" i="100"/>
  <c r="P18" i="100" s="1"/>
  <c r="O23" i="109"/>
  <c r="P23" i="109" s="1"/>
  <c r="O14" i="110"/>
  <c r="P14" i="110" s="1"/>
  <c r="L27" i="108"/>
  <c r="M27" i="108" s="1"/>
  <c r="O27" i="99"/>
  <c r="P27" i="99" s="1"/>
  <c r="AG25" i="99"/>
  <c r="AH25" i="99" s="1"/>
  <c r="AG14" i="101"/>
  <c r="AH14" i="101" s="1"/>
  <c r="AG15" i="101"/>
  <c r="AH15" i="101" s="1"/>
  <c r="AG21" i="101"/>
  <c r="AH21" i="101" s="1"/>
  <c r="K22" i="102"/>
  <c r="L22" i="102"/>
  <c r="L25" i="102"/>
  <c r="J25" i="102"/>
  <c r="K25" i="102"/>
  <c r="L33" i="102"/>
  <c r="M33" i="102" s="1"/>
  <c r="L17" i="105"/>
  <c r="M17" i="105" s="1"/>
  <c r="L21" i="107"/>
  <c r="M21" i="107" s="1"/>
  <c r="K9" i="108"/>
  <c r="M9" i="108" s="1"/>
  <c r="K11" i="108"/>
  <c r="L11" i="108"/>
  <c r="K15" i="108"/>
  <c r="M15" i="108" s="1"/>
  <c r="L25" i="108"/>
  <c r="J25" i="108"/>
  <c r="K11" i="109"/>
  <c r="L11" i="109"/>
  <c r="M14" i="99"/>
  <c r="AH21" i="99"/>
  <c r="AG24" i="99"/>
  <c r="AH24" i="99" s="1"/>
  <c r="M11" i="100"/>
  <c r="AH9" i="101"/>
  <c r="AG17" i="101"/>
  <c r="AH17" i="101" s="1"/>
  <c r="AG11" i="102"/>
  <c r="F25" i="103"/>
  <c r="M12" i="105"/>
  <c r="M21" i="105"/>
  <c r="M23" i="110"/>
  <c r="AG12" i="99"/>
  <c r="AH12" i="99" s="1"/>
  <c r="AG13" i="102"/>
  <c r="AH13" i="102" s="1"/>
  <c r="L15" i="104"/>
  <c r="K15" i="104"/>
  <c r="L18" i="104"/>
  <c r="M18" i="104" s="1"/>
  <c r="L19" i="105"/>
  <c r="M19" i="105" s="1"/>
  <c r="L19" i="107"/>
  <c r="K19" i="107"/>
  <c r="L24" i="108"/>
  <c r="M24" i="108" s="1"/>
  <c r="O40" i="108"/>
  <c r="P40" i="108" s="1"/>
  <c r="L47" i="108"/>
  <c r="M47" i="108" s="1"/>
  <c r="L17" i="109"/>
  <c r="M17" i="109" s="1"/>
  <c r="K21" i="109"/>
  <c r="M21" i="109" s="1"/>
  <c r="L11" i="110"/>
  <c r="M11" i="110" s="1"/>
  <c r="M13" i="106"/>
  <c r="M14" i="106"/>
  <c r="AG12" i="101"/>
  <c r="L32" i="102"/>
  <c r="J32" i="102"/>
  <c r="L19" i="104"/>
  <c r="K19" i="104"/>
  <c r="K13" i="105"/>
  <c r="L13" i="105"/>
  <c r="L11" i="106"/>
  <c r="O22" i="107"/>
  <c r="P22" i="107" s="1"/>
  <c r="K23" i="108"/>
  <c r="L23" i="108"/>
  <c r="J23" i="108"/>
  <c r="L19" i="109"/>
  <c r="M19" i="109" s="1"/>
  <c r="K20" i="110"/>
  <c r="L20" i="110"/>
  <c r="K66" i="102"/>
  <c r="AF28" i="99"/>
  <c r="AG16" i="99"/>
  <c r="AH16" i="99" s="1"/>
  <c r="AH17" i="99"/>
  <c r="AG10" i="100"/>
  <c r="AG11" i="99"/>
  <c r="AH11" i="99" s="1"/>
  <c r="O38" i="102"/>
  <c r="P38" i="102" s="1"/>
  <c r="L19" i="103"/>
  <c r="L17" i="104"/>
  <c r="M17" i="104" s="1"/>
  <c r="L20" i="106"/>
  <c r="M20" i="106" s="1"/>
  <c r="L15" i="107"/>
  <c r="M15" i="107" s="1"/>
  <c r="K28" i="108"/>
  <c r="O39" i="108"/>
  <c r="P39" i="108" s="1"/>
  <c r="L13" i="110"/>
  <c r="M13" i="110" s="1"/>
  <c r="M16" i="108"/>
  <c r="M30" i="108"/>
  <c r="AG10" i="103"/>
  <c r="AH21" i="104"/>
  <c r="AC21" i="106"/>
  <c r="AG10" i="106"/>
  <c r="F11" i="107"/>
  <c r="AH20" i="108"/>
  <c r="AG39" i="108"/>
  <c r="AH39" i="108" s="1"/>
  <c r="AG49" i="108"/>
  <c r="AH49" i="108" s="1"/>
  <c r="AG22" i="109"/>
  <c r="AH22" i="109" s="1"/>
  <c r="AH14" i="110"/>
  <c r="AG27" i="110"/>
  <c r="AG22" i="104"/>
  <c r="AH22" i="104" s="1"/>
  <c r="AG23" i="104"/>
  <c r="AH23" i="104" s="1"/>
  <c r="M10" i="107"/>
  <c r="L35" i="102"/>
  <c r="M35" i="102" s="1"/>
  <c r="M12" i="103"/>
  <c r="AG13" i="104"/>
  <c r="AH13" i="104" s="1"/>
  <c r="AG17" i="104"/>
  <c r="AH17" i="104" s="1"/>
  <c r="AG20" i="104"/>
  <c r="AH20" i="104" s="1"/>
  <c r="AG27" i="104"/>
  <c r="AH27" i="104" s="1"/>
  <c r="AG12" i="105"/>
  <c r="AG18" i="105"/>
  <c r="AH18" i="105" s="1"/>
  <c r="K10" i="106"/>
  <c r="L14" i="107"/>
  <c r="M14" i="107" s="1"/>
  <c r="AG16" i="107"/>
  <c r="AH16" i="107" s="1"/>
  <c r="AG12" i="108"/>
  <c r="O41" i="108"/>
  <c r="P41" i="108" s="1"/>
  <c r="AG20" i="109"/>
  <c r="AG28" i="86" l="1"/>
  <c r="Q14" i="100"/>
  <c r="M16" i="100"/>
  <c r="O16" i="100" s="1"/>
  <c r="P16" i="100" s="1"/>
  <c r="L66" i="102"/>
  <c r="M18" i="107"/>
  <c r="R16" i="101"/>
  <c r="S16" i="101" s="1"/>
  <c r="M19" i="101"/>
  <c r="Q10" i="110"/>
  <c r="S10" i="110" s="1"/>
  <c r="T10" i="110" s="1"/>
  <c r="M22" i="84"/>
  <c r="O22" i="84" s="1"/>
  <c r="P22" i="84" s="1"/>
  <c r="R22" i="84" s="1"/>
  <c r="M15" i="84"/>
  <c r="O15" i="84" s="1"/>
  <c r="P15" i="84" s="1"/>
  <c r="R15" i="84" s="1"/>
  <c r="K65" i="84"/>
  <c r="M32" i="84"/>
  <c r="R15" i="106"/>
  <c r="S15" i="106" s="1"/>
  <c r="T15" i="106" s="1"/>
  <c r="V15" i="106" s="1"/>
  <c r="P9" i="99"/>
  <c r="M28" i="102"/>
  <c r="O28" i="102" s="1"/>
  <c r="P28" i="102" s="1"/>
  <c r="P16" i="104"/>
  <c r="R16" i="104" s="1"/>
  <c r="M14" i="84"/>
  <c r="O14" i="84" s="1"/>
  <c r="P14" i="84" s="1"/>
  <c r="R14" i="84" s="1"/>
  <c r="Q40" i="102"/>
  <c r="Q13" i="107"/>
  <c r="R14" i="109"/>
  <c r="R13" i="109"/>
  <c r="S13" i="109" s="1"/>
  <c r="T13" i="109" s="1"/>
  <c r="V13" i="109" s="1"/>
  <c r="Q13" i="109"/>
  <c r="K28" i="99"/>
  <c r="M24" i="84"/>
  <c r="O24" i="84" s="1"/>
  <c r="P24" i="84" s="1"/>
  <c r="R24" i="84" s="1"/>
  <c r="AH28" i="86"/>
  <c r="K15" i="111" s="1"/>
  <c r="Q15" i="111" s="1"/>
  <c r="M32" i="108"/>
  <c r="M14" i="103"/>
  <c r="O14" i="103" s="1"/>
  <c r="P14" i="103" s="1"/>
  <c r="Q14" i="103" s="1"/>
  <c r="R16" i="105"/>
  <c r="M25" i="108"/>
  <c r="O25" i="108" s="1"/>
  <c r="P25" i="108" s="1"/>
  <c r="F21" i="100"/>
  <c r="P31" i="108"/>
  <c r="Q31" i="108" s="1"/>
  <c r="M15" i="80"/>
  <c r="O15" i="80" s="1"/>
  <c r="P15" i="80" s="1"/>
  <c r="R15" i="80" s="1"/>
  <c r="Q37" i="102"/>
  <c r="R37" i="102"/>
  <c r="P20" i="105"/>
  <c r="Q20" i="105" s="1"/>
  <c r="P19" i="110"/>
  <c r="F52" i="84"/>
  <c r="R16" i="99"/>
  <c r="S16" i="99" s="1"/>
  <c r="T16" i="99" s="1"/>
  <c r="V16" i="99" s="1"/>
  <c r="J52" i="84"/>
  <c r="M28" i="108"/>
  <c r="Q12" i="110"/>
  <c r="R16" i="107"/>
  <c r="S16" i="107" s="1"/>
  <c r="T16" i="107" s="1"/>
  <c r="V16" i="107" s="1"/>
  <c r="R12" i="104"/>
  <c r="S12" i="104" s="1"/>
  <c r="T12" i="104" s="1"/>
  <c r="V12" i="104" s="1"/>
  <c r="S10" i="80"/>
  <c r="M16" i="84"/>
  <c r="O16" i="84" s="1"/>
  <c r="P16" i="84" s="1"/>
  <c r="R16" i="84" s="1"/>
  <c r="M30" i="102"/>
  <c r="O30" i="102" s="1"/>
  <c r="P30" i="102" s="1"/>
  <c r="R30" i="102" s="1"/>
  <c r="K23" i="101"/>
  <c r="P29" i="84"/>
  <c r="R29" i="84" s="1"/>
  <c r="S19" i="99"/>
  <c r="T19" i="99" s="1"/>
  <c r="V19" i="99" s="1"/>
  <c r="AJ19" i="99" s="1"/>
  <c r="Q26" i="110"/>
  <c r="S12" i="86"/>
  <c r="T12" i="86" s="1"/>
  <c r="V12" i="86" s="1"/>
  <c r="Q24" i="103"/>
  <c r="S24" i="103" s="1"/>
  <c r="M16" i="85"/>
  <c r="O16" i="85" s="1"/>
  <c r="P16" i="85" s="1"/>
  <c r="Q16" i="85" s="1"/>
  <c r="M28" i="84"/>
  <c r="O28" i="84" s="1"/>
  <c r="P28" i="84" s="1"/>
  <c r="R28" i="84" s="1"/>
  <c r="M22" i="109"/>
  <c r="O22" i="109" s="1"/>
  <c r="P22" i="109" s="1"/>
  <c r="R22" i="109" s="1"/>
  <c r="C23" i="174"/>
  <c r="O51" i="102"/>
  <c r="P51" i="102" s="1"/>
  <c r="R12" i="106"/>
  <c r="Q12" i="106"/>
  <c r="S12" i="106" s="1"/>
  <c r="T12" i="106" s="1"/>
  <c r="V12" i="106" s="1"/>
  <c r="W38" i="108"/>
  <c r="AI38" i="108"/>
  <c r="K21" i="106"/>
  <c r="AG21" i="106"/>
  <c r="D10" i="174"/>
  <c r="R18" i="105"/>
  <c r="S18" i="105" s="1"/>
  <c r="T18" i="105" s="1"/>
  <c r="V18" i="105" s="1"/>
  <c r="R45" i="102"/>
  <c r="S45" i="102" s="1"/>
  <c r="T45" i="102" s="1"/>
  <c r="V45" i="102" s="1"/>
  <c r="Q30" i="102"/>
  <c r="L21" i="100"/>
  <c r="R35" i="108"/>
  <c r="S35" i="108" s="1"/>
  <c r="T35" i="108" s="1"/>
  <c r="V35" i="108" s="1"/>
  <c r="M13" i="81"/>
  <c r="O13" i="81" s="1"/>
  <c r="P13" i="81" s="1"/>
  <c r="Q20" i="80"/>
  <c r="S20" i="80" s="1"/>
  <c r="T20" i="80" s="1"/>
  <c r="V20" i="80" s="1"/>
  <c r="M18" i="101"/>
  <c r="O18" i="101" s="1"/>
  <c r="P18" i="101" s="1"/>
  <c r="R18" i="101" s="1"/>
  <c r="L9" i="106"/>
  <c r="M9" i="106" s="1"/>
  <c r="O27" i="105"/>
  <c r="P27" i="105" s="1"/>
  <c r="Q12" i="100"/>
  <c r="R12" i="100"/>
  <c r="R33" i="84"/>
  <c r="S33" i="84" s="1"/>
  <c r="P18" i="106"/>
  <c r="Q18" i="106" s="1"/>
  <c r="J65" i="84"/>
  <c r="J67" i="84" s="1"/>
  <c r="R9" i="105"/>
  <c r="S9" i="105" s="1"/>
  <c r="T9" i="105" s="1"/>
  <c r="V9" i="105" s="1"/>
  <c r="O27" i="104"/>
  <c r="P27" i="104" s="1"/>
  <c r="K21" i="100"/>
  <c r="P27" i="110"/>
  <c r="Q27" i="110" s="1"/>
  <c r="E23" i="101"/>
  <c r="P21" i="102"/>
  <c r="Q21" i="102" s="1"/>
  <c r="M10" i="106"/>
  <c r="O10" i="106" s="1"/>
  <c r="P10" i="106" s="1"/>
  <c r="AG28" i="110"/>
  <c r="AG25" i="103"/>
  <c r="AG21" i="100"/>
  <c r="Q21" i="99"/>
  <c r="S21" i="99" s="1"/>
  <c r="R46" i="102"/>
  <c r="S46" i="102" s="1"/>
  <c r="S14" i="105"/>
  <c r="E52" i="84"/>
  <c r="AG28" i="80"/>
  <c r="S44" i="84"/>
  <c r="T44" i="84" s="1"/>
  <c r="V44" i="84" s="1"/>
  <c r="W44" i="84" s="1"/>
  <c r="Q26" i="84"/>
  <c r="E67" i="102"/>
  <c r="F28" i="99"/>
  <c r="P17" i="107"/>
  <c r="R17" i="107" s="1"/>
  <c r="M15" i="110"/>
  <c r="O15" i="110" s="1"/>
  <c r="P15" i="110" s="1"/>
  <c r="P10" i="101"/>
  <c r="R10" i="101" s="1"/>
  <c r="M19" i="108"/>
  <c r="M22" i="103"/>
  <c r="O22" i="103" s="1"/>
  <c r="P22" i="103" s="1"/>
  <c r="R22" i="103" s="1"/>
  <c r="R49" i="84"/>
  <c r="Q49" i="84"/>
  <c r="R49" i="108"/>
  <c r="Q49" i="108"/>
  <c r="Q13" i="85"/>
  <c r="R13" i="85"/>
  <c r="O13" i="104"/>
  <c r="P13" i="104" s="1"/>
  <c r="R14" i="108"/>
  <c r="Q14" i="108"/>
  <c r="W17" i="110"/>
  <c r="AI17" i="110"/>
  <c r="R22" i="80"/>
  <c r="Q22" i="80"/>
  <c r="M11" i="109"/>
  <c r="M11" i="84"/>
  <c r="O11" i="84" s="1"/>
  <c r="O66" i="84" s="1"/>
  <c r="M12" i="107"/>
  <c r="O12" i="107" s="1"/>
  <c r="P12" i="107" s="1"/>
  <c r="S24" i="105"/>
  <c r="T24" i="105" s="1"/>
  <c r="V24" i="105" s="1"/>
  <c r="S16" i="105"/>
  <c r="T16" i="105" s="1"/>
  <c r="V16" i="105" s="1"/>
  <c r="AG52" i="84"/>
  <c r="M16" i="81"/>
  <c r="O16" i="81" s="1"/>
  <c r="P16" i="81" s="1"/>
  <c r="S19" i="80"/>
  <c r="P13" i="100"/>
  <c r="Q13" i="100" s="1"/>
  <c r="M16" i="106"/>
  <c r="O16" i="106" s="1"/>
  <c r="P16" i="106" s="1"/>
  <c r="M18" i="102"/>
  <c r="O18" i="102" s="1"/>
  <c r="F52" i="108"/>
  <c r="P10" i="103"/>
  <c r="R10" i="103" s="1"/>
  <c r="M10" i="81"/>
  <c r="O10" i="81" s="1"/>
  <c r="P10" i="81" s="1"/>
  <c r="S17" i="101"/>
  <c r="T17" i="101" s="1"/>
  <c r="V17" i="101" s="1"/>
  <c r="M22" i="110"/>
  <c r="O22" i="110" s="1"/>
  <c r="P22" i="110" s="1"/>
  <c r="R10" i="102"/>
  <c r="Q10" i="102"/>
  <c r="K28" i="104"/>
  <c r="L28" i="86"/>
  <c r="T10" i="80"/>
  <c r="V10" i="80" s="1"/>
  <c r="AM10" i="80" s="1"/>
  <c r="P30" i="84"/>
  <c r="Q30" i="84" s="1"/>
  <c r="O26" i="105"/>
  <c r="P26" i="105" s="1"/>
  <c r="O26" i="104"/>
  <c r="P26" i="104" s="1"/>
  <c r="O22" i="105"/>
  <c r="P22" i="105" s="1"/>
  <c r="M19" i="104"/>
  <c r="S40" i="102"/>
  <c r="S36" i="108"/>
  <c r="T36" i="108" s="1"/>
  <c r="V36" i="108" s="1"/>
  <c r="S29" i="108"/>
  <c r="S34" i="108"/>
  <c r="S10" i="105"/>
  <c r="T10" i="105" s="1"/>
  <c r="S15" i="109"/>
  <c r="T15" i="109" s="1"/>
  <c r="V15" i="109" s="1"/>
  <c r="AI15" i="109" s="1"/>
  <c r="S41" i="84"/>
  <c r="E10" i="174"/>
  <c r="M16" i="109"/>
  <c r="O16" i="109" s="1"/>
  <c r="P16" i="109" s="1"/>
  <c r="Q16" i="109" s="1"/>
  <c r="S21" i="110"/>
  <c r="S23" i="80"/>
  <c r="T23" i="80" s="1"/>
  <c r="V23" i="80" s="1"/>
  <c r="M24" i="102"/>
  <c r="O24" i="102" s="1"/>
  <c r="P24" i="102" s="1"/>
  <c r="R24" i="102" s="1"/>
  <c r="M25" i="99"/>
  <c r="O25" i="99" s="1"/>
  <c r="P25" i="99" s="1"/>
  <c r="M12" i="101"/>
  <c r="O12" i="101" s="1"/>
  <c r="P12" i="101" s="1"/>
  <c r="Q12" i="101" s="1"/>
  <c r="Q12" i="109"/>
  <c r="R12" i="109"/>
  <c r="R46" i="108"/>
  <c r="Q46" i="108"/>
  <c r="R10" i="104"/>
  <c r="Q10" i="104"/>
  <c r="S10" i="104" s="1"/>
  <c r="T10" i="104" s="1"/>
  <c r="V10" i="104" s="1"/>
  <c r="Q20" i="101"/>
  <c r="R20" i="101"/>
  <c r="R13" i="99"/>
  <c r="Q13" i="99"/>
  <c r="S13" i="99" s="1"/>
  <c r="R22" i="85"/>
  <c r="Q22" i="85"/>
  <c r="O20" i="104"/>
  <c r="P20" i="104" s="1"/>
  <c r="R39" i="102"/>
  <c r="Q39" i="102"/>
  <c r="Q15" i="81"/>
  <c r="R15" i="81"/>
  <c r="W19" i="99"/>
  <c r="O15" i="105"/>
  <c r="P15" i="105" s="1"/>
  <c r="R26" i="102"/>
  <c r="Q26" i="102"/>
  <c r="AI18" i="110"/>
  <c r="AK18" i="110"/>
  <c r="AL18" i="110" s="1"/>
  <c r="W18" i="110"/>
  <c r="Q14" i="80"/>
  <c r="R14" i="80"/>
  <c r="S14" i="80" s="1"/>
  <c r="AH25" i="85"/>
  <c r="K14" i="42" s="1"/>
  <c r="N14" i="42" s="1"/>
  <c r="R49" i="102"/>
  <c r="Q49" i="102"/>
  <c r="R22" i="108"/>
  <c r="Q22" i="108"/>
  <c r="O37" i="84"/>
  <c r="P37" i="84" s="1"/>
  <c r="AH10" i="106"/>
  <c r="AH21" i="106" s="1"/>
  <c r="M23" i="108"/>
  <c r="O23" i="108" s="1"/>
  <c r="P23" i="108" s="1"/>
  <c r="AH10" i="100"/>
  <c r="AH21" i="100" s="1"/>
  <c r="S14" i="109"/>
  <c r="T14" i="109" s="1"/>
  <c r="V14" i="109" s="1"/>
  <c r="W14" i="109" s="1"/>
  <c r="L9" i="109"/>
  <c r="K9" i="109"/>
  <c r="K25" i="109" s="1"/>
  <c r="O9" i="101"/>
  <c r="P9" i="101" s="1"/>
  <c r="R22" i="101"/>
  <c r="Q22" i="101"/>
  <c r="O23" i="103"/>
  <c r="P23" i="103" s="1"/>
  <c r="O15" i="86"/>
  <c r="P15" i="86" s="1"/>
  <c r="O15" i="102"/>
  <c r="P15" i="102" s="1"/>
  <c r="R34" i="102"/>
  <c r="Q34" i="102"/>
  <c r="O19" i="106"/>
  <c r="P19" i="106" s="1"/>
  <c r="Q48" i="102"/>
  <c r="R48" i="102"/>
  <c r="O9" i="100"/>
  <c r="P9" i="100" s="1"/>
  <c r="R11" i="99"/>
  <c r="Q11" i="99"/>
  <c r="O27" i="102"/>
  <c r="P27" i="102" s="1"/>
  <c r="L13" i="102"/>
  <c r="M13" i="102" s="1"/>
  <c r="F65" i="102"/>
  <c r="F67" i="102" s="1"/>
  <c r="O17" i="86"/>
  <c r="P17" i="86" s="1"/>
  <c r="O17" i="81"/>
  <c r="P17" i="81" s="1"/>
  <c r="F52" i="102"/>
  <c r="AG25" i="85"/>
  <c r="AG28" i="99"/>
  <c r="K28" i="110"/>
  <c r="L28" i="105"/>
  <c r="M32" i="102"/>
  <c r="O32" i="102" s="1"/>
  <c r="P32" i="102" s="1"/>
  <c r="P17" i="108"/>
  <c r="Q17" i="108" s="1"/>
  <c r="M15" i="104"/>
  <c r="O15" i="104" s="1"/>
  <c r="P15" i="104" s="1"/>
  <c r="Q10" i="108"/>
  <c r="S10" i="108" s="1"/>
  <c r="S24" i="110"/>
  <c r="R13" i="101"/>
  <c r="B16" i="42"/>
  <c r="S41" i="102"/>
  <c r="S25" i="110"/>
  <c r="T25" i="110" s="1"/>
  <c r="V25" i="110" s="1"/>
  <c r="W25" i="110" s="1"/>
  <c r="S20" i="109"/>
  <c r="T20" i="109" s="1"/>
  <c r="V20" i="109" s="1"/>
  <c r="S21" i="108"/>
  <c r="R23" i="102"/>
  <c r="S23" i="102" s="1"/>
  <c r="AK38" i="108"/>
  <c r="AL38" i="108" s="1"/>
  <c r="S24" i="109"/>
  <c r="T24" i="109" s="1"/>
  <c r="V24" i="109" s="1"/>
  <c r="T38" i="84"/>
  <c r="V38" i="84" s="1"/>
  <c r="AK38" i="84" s="1"/>
  <c r="AL38" i="84" s="1"/>
  <c r="E67" i="84"/>
  <c r="W17" i="101"/>
  <c r="L28" i="80"/>
  <c r="S34" i="84"/>
  <c r="T34" i="84" s="1"/>
  <c r="V34" i="84" s="1"/>
  <c r="R23" i="105"/>
  <c r="Q23" i="105"/>
  <c r="M18" i="103"/>
  <c r="K9" i="103"/>
  <c r="L9" i="103"/>
  <c r="L25" i="103" s="1"/>
  <c r="R20" i="105"/>
  <c r="R16" i="102"/>
  <c r="Q16" i="102"/>
  <c r="S33" i="108"/>
  <c r="T33" i="108" s="1"/>
  <c r="V33" i="108" s="1"/>
  <c r="O26" i="86"/>
  <c r="P26" i="86" s="1"/>
  <c r="L18" i="108"/>
  <c r="M18" i="108" s="1"/>
  <c r="F66" i="108"/>
  <c r="F67" i="108" s="1"/>
  <c r="M25" i="105"/>
  <c r="O36" i="102"/>
  <c r="P36" i="102" s="1"/>
  <c r="F64" i="84"/>
  <c r="F67" i="84" s="1"/>
  <c r="L10" i="84"/>
  <c r="L64" i="84" s="1"/>
  <c r="K10" i="84"/>
  <c r="K28" i="80"/>
  <c r="M9" i="102"/>
  <c r="L64" i="102"/>
  <c r="S9" i="104"/>
  <c r="T9" i="104" s="1"/>
  <c r="M25" i="80"/>
  <c r="AH28" i="99"/>
  <c r="T40" i="102"/>
  <c r="V40" i="102" s="1"/>
  <c r="W40" i="102" s="1"/>
  <c r="T19" i="80"/>
  <c r="V19" i="80" s="1"/>
  <c r="AJ19" i="80" s="1"/>
  <c r="O9" i="110"/>
  <c r="P9" i="110" s="1"/>
  <c r="O48" i="108"/>
  <c r="P48" i="108" s="1"/>
  <c r="R17" i="99"/>
  <c r="Q17" i="99"/>
  <c r="R11" i="105"/>
  <c r="Q11" i="105"/>
  <c r="O31" i="102"/>
  <c r="P31" i="102" s="1"/>
  <c r="R20" i="99"/>
  <c r="Q20" i="99"/>
  <c r="Q9" i="99"/>
  <c r="R9" i="99"/>
  <c r="O10" i="109"/>
  <c r="P10" i="109" s="1"/>
  <c r="E67" i="108"/>
  <c r="L12" i="108"/>
  <c r="L64" i="108" s="1"/>
  <c r="M12" i="108"/>
  <c r="O12" i="108" s="1"/>
  <c r="P12" i="108" s="1"/>
  <c r="Q24" i="99"/>
  <c r="R24" i="99"/>
  <c r="R26" i="108"/>
  <c r="Q26" i="108"/>
  <c r="S26" i="108" s="1"/>
  <c r="T26" i="108" s="1"/>
  <c r="V26" i="108" s="1"/>
  <c r="O29" i="102"/>
  <c r="P29" i="102" s="1"/>
  <c r="O45" i="108"/>
  <c r="P45" i="108" s="1"/>
  <c r="Q19" i="110"/>
  <c r="R19" i="110"/>
  <c r="B13" i="111"/>
  <c r="B13" i="42"/>
  <c r="AG28" i="105"/>
  <c r="AG23" i="101"/>
  <c r="T21" i="99"/>
  <c r="V21" i="99" s="1"/>
  <c r="AK21" i="99" s="1"/>
  <c r="O11" i="102"/>
  <c r="P11" i="102" s="1"/>
  <c r="Q11" i="102" s="1"/>
  <c r="T24" i="103"/>
  <c r="V24" i="103" s="1"/>
  <c r="AK24" i="103" s="1"/>
  <c r="AK17" i="110"/>
  <c r="AL17" i="110" s="1"/>
  <c r="L21" i="81"/>
  <c r="M12" i="81"/>
  <c r="Q24" i="85"/>
  <c r="M10" i="86"/>
  <c r="K21" i="81"/>
  <c r="S18" i="86"/>
  <c r="T18" i="86" s="1"/>
  <c r="V18" i="86" s="1"/>
  <c r="S27" i="84"/>
  <c r="T27" i="84" s="1"/>
  <c r="V27" i="84" s="1"/>
  <c r="O18" i="107"/>
  <c r="P18" i="107" s="1"/>
  <c r="R31" i="108"/>
  <c r="Q16" i="104"/>
  <c r="T21" i="110"/>
  <c r="V21" i="110" s="1"/>
  <c r="O32" i="84"/>
  <c r="P32" i="84" s="1"/>
  <c r="Q21" i="104"/>
  <c r="R21" i="104"/>
  <c r="Q51" i="108"/>
  <c r="R51" i="108"/>
  <c r="K20" i="108"/>
  <c r="K65" i="108" s="1"/>
  <c r="L20" i="108"/>
  <c r="L65" i="108" s="1"/>
  <c r="M15" i="99"/>
  <c r="M28" i="99" s="1"/>
  <c r="O23" i="99"/>
  <c r="P23" i="99" s="1"/>
  <c r="L28" i="99"/>
  <c r="S11" i="104"/>
  <c r="T11" i="104" s="1"/>
  <c r="V11" i="104" s="1"/>
  <c r="L15" i="101"/>
  <c r="L23" i="101" s="1"/>
  <c r="O11" i="101"/>
  <c r="P11" i="101" s="1"/>
  <c r="O13" i="108"/>
  <c r="P13" i="108" s="1"/>
  <c r="L51" i="84"/>
  <c r="M51" i="84" s="1"/>
  <c r="F28" i="80"/>
  <c r="M13" i="80"/>
  <c r="O13" i="80" s="1"/>
  <c r="P13" i="80" s="1"/>
  <c r="R13" i="80" s="1"/>
  <c r="R41" i="108"/>
  <c r="Q41" i="108"/>
  <c r="O44" i="102"/>
  <c r="P44" i="102" s="1"/>
  <c r="O13" i="110"/>
  <c r="P13" i="110" s="1"/>
  <c r="O11" i="110"/>
  <c r="P11" i="110" s="1"/>
  <c r="O47" i="108"/>
  <c r="P47" i="108" s="1"/>
  <c r="Q14" i="110"/>
  <c r="R14" i="110"/>
  <c r="Q25" i="99"/>
  <c r="R25" i="99"/>
  <c r="Q21" i="103"/>
  <c r="R21" i="103"/>
  <c r="O18" i="85"/>
  <c r="P18" i="85" s="1"/>
  <c r="O15" i="85"/>
  <c r="P15" i="85" s="1"/>
  <c r="O23" i="85"/>
  <c r="P23" i="85" s="1"/>
  <c r="Q39" i="84"/>
  <c r="R39" i="84"/>
  <c r="R23" i="84"/>
  <c r="Q23" i="84"/>
  <c r="R21" i="80"/>
  <c r="Q21" i="80"/>
  <c r="W19" i="80"/>
  <c r="O14" i="107"/>
  <c r="P14" i="107" s="1"/>
  <c r="O35" i="102"/>
  <c r="P35" i="102" s="1"/>
  <c r="O17" i="109"/>
  <c r="P17" i="109" s="1"/>
  <c r="O24" i="108"/>
  <c r="P24" i="108" s="1"/>
  <c r="R14" i="101"/>
  <c r="Q14" i="101"/>
  <c r="R14" i="103"/>
  <c r="O19" i="85"/>
  <c r="P19" i="85" s="1"/>
  <c r="O11" i="85"/>
  <c r="P11" i="85" s="1"/>
  <c r="R20" i="85"/>
  <c r="Q20" i="85"/>
  <c r="R26" i="80"/>
  <c r="Q26" i="80"/>
  <c r="Q46" i="84"/>
  <c r="R46" i="84"/>
  <c r="R21" i="85"/>
  <c r="Q21" i="85"/>
  <c r="Q45" i="84"/>
  <c r="R45" i="84"/>
  <c r="Q12" i="80"/>
  <c r="R12" i="80"/>
  <c r="Q24" i="84"/>
  <c r="Q21" i="84"/>
  <c r="R21" i="84"/>
  <c r="Q26" i="99"/>
  <c r="R26" i="99"/>
  <c r="O19" i="104"/>
  <c r="P19" i="104" s="1"/>
  <c r="O33" i="102"/>
  <c r="P33" i="102" s="1"/>
  <c r="R50" i="102"/>
  <c r="Q50" i="102"/>
  <c r="Q23" i="104"/>
  <c r="R23" i="104"/>
  <c r="O35" i="84"/>
  <c r="P35" i="84" s="1"/>
  <c r="R18" i="109"/>
  <c r="Q18" i="109"/>
  <c r="R17" i="103"/>
  <c r="Q17" i="103"/>
  <c r="Q25" i="104"/>
  <c r="R25" i="104"/>
  <c r="R22" i="104"/>
  <c r="Q22" i="104"/>
  <c r="AI14" i="109"/>
  <c r="Q12" i="84"/>
  <c r="R12" i="84"/>
  <c r="R47" i="84"/>
  <c r="Q47" i="84"/>
  <c r="O17" i="84"/>
  <c r="P17" i="84" s="1"/>
  <c r="R11" i="86"/>
  <c r="Q11" i="86"/>
  <c r="Q22" i="84"/>
  <c r="R43" i="84"/>
  <c r="Q43" i="84"/>
  <c r="AH28" i="104"/>
  <c r="Q22" i="107"/>
  <c r="R22" i="107"/>
  <c r="O17" i="105"/>
  <c r="P17" i="105" s="1"/>
  <c r="R16" i="100"/>
  <c r="Q16" i="100"/>
  <c r="O27" i="108"/>
  <c r="P27" i="108" s="1"/>
  <c r="R10" i="99"/>
  <c r="Q10" i="99"/>
  <c r="R12" i="99"/>
  <c r="Q12" i="99"/>
  <c r="Q20" i="102"/>
  <c r="R20" i="102"/>
  <c r="R15" i="103"/>
  <c r="Q15" i="103"/>
  <c r="Q47" i="102"/>
  <c r="R47" i="102"/>
  <c r="R11" i="80"/>
  <c r="Q11" i="80"/>
  <c r="O36" i="84"/>
  <c r="P36" i="84" s="1"/>
  <c r="Q28" i="84"/>
  <c r="Q50" i="84"/>
  <c r="R50" i="84"/>
  <c r="T29" i="108"/>
  <c r="V29" i="108" s="1"/>
  <c r="O12" i="103"/>
  <c r="P12" i="103" s="1"/>
  <c r="O18" i="108"/>
  <c r="P18" i="108" s="1"/>
  <c r="O32" i="108"/>
  <c r="P32" i="108" s="1"/>
  <c r="Q40" i="108"/>
  <c r="R40" i="108"/>
  <c r="O18" i="104"/>
  <c r="O23" i="110"/>
  <c r="P23" i="110" s="1"/>
  <c r="O14" i="99"/>
  <c r="K66" i="108"/>
  <c r="M11" i="108"/>
  <c r="K64" i="108"/>
  <c r="K52" i="108"/>
  <c r="S26" i="110"/>
  <c r="T26" i="110" s="1"/>
  <c r="V26" i="110" s="1"/>
  <c r="S14" i="100"/>
  <c r="T14" i="100" s="1"/>
  <c r="V14" i="100" s="1"/>
  <c r="Q27" i="80"/>
  <c r="R27" i="80"/>
  <c r="O31" i="84"/>
  <c r="P31" i="84" s="1"/>
  <c r="O16" i="86"/>
  <c r="P16" i="86" s="1"/>
  <c r="O9" i="81"/>
  <c r="P9" i="81" s="1"/>
  <c r="O12" i="85"/>
  <c r="P12" i="85" s="1"/>
  <c r="O24" i="80"/>
  <c r="P24" i="80" s="1"/>
  <c r="M11" i="106"/>
  <c r="AG23" i="107"/>
  <c r="T17" i="102"/>
  <c r="V17" i="102" s="1"/>
  <c r="T41" i="102"/>
  <c r="V41" i="102" s="1"/>
  <c r="T19" i="100"/>
  <c r="V19" i="100" s="1"/>
  <c r="M10" i="100"/>
  <c r="T34" i="108"/>
  <c r="V34" i="108" s="1"/>
  <c r="T21" i="108"/>
  <c r="V21" i="108" s="1"/>
  <c r="M19" i="86"/>
  <c r="M28" i="86" s="1"/>
  <c r="O10" i="107"/>
  <c r="P10" i="107" s="1"/>
  <c r="O30" i="108"/>
  <c r="P30" i="108" s="1"/>
  <c r="K28" i="105"/>
  <c r="M13" i="105"/>
  <c r="M28" i="105" s="1"/>
  <c r="K23" i="107"/>
  <c r="M19" i="107"/>
  <c r="L66" i="108"/>
  <c r="O9" i="108"/>
  <c r="P9" i="108" s="1"/>
  <c r="Q23" i="109"/>
  <c r="R23" i="109"/>
  <c r="Q20" i="100"/>
  <c r="R20" i="100"/>
  <c r="Q20" i="107"/>
  <c r="R20" i="107"/>
  <c r="R11" i="103"/>
  <c r="Q11" i="103"/>
  <c r="O13" i="84"/>
  <c r="P13" i="84" s="1"/>
  <c r="O18" i="80"/>
  <c r="P18" i="80" s="1"/>
  <c r="O19" i="81"/>
  <c r="P19" i="81" s="1"/>
  <c r="Q13" i="86"/>
  <c r="R13" i="86"/>
  <c r="Q48" i="84"/>
  <c r="R48" i="84"/>
  <c r="Q19" i="84"/>
  <c r="R19" i="84"/>
  <c r="O9" i="86"/>
  <c r="P9" i="86" s="1"/>
  <c r="Q22" i="86"/>
  <c r="R22" i="86"/>
  <c r="AG25" i="109"/>
  <c r="AG52" i="108"/>
  <c r="AG28" i="104"/>
  <c r="M19" i="103"/>
  <c r="AH12" i="105"/>
  <c r="AH28" i="105" s="1"/>
  <c r="M20" i="110"/>
  <c r="L28" i="110"/>
  <c r="L28" i="104"/>
  <c r="AH27" i="110"/>
  <c r="AH28" i="110" s="1"/>
  <c r="AH12" i="108"/>
  <c r="AH52" i="108" s="1"/>
  <c r="AH23" i="107"/>
  <c r="T24" i="110"/>
  <c r="V24" i="110" s="1"/>
  <c r="W24" i="110" s="1"/>
  <c r="P12" i="102"/>
  <c r="S13" i="107"/>
  <c r="T13" i="107" s="1"/>
  <c r="V13" i="107" s="1"/>
  <c r="T14" i="105"/>
  <c r="V14" i="105" s="1"/>
  <c r="T20" i="103"/>
  <c r="V20" i="103" s="1"/>
  <c r="M14" i="85"/>
  <c r="S23" i="86"/>
  <c r="T23" i="86" s="1"/>
  <c r="V23" i="86" s="1"/>
  <c r="AH10" i="80"/>
  <c r="AH28" i="80" s="1"/>
  <c r="T41" i="84"/>
  <c r="V41" i="84" s="1"/>
  <c r="K28" i="86"/>
  <c r="S26" i="84"/>
  <c r="T26" i="84" s="1"/>
  <c r="V26" i="84" s="1"/>
  <c r="L65" i="84"/>
  <c r="O28" i="108"/>
  <c r="P28" i="108" s="1"/>
  <c r="O20" i="106"/>
  <c r="P20" i="106" s="1"/>
  <c r="J52" i="108"/>
  <c r="J65" i="108"/>
  <c r="J67" i="108" s="1"/>
  <c r="O13" i="106"/>
  <c r="P13" i="106" s="1"/>
  <c r="O21" i="109"/>
  <c r="P21" i="109" s="1"/>
  <c r="O19" i="105"/>
  <c r="P19" i="105" s="1"/>
  <c r="O12" i="105"/>
  <c r="AH11" i="102"/>
  <c r="AH52" i="102" s="1"/>
  <c r="AG52" i="102"/>
  <c r="O11" i="109"/>
  <c r="P11" i="109" s="1"/>
  <c r="O15" i="108"/>
  <c r="P15" i="108" s="1"/>
  <c r="O21" i="107"/>
  <c r="P21" i="107" s="1"/>
  <c r="M25" i="102"/>
  <c r="J65" i="102"/>
  <c r="J67" i="102" s="1"/>
  <c r="J52" i="102"/>
  <c r="Q16" i="110"/>
  <c r="R16" i="110"/>
  <c r="Q18" i="100"/>
  <c r="R18" i="100"/>
  <c r="R13" i="103"/>
  <c r="Q13" i="103"/>
  <c r="R28" i="102"/>
  <c r="Q28" i="102"/>
  <c r="Q14" i="104"/>
  <c r="R14" i="104"/>
  <c r="O17" i="100"/>
  <c r="P17" i="100" s="1"/>
  <c r="Q43" i="102"/>
  <c r="R43" i="102"/>
  <c r="R16" i="103"/>
  <c r="Q16" i="103"/>
  <c r="R18" i="99"/>
  <c r="Q18" i="99"/>
  <c r="R16" i="109"/>
  <c r="Q10" i="103"/>
  <c r="Q25" i="86"/>
  <c r="R25" i="86"/>
  <c r="O20" i="81"/>
  <c r="P20" i="81" s="1"/>
  <c r="O18" i="81"/>
  <c r="P18" i="81" s="1"/>
  <c r="K9" i="85"/>
  <c r="K25" i="85" s="1"/>
  <c r="F25" i="85"/>
  <c r="L9" i="85"/>
  <c r="L25" i="85" s="1"/>
  <c r="O14" i="81"/>
  <c r="P14" i="81" s="1"/>
  <c r="O20" i="84"/>
  <c r="P20" i="84" s="1"/>
  <c r="R17" i="80"/>
  <c r="Q17" i="80"/>
  <c r="Q17" i="85"/>
  <c r="R17" i="85"/>
  <c r="M66" i="84"/>
  <c r="AI44" i="84"/>
  <c r="Q20" i="86"/>
  <c r="R20" i="86"/>
  <c r="R40" i="84"/>
  <c r="Q40" i="84"/>
  <c r="R27" i="86"/>
  <c r="Q27" i="86"/>
  <c r="R25" i="84"/>
  <c r="Q25" i="84"/>
  <c r="T16" i="101"/>
  <c r="V16" i="101" s="1"/>
  <c r="AH21" i="81"/>
  <c r="AG21" i="81"/>
  <c r="F23" i="107"/>
  <c r="L11" i="107"/>
  <c r="L23" i="107" s="1"/>
  <c r="O16" i="108"/>
  <c r="P16" i="108" s="1"/>
  <c r="Q39" i="108"/>
  <c r="R39" i="108"/>
  <c r="O15" i="107"/>
  <c r="P15" i="107" s="1"/>
  <c r="O17" i="104"/>
  <c r="P17" i="104" s="1"/>
  <c r="Q38" i="102"/>
  <c r="R38" i="102"/>
  <c r="O19" i="102"/>
  <c r="P19" i="102" s="1"/>
  <c r="O19" i="109"/>
  <c r="P19" i="109" s="1"/>
  <c r="O14" i="106"/>
  <c r="P14" i="106" s="1"/>
  <c r="O21" i="105"/>
  <c r="P21" i="105" s="1"/>
  <c r="O11" i="100"/>
  <c r="P11" i="100" s="1"/>
  <c r="K65" i="102"/>
  <c r="K67" i="102" s="1"/>
  <c r="K52" i="102"/>
  <c r="M22" i="102"/>
  <c r="O19" i="101"/>
  <c r="R27" i="99"/>
  <c r="Q27" i="99"/>
  <c r="O21" i="101"/>
  <c r="P21" i="101" s="1"/>
  <c r="R15" i="100"/>
  <c r="Q15" i="100"/>
  <c r="Q44" i="108"/>
  <c r="R44" i="108"/>
  <c r="R50" i="108"/>
  <c r="Q50" i="108"/>
  <c r="R22" i="99"/>
  <c r="Q22" i="99"/>
  <c r="Q14" i="102"/>
  <c r="R14" i="102"/>
  <c r="W38" i="84"/>
  <c r="V9" i="104"/>
  <c r="O21" i="86"/>
  <c r="P21" i="86" s="1"/>
  <c r="O12" i="81"/>
  <c r="P12" i="81" s="1"/>
  <c r="O11" i="81"/>
  <c r="P11" i="81" s="1"/>
  <c r="O14" i="86"/>
  <c r="P14" i="86" s="1"/>
  <c r="O24" i="86"/>
  <c r="P24" i="86" s="1"/>
  <c r="O10" i="85"/>
  <c r="P10" i="85" s="1"/>
  <c r="R9" i="80"/>
  <c r="Q9" i="80"/>
  <c r="K15" i="42"/>
  <c r="N15" i="42" s="1"/>
  <c r="R9" i="84"/>
  <c r="Q9" i="84"/>
  <c r="Q18" i="84"/>
  <c r="R18" i="84"/>
  <c r="Q16" i="80"/>
  <c r="R16" i="80"/>
  <c r="R30" i="84"/>
  <c r="AH10" i="103"/>
  <c r="AH25" i="103" s="1"/>
  <c r="AH12" i="101"/>
  <c r="AH23" i="101" s="1"/>
  <c r="AH20" i="109"/>
  <c r="AH25" i="109" s="1"/>
  <c r="S9" i="107"/>
  <c r="T9" i="107" s="1"/>
  <c r="S43" i="108"/>
  <c r="T43" i="108" s="1"/>
  <c r="V43" i="108" s="1"/>
  <c r="S17" i="106"/>
  <c r="T17" i="106" s="1"/>
  <c r="V17" i="106" s="1"/>
  <c r="S37" i="108"/>
  <c r="T37" i="108" s="1"/>
  <c r="V37" i="108" s="1"/>
  <c r="AH14" i="84"/>
  <c r="AH52" i="84" s="1"/>
  <c r="S24" i="85"/>
  <c r="T24" i="85" s="1"/>
  <c r="V24" i="85" s="1"/>
  <c r="E23" i="174" l="1"/>
  <c r="D23" i="174"/>
  <c r="Q10" i="101"/>
  <c r="T33" i="84"/>
  <c r="V33" i="84" s="1"/>
  <c r="R21" i="102"/>
  <c r="S49" i="84"/>
  <c r="T49" i="84" s="1"/>
  <c r="V49" i="84" s="1"/>
  <c r="R12" i="101"/>
  <c r="S48" i="102"/>
  <c r="T48" i="102" s="1"/>
  <c r="V48" i="102" s="1"/>
  <c r="M66" i="102"/>
  <c r="AK18" i="105"/>
  <c r="AN18" i="105" s="1"/>
  <c r="W18" i="105"/>
  <c r="AJ18" i="105"/>
  <c r="Q15" i="84"/>
  <c r="Q24" i="102"/>
  <c r="Q15" i="80"/>
  <c r="R16" i="85"/>
  <c r="AM19" i="99"/>
  <c r="AK19" i="99"/>
  <c r="AI38" i="84"/>
  <c r="Q14" i="84"/>
  <c r="M28" i="104"/>
  <c r="AI19" i="99"/>
  <c r="Q29" i="84"/>
  <c r="S29" i="84" s="1"/>
  <c r="R13" i="100"/>
  <c r="Q16" i="84"/>
  <c r="S16" i="84" s="1"/>
  <c r="S28" i="102"/>
  <c r="T28" i="102" s="1"/>
  <c r="V28" i="102" s="1"/>
  <c r="AI28" i="102" s="1"/>
  <c r="M28" i="110"/>
  <c r="S20" i="107"/>
  <c r="T20" i="107" s="1"/>
  <c r="V20" i="107" s="1"/>
  <c r="S37" i="102"/>
  <c r="Q51" i="102"/>
  <c r="R51" i="102"/>
  <c r="R13" i="104"/>
  <c r="Q13" i="104"/>
  <c r="S13" i="104" s="1"/>
  <c r="T13" i="104" s="1"/>
  <c r="V13" i="104" s="1"/>
  <c r="AI12" i="86"/>
  <c r="AK12" i="86"/>
  <c r="AL12" i="86" s="1"/>
  <c r="W12" i="86"/>
  <c r="M11" i="107"/>
  <c r="O11" i="107" s="1"/>
  <c r="AK44" i="84"/>
  <c r="AL44" i="84" s="1"/>
  <c r="S14" i="84"/>
  <c r="S17" i="80"/>
  <c r="T17" i="80" s="1"/>
  <c r="V17" i="80" s="1"/>
  <c r="S13" i="103"/>
  <c r="T13" i="103" s="1"/>
  <c r="V13" i="103" s="1"/>
  <c r="T46" i="102"/>
  <c r="V46" i="102" s="1"/>
  <c r="AK46" i="102" s="1"/>
  <c r="AL46" i="102" s="1"/>
  <c r="S20" i="100"/>
  <c r="Q22" i="109"/>
  <c r="AI10" i="80"/>
  <c r="AM21" i="99"/>
  <c r="S9" i="80"/>
  <c r="S13" i="86"/>
  <c r="W21" i="99"/>
  <c r="S15" i="103"/>
  <c r="T15" i="103" s="1"/>
  <c r="V15" i="103" s="1"/>
  <c r="S26" i="99"/>
  <c r="AK19" i="80"/>
  <c r="S49" i="108"/>
  <c r="T49" i="108" s="1"/>
  <c r="V49" i="108" s="1"/>
  <c r="W16" i="107"/>
  <c r="AK16" i="107"/>
  <c r="AL16" i="107" s="1"/>
  <c r="AI16" i="107"/>
  <c r="AK16" i="99"/>
  <c r="AJ16" i="99"/>
  <c r="W16" i="99"/>
  <c r="M28" i="80"/>
  <c r="Q13" i="80"/>
  <c r="S16" i="80"/>
  <c r="S14" i="102"/>
  <c r="S50" i="108"/>
  <c r="T50" i="108" s="1"/>
  <c r="V50" i="108" s="1"/>
  <c r="AJ10" i="80"/>
  <c r="S11" i="103"/>
  <c r="T11" i="103" s="1"/>
  <c r="V11" i="103" s="1"/>
  <c r="S11" i="80"/>
  <c r="T11" i="80" s="1"/>
  <c r="V11" i="80" s="1"/>
  <c r="S12" i="99"/>
  <c r="T12" i="99" s="1"/>
  <c r="V12" i="99" s="1"/>
  <c r="S14" i="110"/>
  <c r="R18" i="106"/>
  <c r="M21" i="81"/>
  <c r="S19" i="110"/>
  <c r="T19" i="110" s="1"/>
  <c r="V19" i="110" s="1"/>
  <c r="W19" i="110" s="1"/>
  <c r="T37" i="102"/>
  <c r="V37" i="102" s="1"/>
  <c r="S34" i="102"/>
  <c r="T34" i="102" s="1"/>
  <c r="V34" i="102" s="1"/>
  <c r="S21" i="102"/>
  <c r="T21" i="102" s="1"/>
  <c r="V21" i="102" s="1"/>
  <c r="AK10" i="80"/>
  <c r="M65" i="84"/>
  <c r="S30" i="102"/>
  <c r="T30" i="102" s="1"/>
  <c r="V30" i="102" s="1"/>
  <c r="AK30" i="102" s="1"/>
  <c r="AL30" i="102" s="1"/>
  <c r="AM30" i="102" s="1"/>
  <c r="S23" i="109"/>
  <c r="T23" i="109" s="1"/>
  <c r="V23" i="109" s="1"/>
  <c r="R11" i="102"/>
  <c r="S11" i="102" s="1"/>
  <c r="T11" i="102" s="1"/>
  <c r="S16" i="100"/>
  <c r="T16" i="100" s="1"/>
  <c r="V16" i="100" s="1"/>
  <c r="S16" i="102"/>
  <c r="T16" i="102" s="1"/>
  <c r="V16" i="102" s="1"/>
  <c r="AK16" i="102" s="1"/>
  <c r="Q17" i="107"/>
  <c r="S17" i="107" s="1"/>
  <c r="T17" i="107" s="1"/>
  <c r="V17" i="107" s="1"/>
  <c r="M9" i="109"/>
  <c r="L21" i="106"/>
  <c r="S49" i="102"/>
  <c r="T49" i="102" s="1"/>
  <c r="V49" i="102" s="1"/>
  <c r="W49" i="102" s="1"/>
  <c r="S12" i="110"/>
  <c r="T12" i="110" s="1"/>
  <c r="V12" i="110" s="1"/>
  <c r="AJ23" i="80"/>
  <c r="AM23" i="80"/>
  <c r="AI12" i="106"/>
  <c r="AK12" i="106"/>
  <c r="AL12" i="106" s="1"/>
  <c r="W12" i="106"/>
  <c r="AI9" i="105"/>
  <c r="AM9" i="105"/>
  <c r="AJ9" i="105"/>
  <c r="AK9" i="105"/>
  <c r="AI35" i="108"/>
  <c r="AK35" i="108"/>
  <c r="AL35" i="108" s="1"/>
  <c r="W35" i="108"/>
  <c r="P18" i="102"/>
  <c r="R18" i="102" s="1"/>
  <c r="O66" i="102"/>
  <c r="O9" i="106"/>
  <c r="P9" i="106" s="1"/>
  <c r="S15" i="100"/>
  <c r="T15" i="100" s="1"/>
  <c r="V15" i="100" s="1"/>
  <c r="AI15" i="100" s="1"/>
  <c r="AM16" i="99"/>
  <c r="AN16" i="99" s="1"/>
  <c r="AM18" i="105"/>
  <c r="M21" i="106"/>
  <c r="AI21" i="99"/>
  <c r="Q22" i="103"/>
  <c r="S22" i="103" s="1"/>
  <c r="T22" i="103" s="1"/>
  <c r="V22" i="103" s="1"/>
  <c r="K14" i="111"/>
  <c r="Q14" i="111" s="1"/>
  <c r="W15" i="109"/>
  <c r="S25" i="99"/>
  <c r="T25" i="99" s="1"/>
  <c r="V25" i="99" s="1"/>
  <c r="W25" i="99" s="1"/>
  <c r="S51" i="108"/>
  <c r="T51" i="108" s="1"/>
  <c r="V51" i="108" s="1"/>
  <c r="S22" i="80"/>
  <c r="T22" i="80" s="1"/>
  <c r="V22" i="80" s="1"/>
  <c r="O19" i="108"/>
  <c r="P19" i="108" s="1"/>
  <c r="R27" i="105"/>
  <c r="Q27" i="105"/>
  <c r="S40" i="84"/>
  <c r="T40" i="84" s="1"/>
  <c r="V40" i="84" s="1"/>
  <c r="W40" i="84" s="1"/>
  <c r="Q18" i="101"/>
  <c r="S18" i="101" s="1"/>
  <c r="T18" i="101" s="1"/>
  <c r="V18" i="101" s="1"/>
  <c r="AI16" i="99"/>
  <c r="AI18" i="105"/>
  <c r="AJ21" i="99"/>
  <c r="S40" i="108"/>
  <c r="T40" i="108" s="1"/>
  <c r="V40" i="108" s="1"/>
  <c r="S22" i="109"/>
  <c r="T22" i="109" s="1"/>
  <c r="V22" i="109" s="1"/>
  <c r="W22" i="109" s="1"/>
  <c r="S39" i="84"/>
  <c r="T39" i="84" s="1"/>
  <c r="V39" i="84" s="1"/>
  <c r="AK15" i="109"/>
  <c r="AL15" i="109" s="1"/>
  <c r="S18" i="106"/>
  <c r="T18" i="106" s="1"/>
  <c r="V18" i="106" s="1"/>
  <c r="S9" i="99"/>
  <c r="T9" i="99" s="1"/>
  <c r="V9" i="99" s="1"/>
  <c r="AI9" i="99" s="1"/>
  <c r="R27" i="110"/>
  <c r="S27" i="110" s="1"/>
  <c r="R27" i="104"/>
  <c r="Q27" i="104"/>
  <c r="S12" i="100"/>
  <c r="T12" i="100" s="1"/>
  <c r="V12" i="100" s="1"/>
  <c r="S16" i="103"/>
  <c r="T16" i="103" s="1"/>
  <c r="V16" i="103" s="1"/>
  <c r="L67" i="84"/>
  <c r="W24" i="103"/>
  <c r="L52" i="108"/>
  <c r="T29" i="84"/>
  <c r="V29" i="84" s="1"/>
  <c r="AI29" i="84" s="1"/>
  <c r="L25" i="109"/>
  <c r="R17" i="108"/>
  <c r="S17" i="108" s="1"/>
  <c r="T17" i="108" s="1"/>
  <c r="V17" i="108" s="1"/>
  <c r="S47" i="84"/>
  <c r="T47" i="84" s="1"/>
  <c r="V47" i="84" s="1"/>
  <c r="AI47" i="84" s="1"/>
  <c r="S22" i="104"/>
  <c r="T22" i="104" s="1"/>
  <c r="V22" i="104" s="1"/>
  <c r="W22" i="104" s="1"/>
  <c r="S18" i="109"/>
  <c r="S21" i="85"/>
  <c r="T21" i="85" s="1"/>
  <c r="V21" i="85" s="1"/>
  <c r="W21" i="85" s="1"/>
  <c r="S14" i="103"/>
  <c r="T14" i="103" s="1"/>
  <c r="V14" i="103" s="1"/>
  <c r="AI14" i="103" s="1"/>
  <c r="AM19" i="80"/>
  <c r="AI40" i="102"/>
  <c r="M10" i="84"/>
  <c r="M64" i="84" s="1"/>
  <c r="M67" i="84" s="1"/>
  <c r="S22" i="85"/>
  <c r="R15" i="110"/>
  <c r="Q15" i="110"/>
  <c r="Q26" i="105"/>
  <c r="R26" i="105"/>
  <c r="Q22" i="105"/>
  <c r="R22" i="105"/>
  <c r="S50" i="102"/>
  <c r="S45" i="84"/>
  <c r="T45" i="84" s="1"/>
  <c r="V45" i="84" s="1"/>
  <c r="W45" i="84" s="1"/>
  <c r="AI19" i="80"/>
  <c r="S10" i="101"/>
  <c r="T10" i="101" s="1"/>
  <c r="V10" i="101" s="1"/>
  <c r="AI10" i="101" s="1"/>
  <c r="S24" i="99"/>
  <c r="T24" i="99" s="1"/>
  <c r="V24" i="99" s="1"/>
  <c r="AI24" i="99" s="1"/>
  <c r="S20" i="99"/>
  <c r="T20" i="99" s="1"/>
  <c r="V20" i="99" s="1"/>
  <c r="AM20" i="99" s="1"/>
  <c r="S20" i="105"/>
  <c r="T20" i="105" s="1"/>
  <c r="V20" i="105" s="1"/>
  <c r="AJ20" i="105" s="1"/>
  <c r="P11" i="84"/>
  <c r="Q11" i="84" s="1"/>
  <c r="Q66" i="84" s="1"/>
  <c r="S18" i="100"/>
  <c r="T13" i="99"/>
  <c r="V13" i="99" s="1"/>
  <c r="AK13" i="99" s="1"/>
  <c r="S12" i="109"/>
  <c r="T12" i="109" s="1"/>
  <c r="V12" i="109" s="1"/>
  <c r="AK12" i="109" s="1"/>
  <c r="S14" i="104"/>
  <c r="T14" i="104" s="1"/>
  <c r="V14" i="104" s="1"/>
  <c r="S13" i="100"/>
  <c r="T13" i="100" s="1"/>
  <c r="V13" i="100" s="1"/>
  <c r="S22" i="107"/>
  <c r="T22" i="107" s="1"/>
  <c r="V22" i="107" s="1"/>
  <c r="W22" i="107" s="1"/>
  <c r="S21" i="104"/>
  <c r="T21" i="104" s="1"/>
  <c r="V21" i="104" s="1"/>
  <c r="Q22" i="110"/>
  <c r="R22" i="110"/>
  <c r="S30" i="84"/>
  <c r="T30" i="84" s="1"/>
  <c r="V30" i="84" s="1"/>
  <c r="S22" i="99"/>
  <c r="T22" i="99" s="1"/>
  <c r="V22" i="99" s="1"/>
  <c r="S27" i="99"/>
  <c r="S25" i="84"/>
  <c r="T25" i="84" s="1"/>
  <c r="V25" i="84" s="1"/>
  <c r="S27" i="80"/>
  <c r="S11" i="86"/>
  <c r="T18" i="109"/>
  <c r="V18" i="109" s="1"/>
  <c r="W18" i="109" s="1"/>
  <c r="S12" i="80"/>
  <c r="S26" i="80"/>
  <c r="T26" i="80" s="1"/>
  <c r="V26" i="80" s="1"/>
  <c r="W26" i="80" s="1"/>
  <c r="AK23" i="80"/>
  <c r="S41" i="108"/>
  <c r="S17" i="99"/>
  <c r="T17" i="99" s="1"/>
  <c r="V17" i="99" s="1"/>
  <c r="S22" i="101"/>
  <c r="T22" i="101" s="1"/>
  <c r="V22" i="101" s="1"/>
  <c r="S15" i="81"/>
  <c r="T15" i="81" s="1"/>
  <c r="V15" i="81" s="1"/>
  <c r="W15" i="81" s="1"/>
  <c r="R26" i="104"/>
  <c r="Q26" i="104"/>
  <c r="S10" i="102"/>
  <c r="T10" i="102" s="1"/>
  <c r="V10" i="102" s="1"/>
  <c r="AK17" i="101"/>
  <c r="AL17" i="101" s="1"/>
  <c r="AI17" i="101"/>
  <c r="R12" i="107"/>
  <c r="Q12" i="107"/>
  <c r="S14" i="108"/>
  <c r="T14" i="108" s="1"/>
  <c r="V14" i="108" s="1"/>
  <c r="S13" i="85"/>
  <c r="T13" i="85" s="1"/>
  <c r="V13" i="85" s="1"/>
  <c r="Q13" i="108"/>
  <c r="R13" i="108"/>
  <c r="AI33" i="108"/>
  <c r="AK33" i="108"/>
  <c r="AL33" i="108" s="1"/>
  <c r="W33" i="108"/>
  <c r="AK20" i="105"/>
  <c r="O13" i="102"/>
  <c r="P13" i="102" s="1"/>
  <c r="Q18" i="102"/>
  <c r="Q20" i="104"/>
  <c r="R20" i="104"/>
  <c r="T14" i="110"/>
  <c r="V14" i="110" s="1"/>
  <c r="AK14" i="110" s="1"/>
  <c r="W20" i="109"/>
  <c r="AK20" i="109"/>
  <c r="AN20" i="109" s="1"/>
  <c r="R27" i="102"/>
  <c r="Q27" i="102"/>
  <c r="W27" i="84"/>
  <c r="AK27" i="84"/>
  <c r="AL27" i="84" s="1"/>
  <c r="AI27" i="84"/>
  <c r="Q31" i="102"/>
  <c r="R31" i="102"/>
  <c r="R9" i="110"/>
  <c r="Q9" i="110"/>
  <c r="R36" i="102"/>
  <c r="Q36" i="102"/>
  <c r="Q15" i="86"/>
  <c r="R15" i="86"/>
  <c r="AK10" i="104"/>
  <c r="AI10" i="104"/>
  <c r="O51" i="84"/>
  <c r="P51" i="84" s="1"/>
  <c r="M52" i="84"/>
  <c r="R23" i="103"/>
  <c r="Q23" i="103"/>
  <c r="R37" i="84"/>
  <c r="Q37" i="84"/>
  <c r="Q15" i="105"/>
  <c r="R15" i="105"/>
  <c r="M65" i="102"/>
  <c r="S9" i="84"/>
  <c r="O10" i="86"/>
  <c r="P10" i="86" s="1"/>
  <c r="R10" i="86" s="1"/>
  <c r="S43" i="102"/>
  <c r="T43" i="102" s="1"/>
  <c r="V43" i="102" s="1"/>
  <c r="AK14" i="109"/>
  <c r="AL14" i="109" s="1"/>
  <c r="T12" i="80"/>
  <c r="V12" i="80" s="1"/>
  <c r="AJ12" i="80" s="1"/>
  <c r="AI23" i="80"/>
  <c r="AK40" i="102"/>
  <c r="AL40" i="102" s="1"/>
  <c r="R11" i="101"/>
  <c r="Q11" i="101"/>
  <c r="O15" i="99"/>
  <c r="P15" i="99" s="1"/>
  <c r="Q32" i="84"/>
  <c r="R32" i="84"/>
  <c r="Q29" i="102"/>
  <c r="R29" i="102"/>
  <c r="W26" i="108"/>
  <c r="AI26" i="108"/>
  <c r="AK26" i="108"/>
  <c r="AL26" i="108" s="1"/>
  <c r="R12" i="108"/>
  <c r="Q12" i="108"/>
  <c r="Q10" i="109"/>
  <c r="R10" i="109"/>
  <c r="AI37" i="102"/>
  <c r="AK37" i="102"/>
  <c r="AL37" i="102" s="1"/>
  <c r="W37" i="102"/>
  <c r="R48" i="108"/>
  <c r="Q48" i="108"/>
  <c r="O10" i="84"/>
  <c r="O52" i="84" s="1"/>
  <c r="R26" i="86"/>
  <c r="Q26" i="86"/>
  <c r="O18" i="103"/>
  <c r="P18" i="103" s="1"/>
  <c r="Q17" i="86"/>
  <c r="R17" i="86"/>
  <c r="AI48" i="102"/>
  <c r="AK48" i="102"/>
  <c r="AL48" i="102" s="1"/>
  <c r="W48" i="102"/>
  <c r="O9" i="109"/>
  <c r="P9" i="109" s="1"/>
  <c r="R10" i="81"/>
  <c r="Q10" i="81"/>
  <c r="S20" i="101"/>
  <c r="T20" i="101" s="1"/>
  <c r="V20" i="101" s="1"/>
  <c r="T16" i="80"/>
  <c r="V16" i="80" s="1"/>
  <c r="AM16" i="80" s="1"/>
  <c r="S39" i="108"/>
  <c r="T39" i="108" s="1"/>
  <c r="V39" i="108" s="1"/>
  <c r="T14" i="84"/>
  <c r="V14" i="84" s="1"/>
  <c r="AK14" i="84" s="1"/>
  <c r="M25" i="109"/>
  <c r="S19" i="84"/>
  <c r="T19" i="84" s="1"/>
  <c r="V19" i="84" s="1"/>
  <c r="W19" i="84" s="1"/>
  <c r="T13" i="86"/>
  <c r="V13" i="86" s="1"/>
  <c r="W13" i="86" s="1"/>
  <c r="AI24" i="103"/>
  <c r="T20" i="100"/>
  <c r="V20" i="100" s="1"/>
  <c r="M64" i="108"/>
  <c r="T27" i="80"/>
  <c r="V27" i="80" s="1"/>
  <c r="AM27" i="80" s="1"/>
  <c r="S15" i="80"/>
  <c r="T15" i="80" s="1"/>
  <c r="V15" i="80" s="1"/>
  <c r="S47" i="102"/>
  <c r="T47" i="102" s="1"/>
  <c r="V47" i="102" s="1"/>
  <c r="AK47" i="102" s="1"/>
  <c r="AL47" i="102" s="1"/>
  <c r="S43" i="84"/>
  <c r="T43" i="84" s="1"/>
  <c r="V43" i="84" s="1"/>
  <c r="AI43" i="84" s="1"/>
  <c r="T11" i="86"/>
  <c r="V11" i="86" s="1"/>
  <c r="AK11" i="86" s="1"/>
  <c r="AL11" i="86" s="1"/>
  <c r="S12" i="84"/>
  <c r="T12" i="84" s="1"/>
  <c r="V12" i="84" s="1"/>
  <c r="S25" i="104"/>
  <c r="S17" i="103"/>
  <c r="T17" i="103" s="1"/>
  <c r="V17" i="103" s="1"/>
  <c r="S23" i="104"/>
  <c r="T23" i="104" s="1"/>
  <c r="V23" i="104" s="1"/>
  <c r="W23" i="80"/>
  <c r="T41" i="108"/>
  <c r="V41" i="108" s="1"/>
  <c r="W41" i="108" s="1"/>
  <c r="M15" i="101"/>
  <c r="M20" i="108"/>
  <c r="W21" i="110"/>
  <c r="AI21" i="110"/>
  <c r="AK21" i="110"/>
  <c r="AL21" i="110" s="1"/>
  <c r="S31" i="108"/>
  <c r="T31" i="108" s="1"/>
  <c r="V31" i="108" s="1"/>
  <c r="S11" i="105"/>
  <c r="T11" i="105" s="1"/>
  <c r="V11" i="105" s="1"/>
  <c r="T10" i="108"/>
  <c r="V10" i="108" s="1"/>
  <c r="O9" i="102"/>
  <c r="O64" i="102" s="1"/>
  <c r="M64" i="102"/>
  <c r="O25" i="105"/>
  <c r="P25" i="105" s="1"/>
  <c r="S11" i="99"/>
  <c r="T11" i="99" s="1"/>
  <c r="V11" i="99" s="1"/>
  <c r="S39" i="102"/>
  <c r="T39" i="102" s="1"/>
  <c r="V39" i="102" s="1"/>
  <c r="T22" i="85"/>
  <c r="V22" i="85" s="1"/>
  <c r="Q23" i="99"/>
  <c r="R23" i="99"/>
  <c r="R18" i="107"/>
  <c r="Q18" i="107"/>
  <c r="Q45" i="108"/>
  <c r="R45" i="108"/>
  <c r="AK10" i="101"/>
  <c r="AK24" i="99"/>
  <c r="AM24" i="99"/>
  <c r="AJ24" i="99"/>
  <c r="W24" i="99"/>
  <c r="O25" i="80"/>
  <c r="O28" i="80" s="1"/>
  <c r="S13" i="101"/>
  <c r="T13" i="101" s="1"/>
  <c r="V13" i="101" s="1"/>
  <c r="Q17" i="81"/>
  <c r="R17" i="81"/>
  <c r="Q9" i="100"/>
  <c r="R9" i="100"/>
  <c r="Q19" i="106"/>
  <c r="R19" i="106"/>
  <c r="R15" i="102"/>
  <c r="Q15" i="102"/>
  <c r="S15" i="102" s="1"/>
  <c r="R9" i="101"/>
  <c r="Q9" i="101"/>
  <c r="R16" i="106"/>
  <c r="Q16" i="106"/>
  <c r="AI13" i="99"/>
  <c r="AM13" i="99"/>
  <c r="AJ13" i="99"/>
  <c r="S18" i="84"/>
  <c r="T18" i="84" s="1"/>
  <c r="V18" i="84" s="1"/>
  <c r="S44" i="108"/>
  <c r="T44" i="108" s="1"/>
  <c r="V44" i="108" s="1"/>
  <c r="S27" i="86"/>
  <c r="T27" i="86" s="1"/>
  <c r="V27" i="86" s="1"/>
  <c r="AK27" i="86" s="1"/>
  <c r="AL27" i="86" s="1"/>
  <c r="S17" i="85"/>
  <c r="T17" i="85" s="1"/>
  <c r="V17" i="85" s="1"/>
  <c r="T18" i="100"/>
  <c r="V18" i="100" s="1"/>
  <c r="AK18" i="100" s="1"/>
  <c r="AL18" i="100" s="1"/>
  <c r="T23" i="102"/>
  <c r="V23" i="102" s="1"/>
  <c r="AI23" i="102" s="1"/>
  <c r="S22" i="86"/>
  <c r="T22" i="86" s="1"/>
  <c r="V22" i="86" s="1"/>
  <c r="L52" i="84"/>
  <c r="L52" i="102"/>
  <c r="O28" i="104"/>
  <c r="S50" i="84"/>
  <c r="T50" i="84" s="1"/>
  <c r="V50" i="84" s="1"/>
  <c r="AK50" i="84" s="1"/>
  <c r="AL50" i="84" s="1"/>
  <c r="S22" i="84"/>
  <c r="T22" i="84" s="1"/>
  <c r="V22" i="84" s="1"/>
  <c r="S16" i="85"/>
  <c r="T16" i="85" s="1"/>
  <c r="V16" i="85" s="1"/>
  <c r="S12" i="101"/>
  <c r="T12" i="101" s="1"/>
  <c r="S21" i="84"/>
  <c r="T21" i="84" s="1"/>
  <c r="V21" i="84" s="1"/>
  <c r="S20" i="85"/>
  <c r="S14" i="101"/>
  <c r="T14" i="101" s="1"/>
  <c r="V14" i="101" s="1"/>
  <c r="W14" i="101" s="1"/>
  <c r="S21" i="80"/>
  <c r="T21" i="80" s="1"/>
  <c r="V21" i="80" s="1"/>
  <c r="W21" i="80" s="1"/>
  <c r="S23" i="84"/>
  <c r="T23" i="84" s="1"/>
  <c r="V23" i="84" s="1"/>
  <c r="W23" i="84" s="1"/>
  <c r="S21" i="103"/>
  <c r="T21" i="103" s="1"/>
  <c r="V21" i="103" s="1"/>
  <c r="W11" i="104"/>
  <c r="AK11" i="104"/>
  <c r="AL11" i="104" s="1"/>
  <c r="AI11" i="104"/>
  <c r="S16" i="104"/>
  <c r="T16" i="104" s="1"/>
  <c r="V16" i="104" s="1"/>
  <c r="S51" i="102"/>
  <c r="T51" i="102" s="1"/>
  <c r="V51" i="102" s="1"/>
  <c r="L65" i="102"/>
  <c r="L67" i="102" s="1"/>
  <c r="K52" i="84"/>
  <c r="K64" i="84"/>
  <c r="K67" i="84" s="1"/>
  <c r="M9" i="103"/>
  <c r="K25" i="103"/>
  <c r="S23" i="105"/>
  <c r="T23" i="105" s="1"/>
  <c r="V23" i="105" s="1"/>
  <c r="S22" i="108"/>
  <c r="T22" i="108" s="1"/>
  <c r="V22" i="108" s="1"/>
  <c r="T14" i="80"/>
  <c r="V14" i="80" s="1"/>
  <c r="S26" i="102"/>
  <c r="T26" i="102" s="1"/>
  <c r="V26" i="102" s="1"/>
  <c r="AI26" i="102" s="1"/>
  <c r="S46" i="108"/>
  <c r="T46" i="108" s="1"/>
  <c r="V46" i="108" s="1"/>
  <c r="Q21" i="86"/>
  <c r="R21" i="86"/>
  <c r="Q19" i="109"/>
  <c r="R19" i="109"/>
  <c r="K13" i="111"/>
  <c r="Q13" i="111" s="1"/>
  <c r="K13" i="42"/>
  <c r="N13" i="42" s="1"/>
  <c r="R10" i="85"/>
  <c r="Q10" i="85"/>
  <c r="Q16" i="108"/>
  <c r="R16" i="108"/>
  <c r="Q17" i="100"/>
  <c r="R17" i="100"/>
  <c r="R15" i="108"/>
  <c r="Q15" i="108"/>
  <c r="R19" i="105"/>
  <c r="Q19" i="105"/>
  <c r="R19" i="81"/>
  <c r="Q19" i="81"/>
  <c r="AK20" i="80"/>
  <c r="AM20" i="80"/>
  <c r="W20" i="80"/>
  <c r="AJ20" i="80"/>
  <c r="AI20" i="80"/>
  <c r="Q13" i="81"/>
  <c r="R13" i="81"/>
  <c r="Q32" i="108"/>
  <c r="R32" i="108"/>
  <c r="AI50" i="84"/>
  <c r="Q27" i="108"/>
  <c r="R27" i="108"/>
  <c r="Q17" i="84"/>
  <c r="R17" i="84"/>
  <c r="AI22" i="104"/>
  <c r="R35" i="84"/>
  <c r="Q35" i="84"/>
  <c r="Q23" i="108"/>
  <c r="R23" i="108"/>
  <c r="AJ26" i="80"/>
  <c r="Q17" i="109"/>
  <c r="R17" i="109"/>
  <c r="AI23" i="84"/>
  <c r="AK37" i="108"/>
  <c r="AL37" i="108" s="1"/>
  <c r="W37" i="108"/>
  <c r="AI37" i="108"/>
  <c r="R12" i="81"/>
  <c r="Q12" i="81"/>
  <c r="R14" i="106"/>
  <c r="Q14" i="106"/>
  <c r="AK24" i="85"/>
  <c r="AI24" i="85"/>
  <c r="W24" i="85"/>
  <c r="V9" i="107"/>
  <c r="Q21" i="105"/>
  <c r="R21" i="105"/>
  <c r="AK40" i="84"/>
  <c r="AL40" i="84" s="1"/>
  <c r="AK28" i="102"/>
  <c r="W26" i="84"/>
  <c r="AI26" i="84"/>
  <c r="AK26" i="84"/>
  <c r="AL26" i="84" s="1"/>
  <c r="AK13" i="107"/>
  <c r="AL13" i="107" s="1"/>
  <c r="W13" i="107"/>
  <c r="AI13" i="107"/>
  <c r="AI30" i="102"/>
  <c r="Q9" i="81"/>
  <c r="R9" i="81"/>
  <c r="P21" i="81"/>
  <c r="Q23" i="110"/>
  <c r="R23" i="110"/>
  <c r="Q17" i="105"/>
  <c r="R17" i="105"/>
  <c r="Q44" i="102"/>
  <c r="R44" i="102"/>
  <c r="Q21" i="101"/>
  <c r="R21" i="101"/>
  <c r="Q11" i="100"/>
  <c r="R11" i="100"/>
  <c r="R14" i="81"/>
  <c r="Q14" i="81"/>
  <c r="R18" i="81"/>
  <c r="Q18" i="81"/>
  <c r="Q21" i="107"/>
  <c r="R21" i="107"/>
  <c r="R10" i="106"/>
  <c r="Q10" i="106"/>
  <c r="W23" i="86"/>
  <c r="AI23" i="86"/>
  <c r="AK23" i="86"/>
  <c r="AL23" i="86" s="1"/>
  <c r="AI20" i="107"/>
  <c r="AK20" i="107"/>
  <c r="AL20" i="107" s="1"/>
  <c r="W20" i="107"/>
  <c r="AK20" i="100"/>
  <c r="AL20" i="100" s="1"/>
  <c r="W20" i="100"/>
  <c r="AI20" i="100"/>
  <c r="Q12" i="103"/>
  <c r="R12" i="103"/>
  <c r="AI47" i="102"/>
  <c r="W47" i="102"/>
  <c r="Q13" i="110"/>
  <c r="R13" i="110"/>
  <c r="Q11" i="81"/>
  <c r="R11" i="81"/>
  <c r="AK17" i="80"/>
  <c r="AJ17" i="80"/>
  <c r="AI17" i="80"/>
  <c r="W17" i="80"/>
  <c r="AM17" i="80"/>
  <c r="Q11" i="109"/>
  <c r="R11" i="109"/>
  <c r="Q28" i="108"/>
  <c r="R28" i="108"/>
  <c r="W49" i="84"/>
  <c r="AK49" i="84"/>
  <c r="AL49" i="84" s="1"/>
  <c r="AI49" i="84"/>
  <c r="R25" i="108"/>
  <c r="Q25" i="108"/>
  <c r="AI22" i="109"/>
  <c r="AK22" i="109"/>
  <c r="AK16" i="100"/>
  <c r="AL16" i="100" s="1"/>
  <c r="W16" i="100"/>
  <c r="AI16" i="100"/>
  <c r="R33" i="102"/>
  <c r="Q33" i="102"/>
  <c r="AJ25" i="99"/>
  <c r="AI25" i="99"/>
  <c r="AM25" i="99"/>
  <c r="R19" i="102"/>
  <c r="Q19" i="102"/>
  <c r="AI41" i="84"/>
  <c r="W41" i="84"/>
  <c r="AK41" i="84"/>
  <c r="AL41" i="84" s="1"/>
  <c r="AI12" i="104"/>
  <c r="AK12" i="104"/>
  <c r="AL12" i="104" s="1"/>
  <c r="W12" i="104"/>
  <c r="R14" i="86"/>
  <c r="Q14" i="86"/>
  <c r="AI14" i="108"/>
  <c r="AK14" i="108"/>
  <c r="Q17" i="104"/>
  <c r="R17" i="104"/>
  <c r="K12" i="111"/>
  <c r="Q12" i="111" s="1"/>
  <c r="K11" i="42"/>
  <c r="N11" i="42" s="1"/>
  <c r="O25" i="102"/>
  <c r="P25" i="102" s="1"/>
  <c r="K10" i="111"/>
  <c r="K10" i="42"/>
  <c r="AK20" i="103"/>
  <c r="W20" i="103"/>
  <c r="AK14" i="105"/>
  <c r="W14" i="105"/>
  <c r="AI14" i="105"/>
  <c r="AM14" i="105"/>
  <c r="AJ14" i="105"/>
  <c r="Q12" i="102"/>
  <c r="R12" i="102"/>
  <c r="O19" i="103"/>
  <c r="AK15" i="106"/>
  <c r="AL15" i="106" s="1"/>
  <c r="W15" i="106"/>
  <c r="AI15" i="106"/>
  <c r="AK34" i="108"/>
  <c r="AI34" i="108"/>
  <c r="W17" i="102"/>
  <c r="AK17" i="102"/>
  <c r="AL17" i="102" s="1"/>
  <c r="AM17" i="102" s="1"/>
  <c r="AI17" i="102"/>
  <c r="Q15" i="85"/>
  <c r="R15" i="85"/>
  <c r="T27" i="99"/>
  <c r="V27" i="99" s="1"/>
  <c r="T14" i="102"/>
  <c r="P19" i="101"/>
  <c r="S38" i="102"/>
  <c r="T38" i="102" s="1"/>
  <c r="V38" i="102" s="1"/>
  <c r="S20" i="86"/>
  <c r="T20" i="86" s="1"/>
  <c r="V20" i="86" s="1"/>
  <c r="AN10" i="80"/>
  <c r="W10" i="80" s="1"/>
  <c r="S15" i="84"/>
  <c r="T15" i="84" s="1"/>
  <c r="V15" i="84" s="1"/>
  <c r="M9" i="85"/>
  <c r="S25" i="86"/>
  <c r="T25" i="86" s="1"/>
  <c r="V25" i="86" s="1"/>
  <c r="W25" i="86" s="1"/>
  <c r="S16" i="109"/>
  <c r="T16" i="109" s="1"/>
  <c r="V16" i="109" s="1"/>
  <c r="S18" i="99"/>
  <c r="T18" i="99" s="1"/>
  <c r="V18" i="99" s="1"/>
  <c r="S16" i="110"/>
  <c r="T16" i="110" s="1"/>
  <c r="V16" i="110" s="1"/>
  <c r="S48" i="84"/>
  <c r="T48" i="84" s="1"/>
  <c r="V48" i="84" s="1"/>
  <c r="O65" i="84"/>
  <c r="S24" i="102"/>
  <c r="T24" i="102" s="1"/>
  <c r="V24" i="102" s="1"/>
  <c r="AN21" i="99"/>
  <c r="M52" i="102"/>
  <c r="P14" i="99"/>
  <c r="P18" i="104"/>
  <c r="P28" i="104" s="1"/>
  <c r="S28" i="84"/>
  <c r="T28" i="84" s="1"/>
  <c r="V28" i="84" s="1"/>
  <c r="T50" i="102"/>
  <c r="V50" i="102" s="1"/>
  <c r="S24" i="84"/>
  <c r="T24" i="84" s="1"/>
  <c r="V24" i="84" s="1"/>
  <c r="AJ16" i="105"/>
  <c r="W16" i="105"/>
  <c r="AK16" i="105"/>
  <c r="AM16" i="105"/>
  <c r="AI16" i="105"/>
  <c r="Q15" i="107"/>
  <c r="R15" i="107"/>
  <c r="AK43" i="108"/>
  <c r="AI43" i="108"/>
  <c r="Q20" i="84"/>
  <c r="R20" i="84"/>
  <c r="Q20" i="106"/>
  <c r="R20" i="106"/>
  <c r="O14" i="85"/>
  <c r="P14" i="85" s="1"/>
  <c r="Q9" i="86"/>
  <c r="R9" i="86"/>
  <c r="Q9" i="108"/>
  <c r="R9" i="108"/>
  <c r="P64" i="108"/>
  <c r="AN14" i="109"/>
  <c r="R11" i="85"/>
  <c r="Q11" i="85"/>
  <c r="R14" i="107"/>
  <c r="Q14" i="107"/>
  <c r="R23" i="85"/>
  <c r="Q23" i="85"/>
  <c r="AN15" i="109"/>
  <c r="AI14" i="110"/>
  <c r="R47" i="108"/>
  <c r="Q47" i="108"/>
  <c r="AN23" i="80"/>
  <c r="Q24" i="86"/>
  <c r="R24" i="86"/>
  <c r="AI21" i="108"/>
  <c r="AK21" i="108"/>
  <c r="AI41" i="102"/>
  <c r="W41" i="102"/>
  <c r="AK41" i="102"/>
  <c r="AL41" i="102" s="1"/>
  <c r="Q16" i="86"/>
  <c r="R16" i="86"/>
  <c r="AK14" i="100"/>
  <c r="AL14" i="100" s="1"/>
  <c r="W14" i="100"/>
  <c r="AI14" i="100"/>
  <c r="W26" i="102"/>
  <c r="V10" i="110"/>
  <c r="V10" i="105"/>
  <c r="Q15" i="104"/>
  <c r="R15" i="104"/>
  <c r="Q21" i="109"/>
  <c r="R21" i="109"/>
  <c r="R13" i="106"/>
  <c r="Q13" i="106"/>
  <c r="AI15" i="81"/>
  <c r="O20" i="110"/>
  <c r="P20" i="110" s="1"/>
  <c r="R13" i="84"/>
  <c r="P65" i="84"/>
  <c r="Q13" i="84"/>
  <c r="AN24" i="103"/>
  <c r="AP24" i="103"/>
  <c r="AL24" i="103"/>
  <c r="O64" i="108"/>
  <c r="Q10" i="107"/>
  <c r="R10" i="107"/>
  <c r="O19" i="86"/>
  <c r="P19" i="86" s="1"/>
  <c r="AK45" i="102"/>
  <c r="AL45" i="102" s="1"/>
  <c r="AI45" i="102"/>
  <c r="W45" i="102"/>
  <c r="Q24" i="80"/>
  <c r="R24" i="80"/>
  <c r="Q12" i="85"/>
  <c r="R12" i="85"/>
  <c r="O11" i="108"/>
  <c r="O66" i="108" s="1"/>
  <c r="M66" i="108"/>
  <c r="Q19" i="104"/>
  <c r="R19" i="104"/>
  <c r="Q19" i="85"/>
  <c r="R19" i="85"/>
  <c r="Q24" i="108"/>
  <c r="R24" i="108"/>
  <c r="Q35" i="102"/>
  <c r="R35" i="102"/>
  <c r="R18" i="85"/>
  <c r="Q18" i="85"/>
  <c r="S18" i="85" s="1"/>
  <c r="Q11" i="110"/>
  <c r="R11" i="110"/>
  <c r="T9" i="80"/>
  <c r="S10" i="103"/>
  <c r="P12" i="105"/>
  <c r="S20" i="102"/>
  <c r="T20" i="102" s="1"/>
  <c r="V20" i="102" s="1"/>
  <c r="S10" i="99"/>
  <c r="T10" i="99" s="1"/>
  <c r="S13" i="80"/>
  <c r="T25" i="104"/>
  <c r="V25" i="104" s="1"/>
  <c r="W25" i="104" s="1"/>
  <c r="T26" i="99"/>
  <c r="V26" i="99" s="1"/>
  <c r="S46" i="84"/>
  <c r="T46" i="84" s="1"/>
  <c r="V46" i="84" s="1"/>
  <c r="T20" i="85"/>
  <c r="V20" i="85" s="1"/>
  <c r="AK16" i="80"/>
  <c r="W16" i="80"/>
  <c r="AI9" i="104"/>
  <c r="AK9" i="104"/>
  <c r="O22" i="102"/>
  <c r="AK23" i="102"/>
  <c r="AL23" i="102" s="1"/>
  <c r="R18" i="80"/>
  <c r="Q18" i="80"/>
  <c r="R32" i="102"/>
  <c r="Q32" i="102"/>
  <c r="AI19" i="100"/>
  <c r="AK19" i="100"/>
  <c r="AL19" i="100" s="1"/>
  <c r="W19" i="100"/>
  <c r="Q16" i="81"/>
  <c r="R16" i="81"/>
  <c r="AK16" i="101"/>
  <c r="AL16" i="101" s="1"/>
  <c r="W16" i="101"/>
  <c r="AI16" i="101"/>
  <c r="AK17" i="106"/>
  <c r="AL17" i="106" s="1"/>
  <c r="W17" i="106"/>
  <c r="AI17" i="106"/>
  <c r="R20" i="81"/>
  <c r="Q20" i="81"/>
  <c r="W33" i="84"/>
  <c r="AI33" i="84"/>
  <c r="AK33" i="84"/>
  <c r="AL33" i="84" s="1"/>
  <c r="W24" i="109"/>
  <c r="AK24" i="109"/>
  <c r="AI24" i="109"/>
  <c r="AI46" i="102"/>
  <c r="O19" i="107"/>
  <c r="P19" i="107" s="1"/>
  <c r="O13" i="105"/>
  <c r="Q30" i="108"/>
  <c r="R30" i="108"/>
  <c r="W18" i="86"/>
  <c r="AK18" i="86"/>
  <c r="AL18" i="86" s="1"/>
  <c r="AI18" i="86"/>
  <c r="W13" i="109"/>
  <c r="AI13" i="109"/>
  <c r="AK13" i="109"/>
  <c r="O10" i="100"/>
  <c r="O21" i="100" s="1"/>
  <c r="M21" i="100"/>
  <c r="W24" i="105"/>
  <c r="AM24" i="105"/>
  <c r="AK24" i="105"/>
  <c r="AJ24" i="105"/>
  <c r="AI24" i="105"/>
  <c r="AK36" i="108"/>
  <c r="AL36" i="108" s="1"/>
  <c r="AI36" i="108"/>
  <c r="W36" i="108"/>
  <c r="O11" i="106"/>
  <c r="Q31" i="84"/>
  <c r="R31" i="84"/>
  <c r="W26" i="110"/>
  <c r="AI26" i="110"/>
  <c r="AK26" i="110"/>
  <c r="AL26" i="110" s="1"/>
  <c r="Q18" i="108"/>
  <c r="R18" i="108"/>
  <c r="AK29" i="108"/>
  <c r="AI29" i="108"/>
  <c r="Q36" i="84"/>
  <c r="R36" i="84"/>
  <c r="AI34" i="84"/>
  <c r="AK34" i="84"/>
  <c r="L67" i="108"/>
  <c r="O21" i="81"/>
  <c r="K67" i="108"/>
  <c r="W46" i="102" l="1"/>
  <c r="S14" i="107"/>
  <c r="AN19" i="99"/>
  <c r="AJ27" i="80"/>
  <c r="S9" i="110"/>
  <c r="P66" i="84"/>
  <c r="AI16" i="102"/>
  <c r="S19" i="81"/>
  <c r="T19" i="81" s="1"/>
  <c r="V19" i="81" s="1"/>
  <c r="AK19" i="110"/>
  <c r="AL19" i="110" s="1"/>
  <c r="S27" i="105"/>
  <c r="R66" i="102"/>
  <c r="S17" i="84"/>
  <c r="AP20" i="109"/>
  <c r="T16" i="84"/>
  <c r="V16" i="84" s="1"/>
  <c r="AK16" i="84" s="1"/>
  <c r="S20" i="81"/>
  <c r="T20" i="81" s="1"/>
  <c r="V20" i="81" s="1"/>
  <c r="W20" i="81" s="1"/>
  <c r="AK22" i="80"/>
  <c r="W22" i="80"/>
  <c r="AJ22" i="80"/>
  <c r="W12" i="99"/>
  <c r="AI12" i="99"/>
  <c r="AK13" i="103"/>
  <c r="AI13" i="103"/>
  <c r="P11" i="107"/>
  <c r="Q11" i="107" s="1"/>
  <c r="O23" i="107"/>
  <c r="AK23" i="109"/>
  <c r="W23" i="109"/>
  <c r="O21" i="106"/>
  <c r="S19" i="85"/>
  <c r="AK26" i="102"/>
  <c r="AL26" i="102" s="1"/>
  <c r="M23" i="107"/>
  <c r="S10" i="106"/>
  <c r="T10" i="106" s="1"/>
  <c r="V10" i="106" s="1"/>
  <c r="AN10" i="101"/>
  <c r="AI19" i="110"/>
  <c r="S27" i="104"/>
  <c r="T27" i="104" s="1"/>
  <c r="V27" i="104" s="1"/>
  <c r="W12" i="111"/>
  <c r="AI12" i="109"/>
  <c r="AK43" i="84"/>
  <c r="AI27" i="86"/>
  <c r="AJ9" i="99"/>
  <c r="P66" i="102"/>
  <c r="AN19" i="80"/>
  <c r="AN9" i="105"/>
  <c r="S23" i="85"/>
  <c r="T23" i="85" s="1"/>
  <c r="V23" i="85" s="1"/>
  <c r="AK23" i="85" s="1"/>
  <c r="W12" i="109"/>
  <c r="AK41" i="108"/>
  <c r="AL41" i="108" s="1"/>
  <c r="AK22" i="107"/>
  <c r="AL22" i="107" s="1"/>
  <c r="AK49" i="108"/>
  <c r="AL49" i="108" s="1"/>
  <c r="W49" i="108"/>
  <c r="AI49" i="108"/>
  <c r="W11" i="80"/>
  <c r="AM11" i="80"/>
  <c r="AM22" i="99"/>
  <c r="AK22" i="99"/>
  <c r="AK14" i="104"/>
  <c r="AL14" i="104" s="1"/>
  <c r="AI14" i="104"/>
  <c r="W16" i="103"/>
  <c r="AK16" i="103"/>
  <c r="AM12" i="80"/>
  <c r="AK13" i="86"/>
  <c r="AL13" i="86" s="1"/>
  <c r="AI14" i="84"/>
  <c r="AI40" i="84"/>
  <c r="AK23" i="84"/>
  <c r="AL23" i="84" s="1"/>
  <c r="AM26" i="80"/>
  <c r="AK22" i="104"/>
  <c r="AL22" i="104" s="1"/>
  <c r="AK49" i="102"/>
  <c r="AL49" i="102" s="1"/>
  <c r="AK12" i="110"/>
  <c r="AL12" i="110" s="1"/>
  <c r="W12" i="110"/>
  <c r="AI12" i="110"/>
  <c r="S16" i="81"/>
  <c r="S30" i="108"/>
  <c r="T30" i="108" s="1"/>
  <c r="V30" i="108" s="1"/>
  <c r="AK29" i="84"/>
  <c r="AN29" i="84" s="1"/>
  <c r="O25" i="109"/>
  <c r="AP15" i="109"/>
  <c r="W15" i="100"/>
  <c r="W27" i="80"/>
  <c r="O28" i="105"/>
  <c r="S12" i="102"/>
  <c r="AI12" i="80"/>
  <c r="S25" i="108"/>
  <c r="T25" i="108" s="1"/>
  <c r="V25" i="108" s="1"/>
  <c r="W30" i="102"/>
  <c r="AI26" i="80"/>
  <c r="AK26" i="80"/>
  <c r="W50" i="84"/>
  <c r="W18" i="100"/>
  <c r="S9" i="101"/>
  <c r="T9" i="101" s="1"/>
  <c r="V9" i="101" s="1"/>
  <c r="AK9" i="99"/>
  <c r="AN9" i="99" s="1"/>
  <c r="W9" i="99" s="1"/>
  <c r="AI49" i="102"/>
  <c r="S26" i="104"/>
  <c r="T26" i="104" s="1"/>
  <c r="V26" i="104" s="1"/>
  <c r="W26" i="104" s="1"/>
  <c r="AI27" i="80"/>
  <c r="AI13" i="86"/>
  <c r="S48" i="108"/>
  <c r="T48" i="108" s="1"/>
  <c r="V48" i="108" s="1"/>
  <c r="AI30" i="84"/>
  <c r="W30" i="84"/>
  <c r="AI39" i="84"/>
  <c r="AK39" i="84"/>
  <c r="AL39" i="84" s="1"/>
  <c r="W39" i="84"/>
  <c r="W40" i="108"/>
  <c r="AI40" i="108"/>
  <c r="AK40" i="108"/>
  <c r="AL40" i="108" s="1"/>
  <c r="R19" i="108"/>
  <c r="Q19" i="108"/>
  <c r="O28" i="110"/>
  <c r="S15" i="86"/>
  <c r="T15" i="86" s="1"/>
  <c r="V15" i="86" s="1"/>
  <c r="S31" i="102"/>
  <c r="T31" i="102" s="1"/>
  <c r="V31" i="102" s="1"/>
  <c r="S18" i="102"/>
  <c r="T18" i="102" s="1"/>
  <c r="V18" i="102" s="1"/>
  <c r="W20" i="105"/>
  <c r="S13" i="108"/>
  <c r="T13" i="108" s="1"/>
  <c r="V13" i="108" s="1"/>
  <c r="AI13" i="108" s="1"/>
  <c r="AM9" i="99"/>
  <c r="AM20" i="105"/>
  <c r="AN20" i="105" s="1"/>
  <c r="AI20" i="105"/>
  <c r="W20" i="99"/>
  <c r="S26" i="105"/>
  <c r="T26" i="105" s="1"/>
  <c r="V26" i="105" s="1"/>
  <c r="AI26" i="105" s="1"/>
  <c r="R9" i="106"/>
  <c r="Q9" i="106"/>
  <c r="AK12" i="100"/>
  <c r="AL12" i="100" s="1"/>
  <c r="AI12" i="100"/>
  <c r="W12" i="100"/>
  <c r="Q10" i="86"/>
  <c r="S10" i="86" s="1"/>
  <c r="T10" i="86" s="1"/>
  <c r="V10" i="86" s="1"/>
  <c r="AJ16" i="80"/>
  <c r="AK18" i="109"/>
  <c r="AP18" i="109" s="1"/>
  <c r="S9" i="86"/>
  <c r="AK15" i="100"/>
  <c r="AL15" i="100" s="1"/>
  <c r="AK14" i="103"/>
  <c r="AK47" i="84"/>
  <c r="AL47" i="84" s="1"/>
  <c r="S27" i="108"/>
  <c r="T27" i="108" s="1"/>
  <c r="V27" i="108" s="1"/>
  <c r="W27" i="108" s="1"/>
  <c r="AI18" i="100"/>
  <c r="S17" i="81"/>
  <c r="AN24" i="99"/>
  <c r="S15" i="110"/>
  <c r="T15" i="110" s="1"/>
  <c r="V15" i="110" s="1"/>
  <c r="T27" i="105"/>
  <c r="V27" i="105" s="1"/>
  <c r="AK27" i="104"/>
  <c r="AL27" i="104" s="1"/>
  <c r="W27" i="104"/>
  <c r="AI27" i="104"/>
  <c r="Q66" i="102"/>
  <c r="P11" i="106"/>
  <c r="Q11" i="106" s="1"/>
  <c r="R11" i="84"/>
  <c r="R66" i="84" s="1"/>
  <c r="AI16" i="80"/>
  <c r="AM22" i="80"/>
  <c r="AK15" i="81"/>
  <c r="AL15" i="81" s="1"/>
  <c r="S24" i="86"/>
  <c r="T24" i="86" s="1"/>
  <c r="V24" i="86" s="1"/>
  <c r="W24" i="86" s="1"/>
  <c r="W13" i="103"/>
  <c r="S17" i="104"/>
  <c r="T17" i="104" s="1"/>
  <c r="V17" i="104" s="1"/>
  <c r="AK25" i="99"/>
  <c r="AN25" i="99" s="1"/>
  <c r="W14" i="103"/>
  <c r="W12" i="80"/>
  <c r="W47" i="84"/>
  <c r="AI21" i="85"/>
  <c r="AK27" i="80"/>
  <c r="AN27" i="80" s="1"/>
  <c r="AI22" i="107"/>
  <c r="AI21" i="80"/>
  <c r="AM12" i="99"/>
  <c r="S32" i="108"/>
  <c r="T32" i="108" s="1"/>
  <c r="V32" i="108" s="1"/>
  <c r="AK32" i="108" s="1"/>
  <c r="AI22" i="80"/>
  <c r="AP14" i="109"/>
  <c r="S11" i="81"/>
  <c r="T11" i="81" s="1"/>
  <c r="V11" i="81" s="1"/>
  <c r="AI19" i="84"/>
  <c r="S9" i="81"/>
  <c r="T9" i="81" s="1"/>
  <c r="AJ12" i="99"/>
  <c r="S17" i="100"/>
  <c r="T17" i="100" s="1"/>
  <c r="V17" i="100" s="1"/>
  <c r="W17" i="100" s="1"/>
  <c r="S9" i="100"/>
  <c r="T9" i="100" s="1"/>
  <c r="V9" i="100" s="1"/>
  <c r="AN9" i="100" s="1"/>
  <c r="S20" i="104"/>
  <c r="T20" i="104" s="1"/>
  <c r="V20" i="104" s="1"/>
  <c r="AI20" i="99"/>
  <c r="T27" i="110"/>
  <c r="V27" i="110" s="1"/>
  <c r="S22" i="105"/>
  <c r="T22" i="105" s="1"/>
  <c r="V22" i="105" s="1"/>
  <c r="AI22" i="108"/>
  <c r="AK22" i="108"/>
  <c r="AL22" i="108" s="1"/>
  <c r="AM17" i="99"/>
  <c r="AI17" i="99"/>
  <c r="W17" i="99"/>
  <c r="AK17" i="99"/>
  <c r="AJ17" i="99"/>
  <c r="AP10" i="102"/>
  <c r="AN10" i="102"/>
  <c r="AK10" i="102"/>
  <c r="AL10" i="102" s="1"/>
  <c r="AM10" i="102" s="1"/>
  <c r="AI10" i="102"/>
  <c r="AK26" i="105"/>
  <c r="S12" i="108"/>
  <c r="S37" i="84"/>
  <c r="T37" i="84" s="1"/>
  <c r="V37" i="84" s="1"/>
  <c r="S27" i="102"/>
  <c r="T27" i="102" s="1"/>
  <c r="V27" i="102" s="1"/>
  <c r="S12" i="107"/>
  <c r="T12" i="107" s="1"/>
  <c r="V12" i="107" s="1"/>
  <c r="O52" i="102"/>
  <c r="S24" i="80"/>
  <c r="T24" i="80" s="1"/>
  <c r="V24" i="80" s="1"/>
  <c r="S15" i="107"/>
  <c r="T15" i="107" s="1"/>
  <c r="V15" i="107" s="1"/>
  <c r="AI15" i="107" s="1"/>
  <c r="S28" i="108"/>
  <c r="T28" i="108" s="1"/>
  <c r="V28" i="108" s="1"/>
  <c r="AK28" i="108" s="1"/>
  <c r="S17" i="109"/>
  <c r="T17" i="109" s="1"/>
  <c r="V17" i="109" s="1"/>
  <c r="S13" i="81"/>
  <c r="T13" i="81" s="1"/>
  <c r="V13" i="81" s="1"/>
  <c r="AK26" i="104"/>
  <c r="AL26" i="104" s="1"/>
  <c r="AN24" i="105"/>
  <c r="S24" i="108"/>
  <c r="S21" i="109"/>
  <c r="S20" i="106"/>
  <c r="T20" i="106" s="1"/>
  <c r="V20" i="106" s="1"/>
  <c r="S21" i="105"/>
  <c r="T21" i="105" s="1"/>
  <c r="V21" i="105" s="1"/>
  <c r="AK14" i="101"/>
  <c r="AL14" i="101" s="1"/>
  <c r="S23" i="108"/>
  <c r="T23" i="108" s="1"/>
  <c r="V23" i="108" s="1"/>
  <c r="AK12" i="99"/>
  <c r="W27" i="86"/>
  <c r="S19" i="106"/>
  <c r="T19" i="106" s="1"/>
  <c r="V19" i="106" s="1"/>
  <c r="S18" i="107"/>
  <c r="T18" i="107" s="1"/>
  <c r="V18" i="107" s="1"/>
  <c r="AK18" i="107" s="1"/>
  <c r="AL18" i="107" s="1"/>
  <c r="P9" i="102"/>
  <c r="P64" i="102" s="1"/>
  <c r="O28" i="99"/>
  <c r="S26" i="86"/>
  <c r="T26" i="86" s="1"/>
  <c r="V26" i="86" s="1"/>
  <c r="S10" i="109"/>
  <c r="T10" i="109" s="1"/>
  <c r="V10" i="109" s="1"/>
  <c r="AI10" i="109" s="1"/>
  <c r="T9" i="110"/>
  <c r="V9" i="110" s="1"/>
  <c r="AK9" i="110" s="1"/>
  <c r="AK20" i="99"/>
  <c r="AJ20" i="99"/>
  <c r="W13" i="85"/>
  <c r="AI13" i="85"/>
  <c r="AK13" i="85"/>
  <c r="S22" i="110"/>
  <c r="T22" i="110" s="1"/>
  <c r="V22" i="110" s="1"/>
  <c r="S16" i="86"/>
  <c r="S14" i="86"/>
  <c r="T14" i="86" s="1"/>
  <c r="V14" i="86" s="1"/>
  <c r="S18" i="81"/>
  <c r="S35" i="84"/>
  <c r="T35" i="84" s="1"/>
  <c r="V35" i="84" s="1"/>
  <c r="S19" i="105"/>
  <c r="S16" i="106"/>
  <c r="T16" i="106" s="1"/>
  <c r="V16" i="106" s="1"/>
  <c r="AK16" i="106" s="1"/>
  <c r="AL16" i="106" s="1"/>
  <c r="S11" i="101"/>
  <c r="T11" i="101" s="1"/>
  <c r="V11" i="101" s="1"/>
  <c r="I9" i="177"/>
  <c r="AK17" i="108"/>
  <c r="AL17" i="108" s="1"/>
  <c r="AM17" i="108" s="1"/>
  <c r="W17" i="108"/>
  <c r="AI17" i="108"/>
  <c r="AI21" i="103"/>
  <c r="AK21" i="103"/>
  <c r="AL21" i="103" s="1"/>
  <c r="W21" i="103"/>
  <c r="AN9" i="101"/>
  <c r="AK9" i="101"/>
  <c r="AP9" i="101" s="1"/>
  <c r="AI9" i="101"/>
  <c r="AK11" i="105"/>
  <c r="W11" i="105"/>
  <c r="AJ11" i="105"/>
  <c r="AI11" i="105"/>
  <c r="AM11" i="105"/>
  <c r="Q15" i="99"/>
  <c r="R15" i="99"/>
  <c r="AK20" i="104"/>
  <c r="AL20" i="104" s="1"/>
  <c r="W20" i="104"/>
  <c r="AI20" i="104"/>
  <c r="AK13" i="108"/>
  <c r="AL13" i="108" s="1"/>
  <c r="AK44" i="108"/>
  <c r="AL44" i="108" s="1"/>
  <c r="AI44" i="108"/>
  <c r="W44" i="108"/>
  <c r="W18" i="107"/>
  <c r="AK20" i="101"/>
  <c r="AL20" i="101" s="1"/>
  <c r="W20" i="101"/>
  <c r="AI20" i="101"/>
  <c r="R18" i="103"/>
  <c r="Q18" i="103"/>
  <c r="AI13" i="104"/>
  <c r="AK13" i="104"/>
  <c r="AL13" i="104" s="1"/>
  <c r="W13" i="104"/>
  <c r="AK43" i="102"/>
  <c r="AP43" i="102" s="1"/>
  <c r="AI43" i="102"/>
  <c r="AI39" i="102"/>
  <c r="W39" i="102"/>
  <c r="AK39" i="102"/>
  <c r="AL39" i="102" s="1"/>
  <c r="AK17" i="103"/>
  <c r="AN17" i="103" s="1"/>
  <c r="W17" i="103"/>
  <c r="AI17" i="103"/>
  <c r="W23" i="105"/>
  <c r="AK23" i="105"/>
  <c r="AI23" i="105"/>
  <c r="AM23" i="105"/>
  <c r="AJ23" i="105"/>
  <c r="AK16" i="104"/>
  <c r="AL16" i="104" s="1"/>
  <c r="W16" i="104"/>
  <c r="AI16" i="104"/>
  <c r="AJ11" i="99"/>
  <c r="AM11" i="99"/>
  <c r="W11" i="99"/>
  <c r="AK11" i="99"/>
  <c r="AI11" i="99"/>
  <c r="R13" i="102"/>
  <c r="Q13" i="102"/>
  <c r="AN22" i="99"/>
  <c r="S11" i="110"/>
  <c r="T11" i="110" s="1"/>
  <c r="V11" i="110" s="1"/>
  <c r="T19" i="85"/>
  <c r="V19" i="85" s="1"/>
  <c r="AK19" i="85" s="1"/>
  <c r="S12" i="85"/>
  <c r="T12" i="85" s="1"/>
  <c r="V12" i="85" s="1"/>
  <c r="W11" i="86"/>
  <c r="AK19" i="84"/>
  <c r="AL19" i="84" s="1"/>
  <c r="AJ22" i="99"/>
  <c r="W22" i="99"/>
  <c r="AJ21" i="80"/>
  <c r="AK45" i="84"/>
  <c r="AL45" i="84" s="1"/>
  <c r="AJ11" i="80"/>
  <c r="AI14" i="80"/>
  <c r="AK14" i="80"/>
  <c r="AM14" i="80"/>
  <c r="W14" i="80"/>
  <c r="AJ14" i="80"/>
  <c r="O9" i="103"/>
  <c r="P9" i="103" s="1"/>
  <c r="M25" i="103"/>
  <c r="AK51" i="102"/>
  <c r="AL51" i="102" s="1"/>
  <c r="AI51" i="102"/>
  <c r="W51" i="102"/>
  <c r="AK10" i="108"/>
  <c r="AL10" i="108" s="1"/>
  <c r="AM10" i="108" s="1"/>
  <c r="AP10" i="108"/>
  <c r="AI10" i="108"/>
  <c r="AN10" i="108"/>
  <c r="AK18" i="106"/>
  <c r="AL18" i="106" s="1"/>
  <c r="W18" i="106"/>
  <c r="AI18" i="106"/>
  <c r="AI22" i="101"/>
  <c r="W22" i="101"/>
  <c r="AK22" i="101"/>
  <c r="AL22" i="101" s="1"/>
  <c r="P10" i="84"/>
  <c r="O64" i="84"/>
  <c r="O67" i="84" s="1"/>
  <c r="M67" i="102"/>
  <c r="Q51" i="84"/>
  <c r="R51" i="84"/>
  <c r="AK31" i="108"/>
  <c r="AL31" i="108" s="1"/>
  <c r="AI31" i="108"/>
  <c r="W31" i="108"/>
  <c r="T16" i="81"/>
  <c r="V16" i="81" s="1"/>
  <c r="W16" i="81" s="1"/>
  <c r="W23" i="102"/>
  <c r="T18" i="85"/>
  <c r="V18" i="85" s="1"/>
  <c r="AK18" i="85" s="1"/>
  <c r="T24" i="108"/>
  <c r="V24" i="108" s="1"/>
  <c r="W24" i="108" s="1"/>
  <c r="S19" i="104"/>
  <c r="T19" i="104" s="1"/>
  <c r="V19" i="104" s="1"/>
  <c r="S13" i="84"/>
  <c r="T13" i="84" s="1"/>
  <c r="V13" i="84" s="1"/>
  <c r="S13" i="106"/>
  <c r="T13" i="106" s="1"/>
  <c r="V13" i="106" s="1"/>
  <c r="AK30" i="84"/>
  <c r="AL30" i="84" s="1"/>
  <c r="AM30" i="84" s="1"/>
  <c r="S9" i="108"/>
  <c r="T9" i="108" s="1"/>
  <c r="S15" i="85"/>
  <c r="T15" i="85" s="1"/>
  <c r="V15" i="85" s="1"/>
  <c r="W22" i="108"/>
  <c r="AK12" i="80"/>
  <c r="AN12" i="80" s="1"/>
  <c r="AI41" i="108"/>
  <c r="S13" i="110"/>
  <c r="T13" i="110" s="1"/>
  <c r="V13" i="110" s="1"/>
  <c r="AK21" i="85"/>
  <c r="AP21" i="85" s="1"/>
  <c r="AI11" i="86"/>
  <c r="S14" i="81"/>
  <c r="T14" i="81" s="1"/>
  <c r="V14" i="81" s="1"/>
  <c r="W14" i="81" s="1"/>
  <c r="S11" i="100"/>
  <c r="T11" i="100" s="1"/>
  <c r="V11" i="100" s="1"/>
  <c r="AI22" i="99"/>
  <c r="AM21" i="80"/>
  <c r="AK21" i="80"/>
  <c r="AI14" i="101"/>
  <c r="AI45" i="84"/>
  <c r="AI11" i="80"/>
  <c r="AK11" i="80"/>
  <c r="AI16" i="103"/>
  <c r="S21" i="86"/>
  <c r="T21" i="86" s="1"/>
  <c r="V21" i="86" s="1"/>
  <c r="AN13" i="99"/>
  <c r="W13" i="99" s="1"/>
  <c r="T17" i="81"/>
  <c r="V17" i="81" s="1"/>
  <c r="P25" i="80"/>
  <c r="S45" i="108"/>
  <c r="T45" i="108" s="1"/>
  <c r="V45" i="108" s="1"/>
  <c r="O15" i="101"/>
  <c r="M23" i="101"/>
  <c r="AI34" i="102"/>
  <c r="AK34" i="102"/>
  <c r="S29" i="102"/>
  <c r="T29" i="102" s="1"/>
  <c r="V29" i="102" s="1"/>
  <c r="S15" i="105"/>
  <c r="T15" i="105" s="1"/>
  <c r="V15" i="105" s="1"/>
  <c r="S23" i="103"/>
  <c r="T23" i="103" s="1"/>
  <c r="V23" i="103" s="1"/>
  <c r="AN20" i="99"/>
  <c r="T19" i="105"/>
  <c r="V19" i="105" s="1"/>
  <c r="AI19" i="105" s="1"/>
  <c r="AK46" i="108"/>
  <c r="AL46" i="108" s="1"/>
  <c r="W46" i="108"/>
  <c r="AI46" i="108"/>
  <c r="AK17" i="107"/>
  <c r="AL17" i="107" s="1"/>
  <c r="W17" i="107"/>
  <c r="AI17" i="107"/>
  <c r="AI13" i="101"/>
  <c r="W13" i="101"/>
  <c r="AK13" i="101"/>
  <c r="AL13" i="101" s="1"/>
  <c r="W22" i="85"/>
  <c r="AK22" i="85"/>
  <c r="AI22" i="85"/>
  <c r="Q25" i="105"/>
  <c r="R25" i="105"/>
  <c r="R9" i="109"/>
  <c r="R25" i="109" s="1"/>
  <c r="Q9" i="109"/>
  <c r="S32" i="84"/>
  <c r="T32" i="84" s="1"/>
  <c r="V32" i="84" s="1"/>
  <c r="O28" i="86"/>
  <c r="S18" i="108"/>
  <c r="T18" i="108" s="1"/>
  <c r="V18" i="108" s="1"/>
  <c r="S31" i="84"/>
  <c r="T31" i="84" s="1"/>
  <c r="V31" i="84" s="1"/>
  <c r="P13" i="105"/>
  <c r="S32" i="102"/>
  <c r="T32" i="102" s="1"/>
  <c r="V32" i="102" s="1"/>
  <c r="S10" i="107"/>
  <c r="T10" i="107" s="1"/>
  <c r="AQ24" i="103"/>
  <c r="T16" i="86"/>
  <c r="V16" i="86" s="1"/>
  <c r="W16" i="86" s="1"/>
  <c r="S20" i="84"/>
  <c r="T20" i="84" s="1"/>
  <c r="V20" i="84" s="1"/>
  <c r="T9" i="84"/>
  <c r="V9" i="84" s="1"/>
  <c r="P25" i="109"/>
  <c r="T18" i="81"/>
  <c r="V18" i="81" s="1"/>
  <c r="AI18" i="81" s="1"/>
  <c r="S21" i="101"/>
  <c r="T21" i="101" s="1"/>
  <c r="V21" i="101" s="1"/>
  <c r="S17" i="105"/>
  <c r="T17" i="105" s="1"/>
  <c r="V17" i="105" s="1"/>
  <c r="T17" i="84"/>
  <c r="V17" i="84" s="1"/>
  <c r="W17" i="84" s="1"/>
  <c r="S16" i="108"/>
  <c r="T16" i="108" s="1"/>
  <c r="V16" i="108" s="1"/>
  <c r="AK21" i="102"/>
  <c r="AI21" i="102"/>
  <c r="AI51" i="108"/>
  <c r="AK51" i="108"/>
  <c r="AL51" i="108" s="1"/>
  <c r="W51" i="108"/>
  <c r="T12" i="108"/>
  <c r="V12" i="108" s="1"/>
  <c r="T15" i="102"/>
  <c r="V15" i="102" s="1"/>
  <c r="AL10" i="101"/>
  <c r="AM10" i="101" s="1"/>
  <c r="AP10" i="101"/>
  <c r="S23" i="99"/>
  <c r="T23" i="99" s="1"/>
  <c r="V23" i="99" s="1"/>
  <c r="O20" i="108"/>
  <c r="O52" i="108" s="1"/>
  <c r="M65" i="108"/>
  <c r="M67" i="108" s="1"/>
  <c r="M52" i="108"/>
  <c r="S10" i="81"/>
  <c r="T10" i="81" s="1"/>
  <c r="V10" i="81" s="1"/>
  <c r="S17" i="86"/>
  <c r="T17" i="86" s="1"/>
  <c r="V17" i="86" s="1"/>
  <c r="AL16" i="102"/>
  <c r="AM16" i="102" s="1"/>
  <c r="AN16" i="102"/>
  <c r="AP16" i="102"/>
  <c r="AI21" i="104"/>
  <c r="AK21" i="104"/>
  <c r="AL21" i="104" s="1"/>
  <c r="W21" i="104"/>
  <c r="AL10" i="104"/>
  <c r="AM10" i="104" s="1"/>
  <c r="AP10" i="104"/>
  <c r="AN10" i="104"/>
  <c r="S36" i="102"/>
  <c r="T36" i="102" s="1"/>
  <c r="V36" i="102" s="1"/>
  <c r="AK15" i="107"/>
  <c r="AL15" i="107" s="1"/>
  <c r="AI15" i="84"/>
  <c r="AK15" i="84"/>
  <c r="AK16" i="86"/>
  <c r="AL16" i="86" s="1"/>
  <c r="AK24" i="102"/>
  <c r="AL24" i="102" s="1"/>
  <c r="AI24" i="102"/>
  <c r="W24" i="102"/>
  <c r="W38" i="102"/>
  <c r="AI38" i="102"/>
  <c r="AK38" i="102"/>
  <c r="AL38" i="102" s="1"/>
  <c r="AK48" i="84"/>
  <c r="AL48" i="84" s="1"/>
  <c r="W48" i="84"/>
  <c r="AI48" i="84"/>
  <c r="AM18" i="99"/>
  <c r="AK18" i="99"/>
  <c r="W18" i="99"/>
  <c r="AI18" i="99"/>
  <c r="AJ18" i="99"/>
  <c r="Q19" i="107"/>
  <c r="R19" i="107"/>
  <c r="P23" i="107"/>
  <c r="W24" i="84"/>
  <c r="AK24" i="84"/>
  <c r="AL24" i="84" s="1"/>
  <c r="AI24" i="84"/>
  <c r="AI28" i="84"/>
  <c r="AK28" i="84"/>
  <c r="W20" i="86"/>
  <c r="AK20" i="86"/>
  <c r="AL20" i="86" s="1"/>
  <c r="AI20" i="86"/>
  <c r="AK46" i="84"/>
  <c r="AL46" i="84" s="1"/>
  <c r="AI46" i="84"/>
  <c r="W46" i="84"/>
  <c r="AI20" i="102"/>
  <c r="AK20" i="102"/>
  <c r="W18" i="85"/>
  <c r="R20" i="110"/>
  <c r="R28" i="110" s="1"/>
  <c r="Q20" i="110"/>
  <c r="P28" i="110"/>
  <c r="W22" i="103"/>
  <c r="AK22" i="103"/>
  <c r="AI22" i="103"/>
  <c r="AK17" i="109"/>
  <c r="W17" i="109"/>
  <c r="AI17" i="109"/>
  <c r="AI16" i="110"/>
  <c r="AK16" i="110"/>
  <c r="AL16" i="110" s="1"/>
  <c r="W16" i="110"/>
  <c r="W35" i="84"/>
  <c r="AI35" i="84"/>
  <c r="AK35" i="84"/>
  <c r="AL35" i="84" s="1"/>
  <c r="AK17" i="84"/>
  <c r="AL17" i="84" s="1"/>
  <c r="AM17" i="84" s="1"/>
  <c r="AM19" i="105"/>
  <c r="AJ19" i="105"/>
  <c r="W19" i="105"/>
  <c r="AP24" i="109"/>
  <c r="AL24" i="109"/>
  <c r="AN24" i="109"/>
  <c r="V9" i="80"/>
  <c r="AL9" i="101"/>
  <c r="AM9" i="101" s="1"/>
  <c r="R64" i="108"/>
  <c r="AL43" i="108"/>
  <c r="AM43" i="108" s="1"/>
  <c r="AN43" i="108"/>
  <c r="AP43" i="108"/>
  <c r="AK50" i="102"/>
  <c r="AL50" i="102" s="1"/>
  <c r="W50" i="102"/>
  <c r="AI50" i="102"/>
  <c r="W17" i="85"/>
  <c r="AK17" i="85"/>
  <c r="AI17" i="85"/>
  <c r="K16" i="42"/>
  <c r="N10" i="42"/>
  <c r="N16" i="42" s="1"/>
  <c r="AL12" i="109"/>
  <c r="AN12" i="109"/>
  <c r="AP12" i="109"/>
  <c r="AL14" i="103"/>
  <c r="AN14" i="103"/>
  <c r="AP14" i="103"/>
  <c r="AN14" i="104"/>
  <c r="AP14" i="104"/>
  <c r="AP43" i="84"/>
  <c r="AN43" i="84"/>
  <c r="AL43" i="84"/>
  <c r="AM43" i="84" s="1"/>
  <c r="AN24" i="85"/>
  <c r="AP24" i="85"/>
  <c r="AL24" i="85"/>
  <c r="S36" i="84"/>
  <c r="T36" i="84" s="1"/>
  <c r="V36" i="84" s="1"/>
  <c r="P10" i="100"/>
  <c r="S18" i="80"/>
  <c r="T18" i="80" s="1"/>
  <c r="V18" i="80" s="1"/>
  <c r="H9" i="177"/>
  <c r="H55" i="540" s="1"/>
  <c r="P22" i="102"/>
  <c r="AN16" i="80"/>
  <c r="S35" i="102"/>
  <c r="T35" i="102" s="1"/>
  <c r="V35" i="102" s="1"/>
  <c r="P11" i="108"/>
  <c r="T21" i="109"/>
  <c r="V21" i="109" s="1"/>
  <c r="S15" i="104"/>
  <c r="T15" i="104" s="1"/>
  <c r="S47" i="108"/>
  <c r="T47" i="108" s="1"/>
  <c r="V47" i="108" s="1"/>
  <c r="S11" i="85"/>
  <c r="T11" i="85" s="1"/>
  <c r="V11" i="85" s="1"/>
  <c r="AN16" i="105"/>
  <c r="S19" i="102"/>
  <c r="S33" i="102"/>
  <c r="T33" i="102" s="1"/>
  <c r="V33" i="102" s="1"/>
  <c r="T13" i="80"/>
  <c r="V13" i="80" s="1"/>
  <c r="S12" i="103"/>
  <c r="T12" i="103" s="1"/>
  <c r="S21" i="107"/>
  <c r="T21" i="107" s="1"/>
  <c r="V21" i="107" s="1"/>
  <c r="O65" i="102"/>
  <c r="O67" i="102" s="1"/>
  <c r="S44" i="102"/>
  <c r="T44" i="102" s="1"/>
  <c r="V44" i="102" s="1"/>
  <c r="S23" i="110"/>
  <c r="T23" i="110" s="1"/>
  <c r="V23" i="110" s="1"/>
  <c r="S12" i="81"/>
  <c r="S10" i="85"/>
  <c r="T10" i="85" s="1"/>
  <c r="V10" i="85" s="1"/>
  <c r="S19" i="109"/>
  <c r="T19" i="109" s="1"/>
  <c r="V19" i="109" s="1"/>
  <c r="V10" i="99"/>
  <c r="V11" i="102"/>
  <c r="AK20" i="85"/>
  <c r="W20" i="85"/>
  <c r="W22" i="86"/>
  <c r="AI22" i="86"/>
  <c r="AK22" i="86"/>
  <c r="AL22" i="86" s="1"/>
  <c r="AI10" i="110"/>
  <c r="AK10" i="110"/>
  <c r="AP14" i="110"/>
  <c r="AL14" i="110"/>
  <c r="AN14" i="110"/>
  <c r="R14" i="85"/>
  <c r="Q14" i="85"/>
  <c r="AK21" i="84"/>
  <c r="AI21" i="84"/>
  <c r="AI16" i="85"/>
  <c r="AK16" i="85"/>
  <c r="W16" i="85"/>
  <c r="AI11" i="103"/>
  <c r="AK11" i="103"/>
  <c r="M25" i="85"/>
  <c r="O9" i="85"/>
  <c r="O25" i="85" s="1"/>
  <c r="R19" i="101"/>
  <c r="Q19" i="101"/>
  <c r="W27" i="99"/>
  <c r="AI27" i="99"/>
  <c r="AK27" i="99"/>
  <c r="AJ27" i="99"/>
  <c r="AM27" i="99"/>
  <c r="AK18" i="84"/>
  <c r="AL18" i="84" s="1"/>
  <c r="AI18" i="84"/>
  <c r="W18" i="84"/>
  <c r="AP34" i="108"/>
  <c r="AL34" i="108"/>
  <c r="AN34" i="108"/>
  <c r="AN20" i="103"/>
  <c r="AP20" i="103"/>
  <c r="AP14" i="108"/>
  <c r="AN14" i="108"/>
  <c r="AL14" i="108"/>
  <c r="AM14" i="108" s="1"/>
  <c r="AN14" i="84"/>
  <c r="AP14" i="84"/>
  <c r="AL14" i="84"/>
  <c r="AM14" i="84" s="1"/>
  <c r="AN28" i="102"/>
  <c r="AP28" i="102"/>
  <c r="AL28" i="102"/>
  <c r="Q65" i="84"/>
  <c r="R65" i="84"/>
  <c r="AQ15" i="109"/>
  <c r="T14" i="107"/>
  <c r="V14" i="107" s="1"/>
  <c r="AQ14" i="109"/>
  <c r="P19" i="103"/>
  <c r="T12" i="102"/>
  <c r="T10" i="103"/>
  <c r="V10" i="103" s="1"/>
  <c r="S14" i="106"/>
  <c r="T14" i="106" s="1"/>
  <c r="V14" i="106" s="1"/>
  <c r="AN20" i="80"/>
  <c r="R13" i="105"/>
  <c r="Q13" i="105"/>
  <c r="W26" i="99"/>
  <c r="AK26" i="99"/>
  <c r="AM26" i="99"/>
  <c r="AI26" i="99"/>
  <c r="AJ26" i="99"/>
  <c r="R19" i="86"/>
  <c r="R28" i="86" s="1"/>
  <c r="Q19" i="86"/>
  <c r="AJ10" i="105"/>
  <c r="AK10" i="105"/>
  <c r="AI10" i="105"/>
  <c r="AM10" i="105"/>
  <c r="AN12" i="84"/>
  <c r="AK12" i="84"/>
  <c r="AI12" i="84"/>
  <c r="AK15" i="103"/>
  <c r="W15" i="103"/>
  <c r="AI15" i="103"/>
  <c r="R14" i="99"/>
  <c r="Q14" i="99"/>
  <c r="P28" i="99"/>
  <c r="AI13" i="100"/>
  <c r="AK13" i="100"/>
  <c r="AL13" i="100" s="1"/>
  <c r="W13" i="100"/>
  <c r="W9" i="105"/>
  <c r="W25" i="84"/>
  <c r="AI25" i="84"/>
  <c r="AK25" i="84"/>
  <c r="AL25" i="84" s="1"/>
  <c r="W39" i="108"/>
  <c r="AK39" i="108"/>
  <c r="AL39" i="108" s="1"/>
  <c r="AI39" i="108"/>
  <c r="W16" i="109"/>
  <c r="AK16" i="109"/>
  <c r="AI16" i="109"/>
  <c r="AN22" i="109"/>
  <c r="AL22" i="109"/>
  <c r="AP22" i="109"/>
  <c r="AI28" i="108"/>
  <c r="AN21" i="85"/>
  <c r="P28" i="86"/>
  <c r="AN17" i="80"/>
  <c r="Q21" i="81"/>
  <c r="AN34" i="84"/>
  <c r="AP34" i="84"/>
  <c r="AL34" i="84"/>
  <c r="V12" i="101"/>
  <c r="AP29" i="108"/>
  <c r="AL29" i="108"/>
  <c r="AN29" i="108"/>
  <c r="AP13" i="109"/>
  <c r="AL13" i="109"/>
  <c r="AN13" i="109"/>
  <c r="AN23" i="109"/>
  <c r="AP23" i="109"/>
  <c r="AN9" i="104"/>
  <c r="AL9" i="104"/>
  <c r="AM9" i="104" s="1"/>
  <c r="AP9" i="104"/>
  <c r="AI22" i="84"/>
  <c r="W22" i="84"/>
  <c r="AK22" i="84"/>
  <c r="AL22" i="84" s="1"/>
  <c r="Q12" i="105"/>
  <c r="R12" i="105"/>
  <c r="P28" i="105"/>
  <c r="AI50" i="108"/>
  <c r="W50" i="108"/>
  <c r="AK50" i="108"/>
  <c r="AL50" i="108" s="1"/>
  <c r="AL21" i="108"/>
  <c r="AP21" i="108"/>
  <c r="AN21" i="108"/>
  <c r="Q64" i="108"/>
  <c r="AP13" i="103"/>
  <c r="AL13" i="103"/>
  <c r="AN13" i="103"/>
  <c r="AI16" i="84"/>
  <c r="Q18" i="104"/>
  <c r="Q28" i="104" s="1"/>
  <c r="R18" i="104"/>
  <c r="R28" i="104" s="1"/>
  <c r="AK18" i="101"/>
  <c r="AL18" i="101" s="1"/>
  <c r="W18" i="101"/>
  <c r="AI18" i="101"/>
  <c r="V14" i="102"/>
  <c r="K16" i="111"/>
  <c r="Q10" i="111"/>
  <c r="R25" i="102"/>
  <c r="Q25" i="102"/>
  <c r="AK23" i="104"/>
  <c r="AL23" i="104" s="1"/>
  <c r="W23" i="104"/>
  <c r="AI23" i="104"/>
  <c r="AK15" i="80"/>
  <c r="AM15" i="80"/>
  <c r="AJ15" i="80"/>
  <c r="AI15" i="80"/>
  <c r="AN9" i="107"/>
  <c r="AK9" i="107"/>
  <c r="AI9" i="107"/>
  <c r="AL16" i="103"/>
  <c r="AN16" i="103"/>
  <c r="AP16" i="103"/>
  <c r="Q28" i="110"/>
  <c r="AQ20" i="109"/>
  <c r="T9" i="86"/>
  <c r="AN14" i="105"/>
  <c r="S11" i="109"/>
  <c r="R21" i="81"/>
  <c r="S15" i="108"/>
  <c r="E29" i="174" l="1"/>
  <c r="E27" i="174" s="1"/>
  <c r="M55" i="540"/>
  <c r="D29" i="174"/>
  <c r="D27" i="174" s="1"/>
  <c r="AK19" i="81"/>
  <c r="AL19" i="81" s="1"/>
  <c r="W19" i="81"/>
  <c r="AQ10" i="101"/>
  <c r="W10" i="101" s="1"/>
  <c r="AI26" i="104"/>
  <c r="W26" i="105"/>
  <c r="AJ26" i="105"/>
  <c r="AN22" i="80"/>
  <c r="AN18" i="109"/>
  <c r="AQ18" i="109" s="1"/>
  <c r="AM26" i="105"/>
  <c r="AK17" i="104"/>
  <c r="AL17" i="104" s="1"/>
  <c r="W17" i="104"/>
  <c r="AP17" i="103"/>
  <c r="R11" i="107"/>
  <c r="R23" i="107" s="1"/>
  <c r="AL17" i="103"/>
  <c r="W18" i="81"/>
  <c r="AK27" i="108"/>
  <c r="AL27" i="108" s="1"/>
  <c r="AI14" i="81"/>
  <c r="AK20" i="81"/>
  <c r="AL20" i="81" s="1"/>
  <c r="Q28" i="99"/>
  <c r="S64" i="108"/>
  <c r="AI20" i="81"/>
  <c r="S14" i="85"/>
  <c r="AI16" i="81"/>
  <c r="S15" i="99"/>
  <c r="T15" i="99" s="1"/>
  <c r="V15" i="99" s="1"/>
  <c r="AJ15" i="99" s="1"/>
  <c r="AL29" i="84"/>
  <c r="AN17" i="99"/>
  <c r="AN12" i="99"/>
  <c r="S19" i="108"/>
  <c r="T19" i="108" s="1"/>
  <c r="V19" i="108" s="1"/>
  <c r="AN26" i="80"/>
  <c r="AP29" i="84"/>
  <c r="AI9" i="110"/>
  <c r="S18" i="103"/>
  <c r="T18" i="103" s="1"/>
  <c r="V18" i="103" s="1"/>
  <c r="AK18" i="103" s="1"/>
  <c r="AK9" i="100"/>
  <c r="AI19" i="106"/>
  <c r="W19" i="106"/>
  <c r="AK22" i="105"/>
  <c r="AJ22" i="105"/>
  <c r="AI30" i="108"/>
  <c r="AK30" i="108"/>
  <c r="AL30" i="108" s="1"/>
  <c r="AM30" i="108" s="1"/>
  <c r="W30" i="108"/>
  <c r="AK17" i="100"/>
  <c r="AL17" i="100" s="1"/>
  <c r="W23" i="85"/>
  <c r="W13" i="108"/>
  <c r="AI16" i="106"/>
  <c r="AP21" i="103"/>
  <c r="AQ34" i="108"/>
  <c r="W34" i="108" s="1"/>
  <c r="S20" i="110"/>
  <c r="S28" i="110" s="1"/>
  <c r="S19" i="107"/>
  <c r="T19" i="107" s="1"/>
  <c r="V19" i="107" s="1"/>
  <c r="AK19" i="107" s="1"/>
  <c r="AL19" i="107" s="1"/>
  <c r="S9" i="109"/>
  <c r="S25" i="109" s="1"/>
  <c r="W16" i="106"/>
  <c r="R11" i="106"/>
  <c r="R21" i="106" s="1"/>
  <c r="AI17" i="100"/>
  <c r="AN11" i="80"/>
  <c r="AQ9" i="101"/>
  <c r="W9" i="101" s="1"/>
  <c r="W23" i="108"/>
  <c r="AK23" i="108"/>
  <c r="AL23" i="108" s="1"/>
  <c r="W15" i="110"/>
  <c r="AI15" i="110"/>
  <c r="AK15" i="110"/>
  <c r="AL15" i="110" s="1"/>
  <c r="AI13" i="81"/>
  <c r="AK13" i="81"/>
  <c r="AL13" i="81" s="1"/>
  <c r="W13" i="81"/>
  <c r="W31" i="102"/>
  <c r="AK31" i="102"/>
  <c r="AL31" i="102" s="1"/>
  <c r="AI31" i="102"/>
  <c r="AK11" i="81"/>
  <c r="AL11" i="81" s="1"/>
  <c r="W11" i="81"/>
  <c r="AK10" i="109"/>
  <c r="W15" i="107"/>
  <c r="Q9" i="102"/>
  <c r="Q64" i="102" s="1"/>
  <c r="AI18" i="107"/>
  <c r="AI9" i="100"/>
  <c r="AK19" i="106"/>
  <c r="AL19" i="106" s="1"/>
  <c r="W22" i="105"/>
  <c r="AM27" i="105"/>
  <c r="AI27" i="105"/>
  <c r="AK27" i="105"/>
  <c r="AJ27" i="105"/>
  <c r="W27" i="105"/>
  <c r="S9" i="106"/>
  <c r="T9" i="106" s="1"/>
  <c r="V9" i="106" s="1"/>
  <c r="AI19" i="81"/>
  <c r="AL21" i="85"/>
  <c r="S11" i="84"/>
  <c r="T11" i="84" s="1"/>
  <c r="AQ24" i="85"/>
  <c r="AK18" i="81"/>
  <c r="AL18" i="81" s="1"/>
  <c r="AI22" i="105"/>
  <c r="AM22" i="105"/>
  <c r="P21" i="106"/>
  <c r="Q28" i="105"/>
  <c r="Q25" i="109"/>
  <c r="AQ17" i="103"/>
  <c r="AI17" i="84"/>
  <c r="AI32" i="108"/>
  <c r="AK24" i="108"/>
  <c r="AL24" i="108" s="1"/>
  <c r="W19" i="85"/>
  <c r="AI27" i="108"/>
  <c r="AL43" i="102"/>
  <c r="AM43" i="102" s="1"/>
  <c r="S66" i="102"/>
  <c r="R28" i="99"/>
  <c r="Q28" i="86"/>
  <c r="AK19" i="105"/>
  <c r="AN19" i="105" s="1"/>
  <c r="AI17" i="104"/>
  <c r="O25" i="103"/>
  <c r="R9" i="102"/>
  <c r="R64" i="102" s="1"/>
  <c r="AN23" i="105"/>
  <c r="AK27" i="110"/>
  <c r="AL27" i="110" s="1"/>
  <c r="AI27" i="110"/>
  <c r="W27" i="110"/>
  <c r="AK11" i="100"/>
  <c r="AL11" i="100" s="1"/>
  <c r="AI11" i="100"/>
  <c r="W12" i="107"/>
  <c r="AK12" i="107"/>
  <c r="AL12" i="107" s="1"/>
  <c r="AI12" i="107"/>
  <c r="AI22" i="110"/>
  <c r="AK22" i="110"/>
  <c r="AL22" i="110" s="1"/>
  <c r="W22" i="110"/>
  <c r="AQ21" i="108"/>
  <c r="W21" i="108" s="1"/>
  <c r="AN21" i="80"/>
  <c r="AQ10" i="108"/>
  <c r="W10" i="108" s="1"/>
  <c r="AN18" i="99"/>
  <c r="AQ10" i="104"/>
  <c r="W10" i="104" s="1"/>
  <c r="AL13" i="85"/>
  <c r="AP13" i="85"/>
  <c r="AN13" i="85"/>
  <c r="AN26" i="105"/>
  <c r="S25" i="102"/>
  <c r="T25" i="102" s="1"/>
  <c r="V25" i="102" s="1"/>
  <c r="AQ43" i="84"/>
  <c r="W43" i="84" s="1"/>
  <c r="AQ10" i="102"/>
  <c r="W10" i="102" s="1"/>
  <c r="AN10" i="81"/>
  <c r="AK10" i="81"/>
  <c r="AI10" i="81"/>
  <c r="W17" i="105"/>
  <c r="AK17" i="105"/>
  <c r="AI17" i="105"/>
  <c r="AJ17" i="105"/>
  <c r="AM17" i="105"/>
  <c r="AI19" i="104"/>
  <c r="W19" i="104"/>
  <c r="AK19" i="104"/>
  <c r="AL19" i="104" s="1"/>
  <c r="Q9" i="103"/>
  <c r="R9" i="103"/>
  <c r="AI31" i="84"/>
  <c r="AK31" i="84"/>
  <c r="AL31" i="84" s="1"/>
  <c r="W31" i="84"/>
  <c r="W23" i="103"/>
  <c r="AK23" i="103"/>
  <c r="AI18" i="108"/>
  <c r="AK18" i="108"/>
  <c r="AL18" i="108" s="1"/>
  <c r="W18" i="108"/>
  <c r="T64" i="108"/>
  <c r="V9" i="108"/>
  <c r="V64" i="108" s="1"/>
  <c r="AK12" i="85"/>
  <c r="AL12" i="85" s="1"/>
  <c r="AI12" i="85"/>
  <c r="W12" i="85"/>
  <c r="W11" i="101"/>
  <c r="AI11" i="101"/>
  <c r="AK11" i="101"/>
  <c r="AL11" i="101" s="1"/>
  <c r="AM23" i="99"/>
  <c r="AK23" i="99"/>
  <c r="AJ23" i="99"/>
  <c r="AI23" i="99"/>
  <c r="W23" i="99"/>
  <c r="AL22" i="85"/>
  <c r="AN22" i="85"/>
  <c r="AP22" i="85"/>
  <c r="AK45" i="108"/>
  <c r="AL45" i="108" s="1"/>
  <c r="W45" i="108"/>
  <c r="AI45" i="108"/>
  <c r="S65" i="84"/>
  <c r="AQ23" i="109"/>
  <c r="AQ34" i="84"/>
  <c r="W34" i="84" s="1"/>
  <c r="AI11" i="81"/>
  <c r="AN43" i="102"/>
  <c r="AQ43" i="102" s="1"/>
  <c r="W43" i="102" s="1"/>
  <c r="AN21" i="103"/>
  <c r="AN26" i="99"/>
  <c r="S13" i="105"/>
  <c r="T13" i="105" s="1"/>
  <c r="V13" i="105" s="1"/>
  <c r="AQ28" i="102"/>
  <c r="W28" i="102" s="1"/>
  <c r="P9" i="85"/>
  <c r="P25" i="85" s="1"/>
  <c r="T14" i="85"/>
  <c r="V14" i="85" s="1"/>
  <c r="W14" i="85" s="1"/>
  <c r="AQ24" i="109"/>
  <c r="W11" i="100"/>
  <c r="AI24" i="108"/>
  <c r="AK14" i="81"/>
  <c r="AL14" i="81" s="1"/>
  <c r="AK32" i="84"/>
  <c r="AI32" i="84"/>
  <c r="S25" i="105"/>
  <c r="T25" i="105" s="1"/>
  <c r="V25" i="105" s="1"/>
  <c r="AI29" i="102"/>
  <c r="AK29" i="102"/>
  <c r="R25" i="80"/>
  <c r="R28" i="80" s="1"/>
  <c r="Q25" i="80"/>
  <c r="P28" i="80"/>
  <c r="S51" i="84"/>
  <c r="T51" i="84" s="1"/>
  <c r="V51" i="84" s="1"/>
  <c r="AN11" i="99"/>
  <c r="W18" i="102"/>
  <c r="AI18" i="102"/>
  <c r="AK18" i="102"/>
  <c r="AL18" i="102" s="1"/>
  <c r="AQ13" i="103"/>
  <c r="R28" i="105"/>
  <c r="AQ29" i="108"/>
  <c r="W29" i="108" s="1"/>
  <c r="T66" i="102"/>
  <c r="S21" i="81"/>
  <c r="AI23" i="108"/>
  <c r="AK16" i="81"/>
  <c r="AL16" i="81" s="1"/>
  <c r="AI16" i="86"/>
  <c r="W36" i="102"/>
  <c r="AK36" i="102"/>
  <c r="AL36" i="102" s="1"/>
  <c r="AI36" i="102"/>
  <c r="W37" i="84"/>
  <c r="AI37" i="84"/>
  <c r="AK37" i="84"/>
  <c r="AL37" i="84" s="1"/>
  <c r="P20" i="108"/>
  <c r="P52" i="108" s="1"/>
  <c r="O65" i="108"/>
  <c r="O67" i="108" s="1"/>
  <c r="AK15" i="102"/>
  <c r="AI15" i="102"/>
  <c r="W27" i="102"/>
  <c r="AI27" i="102"/>
  <c r="AK27" i="102"/>
  <c r="AL27" i="102" s="1"/>
  <c r="AI48" i="108"/>
  <c r="AK48" i="108"/>
  <c r="AL48" i="108" s="1"/>
  <c r="W48" i="108"/>
  <c r="P15" i="101"/>
  <c r="O23" i="101"/>
  <c r="W17" i="81"/>
  <c r="AI17" i="81"/>
  <c r="AK17" i="81"/>
  <c r="AL17" i="81" s="1"/>
  <c r="R10" i="84"/>
  <c r="Q10" i="84"/>
  <c r="P64" i="84"/>
  <c r="P67" i="84" s="1"/>
  <c r="P52" i="84"/>
  <c r="AN9" i="110"/>
  <c r="AP9" i="110"/>
  <c r="AL9" i="110"/>
  <c r="AM9" i="110" s="1"/>
  <c r="AN11" i="105"/>
  <c r="AN12" i="108"/>
  <c r="AK12" i="108"/>
  <c r="AI12" i="108"/>
  <c r="AI17" i="86"/>
  <c r="W17" i="86"/>
  <c r="AK17" i="86"/>
  <c r="AL17" i="86" s="1"/>
  <c r="AL34" i="102"/>
  <c r="AN34" i="102"/>
  <c r="AP34" i="102"/>
  <c r="AI26" i="86"/>
  <c r="AK26" i="86"/>
  <c r="AL26" i="86" s="1"/>
  <c r="W26" i="86"/>
  <c r="AQ14" i="104"/>
  <c r="W14" i="104" s="1"/>
  <c r="AQ16" i="102"/>
  <c r="W16" i="102" s="1"/>
  <c r="AP21" i="102"/>
  <c r="AN21" i="102"/>
  <c r="AL21" i="102"/>
  <c r="AK15" i="105"/>
  <c r="AJ15" i="105"/>
  <c r="AM15" i="105"/>
  <c r="AI15" i="105"/>
  <c r="AK15" i="86"/>
  <c r="AL15" i="86" s="1"/>
  <c r="W15" i="86"/>
  <c r="AI15" i="86"/>
  <c r="AN14" i="80"/>
  <c r="S13" i="102"/>
  <c r="T13" i="102" s="1"/>
  <c r="V13" i="102" s="1"/>
  <c r="AP9" i="100"/>
  <c r="AQ9" i="100" s="1"/>
  <c r="W9" i="100" s="1"/>
  <c r="AL9" i="100"/>
  <c r="AM9" i="100" s="1"/>
  <c r="W21" i="107"/>
  <c r="AK21" i="107"/>
  <c r="AL21" i="107" s="1"/>
  <c r="AI21" i="107"/>
  <c r="AK35" i="102"/>
  <c r="AL35" i="102" s="1"/>
  <c r="W35" i="102"/>
  <c r="AI35" i="102"/>
  <c r="AK33" i="102"/>
  <c r="AL33" i="102" s="1"/>
  <c r="AI33" i="102"/>
  <c r="W33" i="102"/>
  <c r="AI47" i="108"/>
  <c r="W47" i="108"/>
  <c r="AK47" i="108"/>
  <c r="AL47" i="108" s="1"/>
  <c r="AI10" i="85"/>
  <c r="AK10" i="85"/>
  <c r="AK18" i="80"/>
  <c r="AI18" i="80"/>
  <c r="AM18" i="80"/>
  <c r="AJ18" i="80"/>
  <c r="W18" i="80"/>
  <c r="W23" i="110"/>
  <c r="AI23" i="110"/>
  <c r="AK23" i="110"/>
  <c r="AL23" i="110" s="1"/>
  <c r="AI10" i="86"/>
  <c r="AK10" i="86"/>
  <c r="AK36" i="84"/>
  <c r="AL36" i="84" s="1"/>
  <c r="AI36" i="84"/>
  <c r="W36" i="84"/>
  <c r="W19" i="109"/>
  <c r="AK19" i="109"/>
  <c r="V12" i="103"/>
  <c r="AP16" i="109"/>
  <c r="AN16" i="109"/>
  <c r="AL16" i="109"/>
  <c r="AK20" i="84"/>
  <c r="AI20" i="84"/>
  <c r="AK24" i="80"/>
  <c r="AJ24" i="80"/>
  <c r="W24" i="80"/>
  <c r="AM24" i="80"/>
  <c r="AI24" i="80"/>
  <c r="AN11" i="103"/>
  <c r="AP11" i="103"/>
  <c r="AL11" i="103"/>
  <c r="AP11" i="102"/>
  <c r="AN11" i="102"/>
  <c r="V66" i="102"/>
  <c r="AK11" i="102"/>
  <c r="AL11" i="102" s="1"/>
  <c r="AM11" i="102" s="1"/>
  <c r="AI11" i="102"/>
  <c r="AI14" i="102"/>
  <c r="AK14" i="102"/>
  <c r="AI21" i="109"/>
  <c r="AK21" i="109"/>
  <c r="W21" i="109"/>
  <c r="AK14" i="106"/>
  <c r="AL14" i="106" s="1"/>
  <c r="W14" i="106"/>
  <c r="AI14" i="106"/>
  <c r="AI44" i="102"/>
  <c r="W44" i="102"/>
  <c r="AK44" i="102"/>
  <c r="AL44" i="102" s="1"/>
  <c r="AN20" i="102"/>
  <c r="AL20" i="102"/>
  <c r="AM20" i="102" s="1"/>
  <c r="AP20" i="102"/>
  <c r="AP28" i="84"/>
  <c r="AN28" i="84"/>
  <c r="AL28" i="84"/>
  <c r="AP15" i="84"/>
  <c r="AN15" i="84"/>
  <c r="AL15" i="84"/>
  <c r="AP9" i="107"/>
  <c r="AQ9" i="107" s="1"/>
  <c r="W9" i="107" s="1"/>
  <c r="AL9" i="107"/>
  <c r="AM9" i="107" s="1"/>
  <c r="AP28" i="108"/>
  <c r="AL28" i="108"/>
  <c r="AN28" i="108"/>
  <c r="AK21" i="101"/>
  <c r="AL21" i="101" s="1"/>
  <c r="W21" i="101"/>
  <c r="AI21" i="101"/>
  <c r="AI10" i="103"/>
  <c r="AK10" i="103"/>
  <c r="V12" i="102"/>
  <c r="AK14" i="107"/>
  <c r="AL14" i="107" s="1"/>
  <c r="W14" i="107"/>
  <c r="AI14" i="107"/>
  <c r="AI32" i="102"/>
  <c r="AK32" i="102"/>
  <c r="AN16" i="85"/>
  <c r="AL16" i="85"/>
  <c r="AP16" i="85"/>
  <c r="AP10" i="110"/>
  <c r="AL10" i="110"/>
  <c r="AM10" i="110" s="1"/>
  <c r="AN10" i="110"/>
  <c r="W21" i="86"/>
  <c r="AI21" i="86"/>
  <c r="AK21" i="86"/>
  <c r="AL21" i="86" s="1"/>
  <c r="V9" i="81"/>
  <c r="AK13" i="80"/>
  <c r="AM13" i="80"/>
  <c r="AJ13" i="80"/>
  <c r="AI13" i="80"/>
  <c r="AI14" i="86"/>
  <c r="AK14" i="86"/>
  <c r="AI16" i="108"/>
  <c r="AK16" i="108"/>
  <c r="AI9" i="108"/>
  <c r="AQ14" i="108"/>
  <c r="W14" i="108" s="1"/>
  <c r="S19" i="101"/>
  <c r="T19" i="101" s="1"/>
  <c r="T65" i="84"/>
  <c r="Q23" i="107"/>
  <c r="AQ16" i="103"/>
  <c r="AN15" i="80"/>
  <c r="W15" i="80" s="1"/>
  <c r="S11" i="107"/>
  <c r="AQ9" i="104"/>
  <c r="W9" i="104" s="1"/>
  <c r="AQ22" i="109"/>
  <c r="AN10" i="105"/>
  <c r="AQ20" i="103"/>
  <c r="AN27" i="99"/>
  <c r="AQ14" i="110"/>
  <c r="W14" i="110" s="1"/>
  <c r="AQ12" i="109"/>
  <c r="AQ43" i="108"/>
  <c r="W43" i="108" s="1"/>
  <c r="AN17" i="105"/>
  <c r="T12" i="81"/>
  <c r="V12" i="81" s="1"/>
  <c r="AP16" i="84"/>
  <c r="AN16" i="84"/>
  <c r="AL16" i="84"/>
  <c r="AM16" i="84" s="1"/>
  <c r="AP12" i="85"/>
  <c r="AI13" i="110"/>
  <c r="AK13" i="110"/>
  <c r="AL13" i="110" s="1"/>
  <c r="W13" i="110"/>
  <c r="V15" i="104"/>
  <c r="AK20" i="106"/>
  <c r="AL20" i="106" s="1"/>
  <c r="AI20" i="106"/>
  <c r="W20" i="106"/>
  <c r="AP12" i="84"/>
  <c r="AQ12" i="84" s="1"/>
  <c r="W12" i="84" s="1"/>
  <c r="AL12" i="84"/>
  <c r="AM12" i="84" s="1"/>
  <c r="Q19" i="103"/>
  <c r="R19" i="103"/>
  <c r="P25" i="103"/>
  <c r="S66" i="84"/>
  <c r="AP20" i="85"/>
  <c r="AN20" i="85"/>
  <c r="AI15" i="85"/>
  <c r="W15" i="85"/>
  <c r="AK15" i="85"/>
  <c r="R10" i="100"/>
  <c r="R21" i="100" s="1"/>
  <c r="P21" i="100"/>
  <c r="Q10" i="100"/>
  <c r="Q21" i="100" s="1"/>
  <c r="AK9" i="80"/>
  <c r="AJ9" i="80"/>
  <c r="AI9" i="80"/>
  <c r="AM9" i="80"/>
  <c r="V9" i="86"/>
  <c r="Q16" i="111"/>
  <c r="W10" i="111"/>
  <c r="W16" i="111" s="1"/>
  <c r="AN9" i="84"/>
  <c r="AK9" i="84"/>
  <c r="AL9" i="84" s="1"/>
  <c r="AM9" i="84" s="1"/>
  <c r="AI9" i="84"/>
  <c r="AP9" i="84"/>
  <c r="AN15" i="103"/>
  <c r="AP15" i="103"/>
  <c r="AL15" i="103"/>
  <c r="AP21" i="84"/>
  <c r="AN21" i="84"/>
  <c r="AL21" i="84"/>
  <c r="AK10" i="99"/>
  <c r="AM10" i="99"/>
  <c r="AJ10" i="99"/>
  <c r="AI10" i="99"/>
  <c r="AM21" i="105"/>
  <c r="W21" i="105"/>
  <c r="AK21" i="105"/>
  <c r="AJ21" i="105"/>
  <c r="AI21" i="105"/>
  <c r="W25" i="108"/>
  <c r="AI25" i="108"/>
  <c r="AK25" i="108"/>
  <c r="AL25" i="108" s="1"/>
  <c r="R22" i="102"/>
  <c r="Q22" i="102"/>
  <c r="P65" i="102"/>
  <c r="P67" i="102" s="1"/>
  <c r="P52" i="102"/>
  <c r="AP32" i="108"/>
  <c r="AL32" i="108"/>
  <c r="AN32" i="108"/>
  <c r="AP18" i="85"/>
  <c r="AN18" i="85"/>
  <c r="AP23" i="85"/>
  <c r="AN23" i="85"/>
  <c r="AQ23" i="85" s="1"/>
  <c r="AN19" i="85"/>
  <c r="AP19" i="85"/>
  <c r="S19" i="86"/>
  <c r="S28" i="86" s="1"/>
  <c r="Q21" i="106"/>
  <c r="S18" i="104"/>
  <c r="T18" i="104" s="1"/>
  <c r="V18" i="104" s="1"/>
  <c r="S12" i="105"/>
  <c r="AQ13" i="109"/>
  <c r="AQ21" i="85"/>
  <c r="S14" i="99"/>
  <c r="T15" i="108"/>
  <c r="AQ14" i="84"/>
  <c r="W14" i="84" s="1"/>
  <c r="AQ14" i="103"/>
  <c r="AQ29" i="84"/>
  <c r="W29" i="84" s="1"/>
  <c r="T11" i="109"/>
  <c r="W12" i="101"/>
  <c r="AI12" i="101"/>
  <c r="AK12" i="101"/>
  <c r="AL12" i="101" s="1"/>
  <c r="W13" i="106"/>
  <c r="AI13" i="106"/>
  <c r="AK13" i="106"/>
  <c r="AL13" i="106" s="1"/>
  <c r="R11" i="108"/>
  <c r="Q11" i="108"/>
  <c r="P66" i="108"/>
  <c r="AN17" i="85"/>
  <c r="AP17" i="85"/>
  <c r="AL17" i="85"/>
  <c r="AK11" i="85"/>
  <c r="AI11" i="85"/>
  <c r="AP17" i="109"/>
  <c r="AL17" i="109"/>
  <c r="AN17" i="109"/>
  <c r="AN10" i="106"/>
  <c r="AI10" i="106"/>
  <c r="AK10" i="106"/>
  <c r="AP22" i="103"/>
  <c r="AL22" i="103"/>
  <c r="AN22" i="103"/>
  <c r="V10" i="107"/>
  <c r="AI11" i="110"/>
  <c r="AK11" i="110"/>
  <c r="AL11" i="110" s="1"/>
  <c r="W11" i="110"/>
  <c r="W13" i="84"/>
  <c r="V65" i="84"/>
  <c r="AI13" i="84"/>
  <c r="AK13" i="84"/>
  <c r="AL13" i="84" s="1"/>
  <c r="T19" i="102"/>
  <c r="D72" i="174" l="1"/>
  <c r="D75" i="174" s="1"/>
  <c r="M41" i="519"/>
  <c r="M39" i="519" s="1"/>
  <c r="E72" i="174"/>
  <c r="E75" i="174" s="1"/>
  <c r="N41" i="519"/>
  <c r="N39" i="519" s="1"/>
  <c r="N33" i="519" s="1"/>
  <c r="N26" i="519" s="1"/>
  <c r="AI15" i="99"/>
  <c r="AM15" i="99"/>
  <c r="S19" i="103"/>
  <c r="AQ21" i="103"/>
  <c r="AK15" i="99"/>
  <c r="AK9" i="108"/>
  <c r="AL9" i="108" s="1"/>
  <c r="AM9" i="108" s="1"/>
  <c r="S28" i="105"/>
  <c r="T9" i="109"/>
  <c r="V9" i="109" s="1"/>
  <c r="AI9" i="109" s="1"/>
  <c r="AP9" i="108"/>
  <c r="N99" i="519"/>
  <c r="N66" i="519" s="1"/>
  <c r="Q25" i="103"/>
  <c r="Q9" i="85"/>
  <c r="Q25" i="85" s="1"/>
  <c r="AI19" i="107"/>
  <c r="W18" i="103"/>
  <c r="AN27" i="105"/>
  <c r="S23" i="107"/>
  <c r="R9" i="85"/>
  <c r="R25" i="85" s="1"/>
  <c r="W19" i="107"/>
  <c r="AQ13" i="85"/>
  <c r="AN22" i="105"/>
  <c r="AN24" i="80"/>
  <c r="AQ16" i="109"/>
  <c r="AN10" i="99"/>
  <c r="S11" i="106"/>
  <c r="S21" i="106" s="1"/>
  <c r="T20" i="110"/>
  <c r="F9" i="177"/>
  <c r="AK9" i="106"/>
  <c r="AI9" i="106"/>
  <c r="AN9" i="106"/>
  <c r="AI25" i="102"/>
  <c r="AK25" i="102"/>
  <c r="AL25" i="102" s="1"/>
  <c r="AQ9" i="110"/>
  <c r="W9" i="110" s="1"/>
  <c r="AK19" i="108"/>
  <c r="AL19" i="108" s="1"/>
  <c r="AI19" i="108"/>
  <c r="W19" i="108"/>
  <c r="AP10" i="109"/>
  <c r="AN10" i="109"/>
  <c r="AQ22" i="103"/>
  <c r="AQ16" i="85"/>
  <c r="AL10" i="109"/>
  <c r="AM10" i="109" s="1"/>
  <c r="AQ17" i="85"/>
  <c r="S22" i="102"/>
  <c r="T22" i="102" s="1"/>
  <c r="AN9" i="108"/>
  <c r="AQ9" i="108" s="1"/>
  <c r="W9" i="108" s="1"/>
  <c r="S9" i="102"/>
  <c r="S64" i="102" s="1"/>
  <c r="AQ28" i="84"/>
  <c r="W28" i="84" s="1"/>
  <c r="AN18" i="80"/>
  <c r="AN23" i="99"/>
  <c r="AN15" i="99"/>
  <c r="W15" i="99" s="1"/>
  <c r="AQ21" i="84"/>
  <c r="W21" i="84" s="1"/>
  <c r="T21" i="81"/>
  <c r="T9" i="102"/>
  <c r="W13" i="102"/>
  <c r="AI13" i="102"/>
  <c r="AK13" i="102"/>
  <c r="AL13" i="102" s="1"/>
  <c r="AI13" i="105"/>
  <c r="AM13" i="105"/>
  <c r="AJ13" i="105"/>
  <c r="AK13" i="105"/>
  <c r="AQ32" i="108"/>
  <c r="W32" i="108" s="1"/>
  <c r="T19" i="86"/>
  <c r="W25" i="102"/>
  <c r="AK14" i="85"/>
  <c r="AP14" i="85" s="1"/>
  <c r="Q64" i="84"/>
  <c r="Q67" i="84" s="1"/>
  <c r="Q52" i="84"/>
  <c r="AN32" i="84"/>
  <c r="AP32" i="84"/>
  <c r="AL32" i="84"/>
  <c r="W51" i="84"/>
  <c r="AI51" i="84"/>
  <c r="AK51" i="84"/>
  <c r="AL51" i="84" s="1"/>
  <c r="AP23" i="103"/>
  <c r="AN23" i="103"/>
  <c r="S11" i="108"/>
  <c r="T11" i="108" s="1"/>
  <c r="AQ19" i="85"/>
  <c r="AQ15" i="103"/>
  <c r="T19" i="103"/>
  <c r="V19" i="103" s="1"/>
  <c r="AK19" i="103" s="1"/>
  <c r="AN12" i="85"/>
  <c r="AQ12" i="85" s="1"/>
  <c r="AQ11" i="102"/>
  <c r="W11" i="102" s="1"/>
  <c r="W66" i="102" s="1"/>
  <c r="X66" i="102" s="1"/>
  <c r="AI14" i="85"/>
  <c r="AN15" i="105"/>
  <c r="W15" i="105" s="1"/>
  <c r="AQ34" i="102"/>
  <c r="W34" i="102" s="1"/>
  <c r="S10" i="84"/>
  <c r="T10" i="84" s="1"/>
  <c r="T52" i="84" s="1"/>
  <c r="R64" i="84"/>
  <c r="R67" i="84" s="1"/>
  <c r="R52" i="84"/>
  <c r="AN15" i="102"/>
  <c r="AP15" i="102"/>
  <c r="AL15" i="102"/>
  <c r="AQ22" i="85"/>
  <c r="S9" i="103"/>
  <c r="T9" i="103" s="1"/>
  <c r="Q15" i="101"/>
  <c r="Q23" i="101" s="1"/>
  <c r="R15" i="101"/>
  <c r="R23" i="101" s="1"/>
  <c r="P23" i="101"/>
  <c r="AN18" i="103"/>
  <c r="AP18" i="103"/>
  <c r="W25" i="105"/>
  <c r="AM25" i="105"/>
  <c r="AJ25" i="105"/>
  <c r="AK25" i="105"/>
  <c r="AI25" i="105"/>
  <c r="R25" i="103"/>
  <c r="AQ11" i="103"/>
  <c r="W11" i="103" s="1"/>
  <c r="AQ21" i="102"/>
  <c r="W21" i="102" s="1"/>
  <c r="AL12" i="108"/>
  <c r="AM12" i="108" s="1"/>
  <c r="AP12" i="108"/>
  <c r="AQ12" i="108" s="1"/>
  <c r="W12" i="108" s="1"/>
  <c r="Q20" i="108"/>
  <c r="Q65" i="108" s="1"/>
  <c r="R20" i="108"/>
  <c r="R65" i="108" s="1"/>
  <c r="P65" i="108"/>
  <c r="P67" i="108" s="1"/>
  <c r="S25" i="80"/>
  <c r="Q28" i="80"/>
  <c r="AP29" i="102"/>
  <c r="AN29" i="102"/>
  <c r="AL29" i="102"/>
  <c r="AP10" i="81"/>
  <c r="AQ10" i="81" s="1"/>
  <c r="W10" i="81" s="1"/>
  <c r="AL10" i="81"/>
  <c r="AM10" i="81" s="1"/>
  <c r="AL10" i="106"/>
  <c r="AM10" i="106" s="1"/>
  <c r="AP10" i="106"/>
  <c r="AQ10" i="106" s="1"/>
  <c r="W10" i="106" s="1"/>
  <c r="T14" i="99"/>
  <c r="S28" i="99"/>
  <c r="W10" i="99"/>
  <c r="AK9" i="86"/>
  <c r="AI9" i="86"/>
  <c r="V19" i="101"/>
  <c r="AN10" i="85"/>
  <c r="AP10" i="85"/>
  <c r="AL10" i="85"/>
  <c r="AM10" i="85" s="1"/>
  <c r="V19" i="102"/>
  <c r="AI10" i="107"/>
  <c r="AN10" i="107"/>
  <c r="AK10" i="107"/>
  <c r="R66" i="108"/>
  <c r="R67" i="108" s="1"/>
  <c r="R52" i="108"/>
  <c r="V11" i="109"/>
  <c r="Q52" i="102"/>
  <c r="Q65" i="102"/>
  <c r="Q67" i="102" s="1"/>
  <c r="AI15" i="104"/>
  <c r="W15" i="104"/>
  <c r="AK15" i="104"/>
  <c r="AL15" i="104" s="1"/>
  <c r="V28" i="104"/>
  <c r="I33" i="104" s="1"/>
  <c r="K33" i="104" s="1"/>
  <c r="AI12" i="81"/>
  <c r="W12" i="81"/>
  <c r="AK12" i="81"/>
  <c r="AL12" i="81" s="1"/>
  <c r="AN9" i="81"/>
  <c r="AK9" i="81"/>
  <c r="AI9" i="81"/>
  <c r="V21" i="81"/>
  <c r="AK12" i="102"/>
  <c r="AI12" i="102"/>
  <c r="AN12" i="102"/>
  <c r="AN21" i="109"/>
  <c r="AL21" i="109"/>
  <c r="AP21" i="109"/>
  <c r="AP14" i="102"/>
  <c r="AL14" i="102"/>
  <c r="AM14" i="102" s="1"/>
  <c r="AN14" i="102"/>
  <c r="AN20" i="84"/>
  <c r="AP20" i="84"/>
  <c r="AL20" i="84"/>
  <c r="AM20" i="84" s="1"/>
  <c r="AN19" i="109"/>
  <c r="AP19" i="109"/>
  <c r="AQ17" i="109"/>
  <c r="AQ20" i="85"/>
  <c r="AQ16" i="84"/>
  <c r="W16" i="84" s="1"/>
  <c r="T12" i="105"/>
  <c r="AQ10" i="110"/>
  <c r="W10" i="110" s="1"/>
  <c r="AQ28" i="108"/>
  <c r="W28" i="108" s="1"/>
  <c r="AQ15" i="84"/>
  <c r="W15" i="84" s="1"/>
  <c r="AI18" i="104"/>
  <c r="AK18" i="104"/>
  <c r="AL18" i="104" s="1"/>
  <c r="W18" i="104"/>
  <c r="AN10" i="103"/>
  <c r="AL10" i="103"/>
  <c r="AM10" i="103" s="1"/>
  <c r="AP10" i="103"/>
  <c r="AN11" i="85"/>
  <c r="AP11" i="85"/>
  <c r="AL11" i="85"/>
  <c r="Q66" i="108"/>
  <c r="V15" i="108"/>
  <c r="R65" i="102"/>
  <c r="R67" i="102" s="1"/>
  <c r="R52" i="102"/>
  <c r="AP16" i="108"/>
  <c r="AN16" i="108"/>
  <c r="AL16" i="108"/>
  <c r="AM16" i="108" s="1"/>
  <c r="W12" i="103"/>
  <c r="AK12" i="103"/>
  <c r="AI12" i="103"/>
  <c r="AQ18" i="85"/>
  <c r="AN21" i="105"/>
  <c r="AN9" i="80"/>
  <c r="S10" i="100"/>
  <c r="S21" i="100" s="1"/>
  <c r="T28" i="104"/>
  <c r="AN13" i="80"/>
  <c r="W13" i="80" s="1"/>
  <c r="AQ20" i="102"/>
  <c r="W20" i="102" s="1"/>
  <c r="S9" i="85"/>
  <c r="S25" i="85" s="1"/>
  <c r="T11" i="107"/>
  <c r="AL15" i="85"/>
  <c r="AN15" i="85"/>
  <c r="AP15" i="85"/>
  <c r="T66" i="84"/>
  <c r="V11" i="84"/>
  <c r="W10" i="105"/>
  <c r="AP14" i="86"/>
  <c r="AL14" i="86"/>
  <c r="AN14" i="86"/>
  <c r="AP32" i="102"/>
  <c r="AN32" i="102"/>
  <c r="AL32" i="102"/>
  <c r="AN10" i="86"/>
  <c r="AP10" i="86"/>
  <c r="AL10" i="86"/>
  <c r="AM10" i="86" s="1"/>
  <c r="AQ9" i="84"/>
  <c r="W9" i="84" s="1"/>
  <c r="S28" i="104"/>
  <c r="N25" i="519" l="1"/>
  <c r="H61" i="537"/>
  <c r="C105" i="136"/>
  <c r="C106" i="136" s="1"/>
  <c r="F24" i="177"/>
  <c r="C73" i="174"/>
  <c r="C75" i="174" s="1"/>
  <c r="L58" i="537"/>
  <c r="H62" i="537"/>
  <c r="C29" i="174"/>
  <c r="C27" i="174" s="1"/>
  <c r="E37" i="174"/>
  <c r="D37" i="174"/>
  <c r="D74" i="174"/>
  <c r="T25" i="109"/>
  <c r="AK9" i="109"/>
  <c r="AN14" i="85"/>
  <c r="AL14" i="85"/>
  <c r="M33" i="519"/>
  <c r="M26" i="519" s="1"/>
  <c r="S52" i="102"/>
  <c r="V22" i="102"/>
  <c r="V65" i="102" s="1"/>
  <c r="T65" i="102"/>
  <c r="T9" i="85"/>
  <c r="V9" i="85" s="1"/>
  <c r="T11" i="106"/>
  <c r="S65" i="102"/>
  <c r="S67" i="102" s="1"/>
  <c r="S15" i="101"/>
  <c r="S23" i="101" s="1"/>
  <c r="W64" i="108"/>
  <c r="X64" i="108" s="1"/>
  <c r="V20" i="110"/>
  <c r="T28" i="110"/>
  <c r="T52" i="102"/>
  <c r="W19" i="103"/>
  <c r="S66" i="108"/>
  <c r="AQ15" i="85"/>
  <c r="W28" i="104"/>
  <c r="J33" i="104" s="1"/>
  <c r="L33" i="104" s="1"/>
  <c r="AN13" i="105"/>
  <c r="W13" i="105" s="1"/>
  <c r="AQ10" i="109"/>
  <c r="W10" i="109" s="1"/>
  <c r="AL9" i="106"/>
  <c r="AM9" i="106" s="1"/>
  <c r="AP9" i="106"/>
  <c r="AQ9" i="106" s="1"/>
  <c r="W9" i="106" s="1"/>
  <c r="V9" i="102"/>
  <c r="T64" i="102"/>
  <c r="AQ23" i="103"/>
  <c r="S20" i="108"/>
  <c r="S65" i="108" s="1"/>
  <c r="S67" i="108" s="1"/>
  <c r="AN25" i="105"/>
  <c r="Q52" i="108"/>
  <c r="AQ18" i="103"/>
  <c r="AQ15" i="102"/>
  <c r="W15" i="102" s="1"/>
  <c r="T66" i="108"/>
  <c r="V11" i="108"/>
  <c r="AK11" i="108" s="1"/>
  <c r="AL11" i="108" s="1"/>
  <c r="AM11" i="108" s="1"/>
  <c r="V9" i="103"/>
  <c r="T25" i="103"/>
  <c r="T25" i="80"/>
  <c r="S28" i="80"/>
  <c r="T10" i="100"/>
  <c r="T21" i="100" s="1"/>
  <c r="AQ14" i="85"/>
  <c r="AQ29" i="102"/>
  <c r="W29" i="102" s="1"/>
  <c r="S25" i="103"/>
  <c r="V19" i="86"/>
  <c r="T28" i="86"/>
  <c r="AQ10" i="86"/>
  <c r="W10" i="86" s="1"/>
  <c r="Q67" i="108"/>
  <c r="V10" i="84"/>
  <c r="V52" i="84" s="1"/>
  <c r="T64" i="84"/>
  <c r="T67" i="84" s="1"/>
  <c r="AN9" i="109"/>
  <c r="AP9" i="109"/>
  <c r="AL9" i="109"/>
  <c r="AM9" i="109" s="1"/>
  <c r="S64" i="84"/>
  <c r="S67" i="84" s="1"/>
  <c r="S52" i="84"/>
  <c r="AQ32" i="84"/>
  <c r="W32" i="84" s="1"/>
  <c r="W9" i="80"/>
  <c r="V11" i="106"/>
  <c r="T21" i="106"/>
  <c r="AI11" i="109"/>
  <c r="AK11" i="109"/>
  <c r="V25" i="109"/>
  <c r="I31" i="109" s="1"/>
  <c r="K31" i="109" s="1"/>
  <c r="AP10" i="107"/>
  <c r="AQ10" i="107" s="1"/>
  <c r="W10" i="107" s="1"/>
  <c r="AL10" i="107"/>
  <c r="AM10" i="107" s="1"/>
  <c r="AK19" i="102"/>
  <c r="AL19" i="102" s="1"/>
  <c r="W19" i="102"/>
  <c r="AI19" i="102"/>
  <c r="AQ16" i="108"/>
  <c r="W16" i="108" s="1"/>
  <c r="AQ11" i="85"/>
  <c r="W11" i="85" s="1"/>
  <c r="AQ19" i="109"/>
  <c r="AQ14" i="102"/>
  <c r="W14" i="102" s="1"/>
  <c r="AQ21" i="109"/>
  <c r="AP11" i="84"/>
  <c r="AN11" i="84"/>
  <c r="AK11" i="84"/>
  <c r="AL11" i="84" s="1"/>
  <c r="AM11" i="84" s="1"/>
  <c r="AI11" i="84"/>
  <c r="V66" i="84"/>
  <c r="AP12" i="103"/>
  <c r="AL12" i="103"/>
  <c r="AN12" i="103"/>
  <c r="AK15" i="108"/>
  <c r="AI15" i="108"/>
  <c r="I12" i="111"/>
  <c r="O12" i="111" s="1"/>
  <c r="I28" i="81"/>
  <c r="W19" i="101"/>
  <c r="AI19" i="101"/>
  <c r="AK19" i="101"/>
  <c r="AL19" i="101" s="1"/>
  <c r="AN9" i="86"/>
  <c r="AP9" i="86"/>
  <c r="AL9" i="86"/>
  <c r="AM9" i="86" s="1"/>
  <c r="AQ32" i="102"/>
  <c r="W32" i="102" s="1"/>
  <c r="AQ14" i="86"/>
  <c r="W14" i="86" s="1"/>
  <c r="AQ10" i="103"/>
  <c r="W10" i="103" s="1"/>
  <c r="AQ20" i="84"/>
  <c r="W20" i="84" s="1"/>
  <c r="AQ10" i="85"/>
  <c r="W10" i="85" s="1"/>
  <c r="V11" i="107"/>
  <c r="T23" i="107"/>
  <c r="V12" i="105"/>
  <c r="T28" i="105"/>
  <c r="AL12" i="102"/>
  <c r="AM12" i="102" s="1"/>
  <c r="AP12" i="102"/>
  <c r="AQ12" i="102" s="1"/>
  <c r="W12" i="102" s="1"/>
  <c r="V14" i="99"/>
  <c r="T28" i="99"/>
  <c r="T25" i="85"/>
  <c r="AP9" i="81"/>
  <c r="AQ9" i="81" s="1"/>
  <c r="W9" i="81" s="1"/>
  <c r="W21" i="81" s="1"/>
  <c r="AL9" i="81"/>
  <c r="AM9" i="81" s="1"/>
  <c r="AP19" i="103"/>
  <c r="AN19" i="103"/>
  <c r="E74" i="174" l="1"/>
  <c r="C72" i="174"/>
  <c r="C74" i="174" s="1"/>
  <c r="L41" i="519"/>
  <c r="L39" i="519" s="1"/>
  <c r="L33" i="519" s="1"/>
  <c r="L26" i="519" s="1"/>
  <c r="V10" i="100"/>
  <c r="AP11" i="108"/>
  <c r="T67" i="102"/>
  <c r="T15" i="101"/>
  <c r="V15" i="101" s="1"/>
  <c r="AK20" i="110"/>
  <c r="AL20" i="110" s="1"/>
  <c r="V28" i="110"/>
  <c r="I33" i="110" s="1"/>
  <c r="K33" i="110" s="1"/>
  <c r="AI20" i="110"/>
  <c r="W20" i="110"/>
  <c r="W28" i="110" s="1"/>
  <c r="J33" i="110" s="1"/>
  <c r="L33" i="110" s="1"/>
  <c r="AI22" i="102"/>
  <c r="AK22" i="102"/>
  <c r="AL22" i="102" s="1"/>
  <c r="W22" i="102"/>
  <c r="W65" i="102" s="1"/>
  <c r="X65" i="102" s="1"/>
  <c r="W65" i="84"/>
  <c r="X65" i="84" s="1"/>
  <c r="AI11" i="108"/>
  <c r="T20" i="108"/>
  <c r="T52" i="108" s="1"/>
  <c r="S52" i="108"/>
  <c r="AQ9" i="86"/>
  <c r="W9" i="86" s="1"/>
  <c r="AN9" i="102"/>
  <c r="AK9" i="102"/>
  <c r="AL9" i="102" s="1"/>
  <c r="AM9" i="102" s="1"/>
  <c r="AI9" i="102"/>
  <c r="AP9" i="102"/>
  <c r="V52" i="102"/>
  <c r="K57" i="102" s="1"/>
  <c r="M57" i="102" s="1"/>
  <c r="V64" i="102"/>
  <c r="V67" i="102" s="1"/>
  <c r="Y67" i="102" s="1"/>
  <c r="V66" i="108"/>
  <c r="V25" i="80"/>
  <c r="T28" i="80"/>
  <c r="AI9" i="103"/>
  <c r="AK9" i="103"/>
  <c r="V25" i="103"/>
  <c r="I31" i="103" s="1"/>
  <c r="K31" i="103" s="1"/>
  <c r="AN11" i="108"/>
  <c r="AQ11" i="108" s="1"/>
  <c r="W11" i="108" s="1"/>
  <c r="AQ9" i="109"/>
  <c r="W9" i="109" s="1"/>
  <c r="AN10" i="84"/>
  <c r="AI10" i="84"/>
  <c r="AP10" i="84"/>
  <c r="AK10" i="84"/>
  <c r="AL10" i="84" s="1"/>
  <c r="AM10" i="84" s="1"/>
  <c r="V64" i="84"/>
  <c r="V67" i="84" s="1"/>
  <c r="V28" i="86"/>
  <c r="AK19" i="86"/>
  <c r="AL19" i="86" s="1"/>
  <c r="W19" i="86"/>
  <c r="AI19" i="86"/>
  <c r="J12" i="111"/>
  <c r="P12" i="111" s="1"/>
  <c r="J28" i="81"/>
  <c r="AM14" i="99"/>
  <c r="AK14" i="99"/>
  <c r="W14" i="99"/>
  <c r="W28" i="99" s="1"/>
  <c r="J34" i="99" s="1"/>
  <c r="L34" i="99" s="1"/>
  <c r="AJ14" i="99"/>
  <c r="AI14" i="99"/>
  <c r="V28" i="99"/>
  <c r="I34" i="99" s="1"/>
  <c r="K34" i="99" s="1"/>
  <c r="AI12" i="105"/>
  <c r="AJ12" i="105"/>
  <c r="AK12" i="105"/>
  <c r="AM12" i="105"/>
  <c r="W12" i="105"/>
  <c r="W28" i="105" s="1"/>
  <c r="J34" i="105" s="1"/>
  <c r="L34" i="105" s="1"/>
  <c r="V28" i="105"/>
  <c r="I34" i="105" s="1"/>
  <c r="K34" i="105" s="1"/>
  <c r="AK9" i="85"/>
  <c r="V25" i="85"/>
  <c r="AI9" i="85"/>
  <c r="K28" i="81"/>
  <c r="I11" i="42"/>
  <c r="L11" i="42" s="1"/>
  <c r="I13" i="111"/>
  <c r="O13" i="111" s="1"/>
  <c r="K57" i="84"/>
  <c r="AN11" i="109"/>
  <c r="AP11" i="109"/>
  <c r="AL11" i="109"/>
  <c r="AQ11" i="84"/>
  <c r="W11" i="84" s="1"/>
  <c r="AK10" i="100"/>
  <c r="AI10" i="100"/>
  <c r="AN10" i="100"/>
  <c r="V21" i="100"/>
  <c r="I28" i="100" s="1"/>
  <c r="K28" i="100" s="1"/>
  <c r="AK11" i="107"/>
  <c r="AL11" i="107" s="1"/>
  <c r="AI11" i="107"/>
  <c r="W11" i="107"/>
  <c r="W23" i="107" s="1"/>
  <c r="L28" i="107" s="1"/>
  <c r="N28" i="107" s="1"/>
  <c r="V23" i="107"/>
  <c r="K28" i="107" s="1"/>
  <c r="M28" i="107" s="1"/>
  <c r="AQ19" i="103"/>
  <c r="AQ12" i="103"/>
  <c r="AN15" i="108"/>
  <c r="AP15" i="108"/>
  <c r="AL15" i="108"/>
  <c r="AI11" i="106"/>
  <c r="W11" i="106"/>
  <c r="W21" i="106" s="1"/>
  <c r="J28" i="106" s="1"/>
  <c r="L28" i="106" s="1"/>
  <c r="AK11" i="106"/>
  <c r="AL11" i="106" s="1"/>
  <c r="V21" i="106"/>
  <c r="I28" i="106" s="1"/>
  <c r="K28" i="106" s="1"/>
  <c r="W28" i="86"/>
  <c r="C37" i="174" l="1"/>
  <c r="T23" i="101"/>
  <c r="T65" i="108"/>
  <c r="T67" i="108" s="1"/>
  <c r="V20" i="108"/>
  <c r="V52" i="108" s="1"/>
  <c r="K57" i="108" s="1"/>
  <c r="M57" i="108" s="1"/>
  <c r="AQ15" i="108"/>
  <c r="W15" i="108" s="1"/>
  <c r="AQ10" i="84"/>
  <c r="W10" i="84" s="1"/>
  <c r="W64" i="84" s="1"/>
  <c r="X64" i="84" s="1"/>
  <c r="AQ9" i="102"/>
  <c r="W9" i="102" s="1"/>
  <c r="AQ11" i="109"/>
  <c r="W11" i="109" s="1"/>
  <c r="W25" i="109" s="1"/>
  <c r="J31" i="109" s="1"/>
  <c r="L31" i="109" s="1"/>
  <c r="AJ25" i="80"/>
  <c r="AI25" i="80"/>
  <c r="AK25" i="80"/>
  <c r="AM25" i="80"/>
  <c r="W25" i="80"/>
  <c r="W28" i="80" s="1"/>
  <c r="V28" i="80"/>
  <c r="AI15" i="101"/>
  <c r="AK15" i="101"/>
  <c r="AL15" i="101" s="1"/>
  <c r="W15" i="101"/>
  <c r="W23" i="101" s="1"/>
  <c r="L28" i="101" s="1"/>
  <c r="N28" i="101" s="1"/>
  <c r="V23" i="101"/>
  <c r="K28" i="101" s="1"/>
  <c r="M28" i="101" s="1"/>
  <c r="I33" i="86"/>
  <c r="I15" i="111"/>
  <c r="O15" i="111" s="1"/>
  <c r="AP9" i="103"/>
  <c r="AN9" i="103"/>
  <c r="AL9" i="103"/>
  <c r="AM9" i="103" s="1"/>
  <c r="W66" i="108"/>
  <c r="X66" i="108" s="1"/>
  <c r="J11" i="42"/>
  <c r="M11" i="42" s="1"/>
  <c r="L28" i="81"/>
  <c r="J15" i="111"/>
  <c r="P15" i="111" s="1"/>
  <c r="J33" i="86"/>
  <c r="AN9" i="85"/>
  <c r="AL9" i="85"/>
  <c r="AM9" i="85" s="1"/>
  <c r="AP9" i="85"/>
  <c r="AN12" i="105"/>
  <c r="AN28" i="105" s="1"/>
  <c r="Y67" i="84"/>
  <c r="AL10" i="100"/>
  <c r="AM10" i="100" s="1"/>
  <c r="AP10" i="100"/>
  <c r="AQ10" i="100" s="1"/>
  <c r="W10" i="100" s="1"/>
  <c r="W21" i="100" s="1"/>
  <c r="J28" i="100" s="1"/>
  <c r="L28" i="100" s="1"/>
  <c r="W66" i="84"/>
  <c r="M57" i="84"/>
  <c r="I13" i="42"/>
  <c r="L13" i="42" s="1"/>
  <c r="I14" i="111"/>
  <c r="O14" i="111" s="1"/>
  <c r="I31" i="85"/>
  <c r="AN14" i="99"/>
  <c r="AN28" i="99" s="1"/>
  <c r="U12" i="111" l="1"/>
  <c r="V65" i="108"/>
  <c r="V67" i="108" s="1"/>
  <c r="Y67" i="108" s="1"/>
  <c r="AK20" i="108"/>
  <c r="AI20" i="108"/>
  <c r="W52" i="84"/>
  <c r="AN25" i="80"/>
  <c r="AN28" i="80" s="1"/>
  <c r="W64" i="102"/>
  <c r="W52" i="102"/>
  <c r="L57" i="102" s="1"/>
  <c r="N57" i="102" s="1"/>
  <c r="AQ9" i="103"/>
  <c r="W9" i="103" s="1"/>
  <c r="W25" i="103" s="1"/>
  <c r="J31" i="103" s="1"/>
  <c r="L31" i="103" s="1"/>
  <c r="AL20" i="108"/>
  <c r="AM20" i="108" s="1"/>
  <c r="AP20" i="108"/>
  <c r="AN20" i="108"/>
  <c r="I10" i="111"/>
  <c r="I34" i="80"/>
  <c r="J10" i="111"/>
  <c r="J34" i="80"/>
  <c r="K33" i="86"/>
  <c r="I15" i="42"/>
  <c r="L15" i="42" s="1"/>
  <c r="X66" i="84"/>
  <c r="W67" i="84"/>
  <c r="AQ9" i="85"/>
  <c r="W9" i="85" s="1"/>
  <c r="W25" i="85" s="1"/>
  <c r="J13" i="111"/>
  <c r="P13" i="111" s="1"/>
  <c r="L57" i="84"/>
  <c r="I14" i="42"/>
  <c r="L14" i="42" s="1"/>
  <c r="K31" i="85"/>
  <c r="J15" i="42"/>
  <c r="M15" i="42" s="1"/>
  <c r="L33" i="86"/>
  <c r="AQ20" i="108" l="1"/>
  <c r="W20" i="108" s="1"/>
  <c r="X64" i="102"/>
  <c r="W67" i="102"/>
  <c r="J16" i="111"/>
  <c r="P10" i="111"/>
  <c r="K34" i="80"/>
  <c r="I10" i="42"/>
  <c r="W52" i="108"/>
  <c r="L57" i="108" s="1"/>
  <c r="N57" i="108" s="1"/>
  <c r="W65" i="108"/>
  <c r="O10" i="111"/>
  <c r="I16" i="111"/>
  <c r="J10" i="42"/>
  <c r="L34" i="80"/>
  <c r="J14" i="111"/>
  <c r="P14" i="111" s="1"/>
  <c r="V12" i="111" s="1"/>
  <c r="J31" i="85"/>
  <c r="Z67" i="84"/>
  <c r="X67" i="84"/>
  <c r="J13" i="42"/>
  <c r="M13" i="42" s="1"/>
  <c r="N57" i="84"/>
  <c r="X67" i="102" l="1"/>
  <c r="Z67" i="102"/>
  <c r="O16" i="111"/>
  <c r="U10" i="111"/>
  <c r="U16" i="111" s="1"/>
  <c r="X65" i="108"/>
  <c r="W67" i="108"/>
  <c r="V10" i="111"/>
  <c r="V16" i="111" s="1"/>
  <c r="P16" i="111"/>
  <c r="L10" i="42"/>
  <c r="L16" i="42" s="1"/>
  <c r="I16" i="42"/>
  <c r="J16" i="42"/>
  <c r="M10" i="42"/>
  <c r="M16" i="42" s="1"/>
  <c r="J14" i="42"/>
  <c r="M14" i="42" s="1"/>
  <c r="L31" i="85"/>
  <c r="Z67" i="108" l="1"/>
  <c r="X67" i="108"/>
  <c r="J54" i="540" l="1"/>
  <c r="H18" i="136"/>
  <c r="H27" i="136" l="1"/>
  <c r="H104" i="136"/>
  <c r="H106" i="136" s="1"/>
  <c r="M69" i="519"/>
  <c r="M67" i="519" s="1"/>
  <c r="M66" i="519" s="1"/>
  <c r="M25" i="519" s="1"/>
  <c r="J55" i="540"/>
  <c r="G19" i="538"/>
  <c r="L102" i="519" l="1"/>
  <c r="E70" i="136"/>
  <c r="E104" i="136"/>
  <c r="E106" i="136" s="1"/>
  <c r="L99" i="519" l="1"/>
  <c r="L66" i="519" s="1"/>
  <c r="L25" i="519" s="1"/>
  <c r="J69" i="538"/>
  <c r="J72" i="538" s="1"/>
  <c r="I69" i="538"/>
  <c r="I72" i="538" s="1"/>
</calcChain>
</file>

<file path=xl/comments1.xml><?xml version="1.0" encoding="utf-8"?>
<comments xmlns="http://schemas.openxmlformats.org/spreadsheetml/2006/main">
  <authors>
    <author>Касьяненко Анастасия Юрьевна</author>
  </authors>
  <commentList>
    <comment ref="L4" authorId="0" shapeId="0">
      <text/>
    </comment>
  </commentList>
</comments>
</file>

<file path=xl/comments10.xml><?xml version="1.0" encoding="utf-8"?>
<comments xmlns="http://schemas.openxmlformats.org/spreadsheetml/2006/main">
  <authors>
    <author>Касьяненко Анастасия Юрьевна</author>
  </authors>
  <commentList>
    <comment ref="L4" authorId="0" shapeId="0">
      <text>
        <r>
          <rPr>
            <sz val="9"/>
            <color indexed="81"/>
            <rFont val="Tahoma"/>
            <family val="2"/>
            <charset val="204"/>
          </rPr>
          <t xml:space="preserve">
</t>
        </r>
      </text>
    </comment>
  </commentList>
</comments>
</file>

<file path=xl/comments11.xml><?xml version="1.0" encoding="utf-8"?>
<comments xmlns="http://schemas.openxmlformats.org/spreadsheetml/2006/main">
  <authors>
    <author>Касьяненко Анастасия Юрьевна</author>
  </authors>
  <commentList>
    <comment ref="L4" authorId="0" shapeId="0">
      <text/>
    </comment>
  </commentList>
</comments>
</file>

<file path=xl/comments12.xml><?xml version="1.0" encoding="utf-8"?>
<comments xmlns="http://schemas.openxmlformats.org/spreadsheetml/2006/main">
  <authors>
    <author>Касьяненко Анастасия Юрьевна</author>
  </authors>
  <commentList>
    <comment ref="L4" authorId="0" shapeId="0">
      <text/>
    </comment>
  </commentList>
</comments>
</file>

<file path=xl/comments13.xml><?xml version="1.0" encoding="utf-8"?>
<comments xmlns="http://schemas.openxmlformats.org/spreadsheetml/2006/main">
  <authors>
    <author>Касьяненко Анастасия Юрьевна</author>
  </authors>
  <commentList>
    <comment ref="L4" authorId="0" shapeId="0">
      <text/>
    </comment>
  </commentList>
</comments>
</file>

<file path=xl/comments14.xml><?xml version="1.0" encoding="utf-8"?>
<comments xmlns="http://schemas.openxmlformats.org/spreadsheetml/2006/main">
  <authors>
    <author>Касьяненко Анастасия Юрьевна</author>
  </authors>
  <commentList>
    <comment ref="L4" authorId="0" shapeId="0">
      <text/>
    </comment>
  </commentList>
</comments>
</file>

<file path=xl/comments15.xml><?xml version="1.0" encoding="utf-8"?>
<comments xmlns="http://schemas.openxmlformats.org/spreadsheetml/2006/main">
  <authors>
    <author>Касьяненко Анастасия Юрьевна</author>
  </authors>
  <commentList>
    <comment ref="L4" authorId="0" shapeId="0">
      <text>
        <r>
          <rPr>
            <sz val="9"/>
            <color indexed="81"/>
            <rFont val="Tahoma"/>
            <family val="2"/>
            <charset val="204"/>
          </rPr>
          <t xml:space="preserve">
</t>
        </r>
      </text>
    </comment>
  </commentList>
</comments>
</file>

<file path=xl/comments16.xml><?xml version="1.0" encoding="utf-8"?>
<comments xmlns="http://schemas.openxmlformats.org/spreadsheetml/2006/main">
  <authors>
    <author>Касьяненко Анастасия Юрьевна</author>
  </authors>
  <commentList>
    <comment ref="L4" authorId="0" shapeId="0">
      <text>
        <r>
          <rPr>
            <sz val="9"/>
            <color indexed="81"/>
            <rFont val="Tahoma"/>
            <family val="2"/>
            <charset val="204"/>
          </rPr>
          <t xml:space="preserve">
</t>
        </r>
      </text>
    </comment>
  </commentList>
</comments>
</file>

<file path=xl/comments17.xml><?xml version="1.0" encoding="utf-8"?>
<comments xmlns="http://schemas.openxmlformats.org/spreadsheetml/2006/main">
  <authors>
    <author>Касьяненко Анастасия Юрьевна</author>
  </authors>
  <commentList>
    <comment ref="L4" authorId="0" shapeId="0">
      <text/>
    </comment>
  </commentList>
</comments>
</file>

<file path=xl/comments18.xml><?xml version="1.0" encoding="utf-8"?>
<comments xmlns="http://schemas.openxmlformats.org/spreadsheetml/2006/main">
  <authors>
    <author>Касьяненко Анастасия Юрьевна</author>
  </authors>
  <commentList>
    <comment ref="L4" authorId="0" shapeId="0">
      <text/>
    </comment>
  </commentList>
</comments>
</file>

<file path=xl/comments19.xml><?xml version="1.0" encoding="utf-8"?>
<comments xmlns="http://schemas.openxmlformats.org/spreadsheetml/2006/main">
  <authors>
    <author>Касьяненко Анастасия Юрьевна</author>
  </authors>
  <commentList>
    <comment ref="L4" authorId="0" shapeId="0">
      <text/>
    </comment>
  </commentList>
</comments>
</file>

<file path=xl/comments2.xml><?xml version="1.0" encoding="utf-8"?>
<comments xmlns="http://schemas.openxmlformats.org/spreadsheetml/2006/main">
  <authors>
    <author>Касьяненко Анастасия Юрьевна</author>
  </authors>
  <commentList>
    <comment ref="L4" authorId="0" shapeId="0">
      <text>
        <r>
          <rPr>
            <sz val="9"/>
            <color indexed="81"/>
            <rFont val="Tahoma"/>
            <family val="2"/>
            <charset val="204"/>
          </rPr>
          <t xml:space="preserve">
</t>
        </r>
      </text>
    </comment>
  </commentList>
</comments>
</file>

<file path=xl/comments3.xml><?xml version="1.0" encoding="utf-8"?>
<comments xmlns="http://schemas.openxmlformats.org/spreadsheetml/2006/main">
  <authors>
    <author>Агаева Татьяна Сергеевна</author>
  </authors>
  <commentList>
    <comment ref="B43" authorId="0" shapeId="0">
      <text>
        <r>
          <rPr>
            <b/>
            <sz val="9"/>
            <color indexed="81"/>
            <rFont val="Tahoma"/>
            <family val="2"/>
            <charset val="204"/>
          </rPr>
          <t>Агаева Татьяна Сергеевна:</t>
        </r>
        <r>
          <rPr>
            <sz val="9"/>
            <color indexed="81"/>
            <rFont val="Tahoma"/>
            <family val="2"/>
            <charset val="204"/>
          </rPr>
          <t xml:space="preserve">
1230=1230+1240+1250+вкладка ФСС</t>
        </r>
      </text>
    </comment>
    <comment ref="B50" authorId="0" shapeId="0">
      <text>
        <r>
          <rPr>
            <b/>
            <sz val="9"/>
            <color indexed="81"/>
            <rFont val="Tahoma"/>
            <family val="2"/>
            <charset val="204"/>
          </rPr>
          <t>Агаева Татьяна Сергеевна:</t>
        </r>
        <r>
          <rPr>
            <sz val="9"/>
            <color indexed="81"/>
            <rFont val="Tahoma"/>
            <family val="2"/>
            <charset val="204"/>
          </rPr>
          <t xml:space="preserve">
иные-1400</t>
        </r>
      </text>
    </comment>
    <comment ref="B51" authorId="0" shapeId="0">
      <text>
        <r>
          <rPr>
            <b/>
            <sz val="9"/>
            <color indexed="81"/>
            <rFont val="Tahoma"/>
            <family val="2"/>
            <charset val="204"/>
          </rPr>
          <t>Агаева Татьяна Сергеевна:</t>
        </r>
        <r>
          <rPr>
            <sz val="9"/>
            <color indexed="81"/>
            <rFont val="Tahoma"/>
            <family val="2"/>
            <charset val="204"/>
          </rPr>
          <t xml:space="preserve">
иные -1400</t>
        </r>
      </text>
    </comment>
    <comment ref="B53" authorId="0" shapeId="0">
      <text>
        <r>
          <rPr>
            <b/>
            <sz val="9"/>
            <color indexed="81"/>
            <rFont val="Tahoma"/>
            <family val="2"/>
            <charset val="204"/>
          </rPr>
          <t>Агаева Татьяна Сергеевна:</t>
        </r>
        <r>
          <rPr>
            <sz val="9"/>
            <color indexed="81"/>
            <rFont val="Tahoma"/>
            <family val="2"/>
            <charset val="204"/>
          </rPr>
          <t xml:space="preserve">
безвозмездные -гранты</t>
        </r>
      </text>
    </comment>
  </commentList>
</comments>
</file>

<file path=xl/comments4.xml><?xml version="1.0" encoding="utf-8"?>
<comments xmlns="http://schemas.openxmlformats.org/spreadsheetml/2006/main">
  <authors>
    <author>Виницкая Наталья Анатольевна</author>
  </authors>
  <commentList>
    <comment ref="P37" authorId="0" shapeId="0">
      <text>
        <r>
          <rPr>
            <b/>
            <sz val="9"/>
            <color indexed="81"/>
            <rFont val="Tahoma"/>
            <family val="2"/>
            <charset val="204"/>
          </rPr>
          <t>Виницкая Наталья Анатольевна:</t>
        </r>
        <r>
          <rPr>
            <sz val="9"/>
            <color indexed="81"/>
            <rFont val="Tahoma"/>
            <family val="2"/>
            <charset val="204"/>
          </rPr>
          <t xml:space="preserve">
Для приведения в соответствие на БК кор-ка внутри кода</t>
        </r>
      </text>
    </comment>
  </commentList>
</comments>
</file>

<file path=xl/comments5.xml><?xml version="1.0" encoding="utf-8"?>
<comments xmlns="http://schemas.openxmlformats.org/spreadsheetml/2006/main">
  <authors>
    <author>Касьяненко Анастасия Юрьевна</author>
  </authors>
  <commentList>
    <comment ref="L4" authorId="0" shapeId="0">
      <text/>
    </comment>
  </commentList>
</comments>
</file>

<file path=xl/comments6.xml><?xml version="1.0" encoding="utf-8"?>
<comments xmlns="http://schemas.openxmlformats.org/spreadsheetml/2006/main">
  <authors>
    <author>Касьяненко Анастасия Юрьевна</author>
  </authors>
  <commentList>
    <comment ref="L4" authorId="0" shapeId="0">
      <text/>
    </comment>
  </commentList>
</comments>
</file>

<file path=xl/comments7.xml><?xml version="1.0" encoding="utf-8"?>
<comments xmlns="http://schemas.openxmlformats.org/spreadsheetml/2006/main">
  <authors>
    <author>Касьяненко Анастасия Юрьевна</author>
  </authors>
  <commentList>
    <comment ref="L4" authorId="0" shapeId="0">
      <text/>
    </comment>
  </commentList>
</comments>
</file>

<file path=xl/comments8.xml><?xml version="1.0" encoding="utf-8"?>
<comments xmlns="http://schemas.openxmlformats.org/spreadsheetml/2006/main">
  <authors>
    <author>Касьяненко Анастасия Юрьевна</author>
  </authors>
  <commentList>
    <comment ref="L4" authorId="0" shapeId="0">
      <text/>
    </comment>
  </commentList>
</comments>
</file>

<file path=xl/comments9.xml><?xml version="1.0" encoding="utf-8"?>
<comments xmlns="http://schemas.openxmlformats.org/spreadsheetml/2006/main">
  <authors>
    <author>Касьяненко Анастасия Юрьевна</author>
  </authors>
  <commentList>
    <comment ref="L4" authorId="0" shapeId="0">
      <text>
        <r>
          <rPr>
            <sz val="9"/>
            <color indexed="81"/>
            <rFont val="Tahoma"/>
            <family val="2"/>
            <charset val="204"/>
          </rPr>
          <t xml:space="preserve">
</t>
        </r>
      </text>
    </comment>
  </commentList>
</comments>
</file>

<file path=xl/sharedStrings.xml><?xml version="1.0" encoding="utf-8"?>
<sst xmlns="http://schemas.openxmlformats.org/spreadsheetml/2006/main" count="3495" uniqueCount="920">
  <si>
    <t>Штатная численность, шт.ед.</t>
  </si>
  <si>
    <t>Доплата за работу в ночное время</t>
  </si>
  <si>
    <t>Доплата за работу в выходные,  нерабочие праздн.дни</t>
  </si>
  <si>
    <t>Структура фонда оплаты труда в год на штатную численность, тыс.руб.</t>
  </si>
  <si>
    <t>Оплата стоимости проезда и провоза багажа к месту проведения отпуска, тыс.руб.</t>
  </si>
  <si>
    <t>количество, чел.</t>
  </si>
  <si>
    <t>стоимость, тыс.руб.</t>
  </si>
  <si>
    <t>Фонд оплаты труда с учетом коэффициента</t>
  </si>
  <si>
    <t>ВСЕГО</t>
  </si>
  <si>
    <t>Коэффициент исполнения по фонду оплаты труда в предшествующем году</t>
  </si>
  <si>
    <t>Работник</t>
  </si>
  <si>
    <t>Члены семьи работника до 12 лет</t>
  </si>
  <si>
    <t>Члены семьи работника после 12 лет</t>
  </si>
  <si>
    <t>Оплата багажа, тыс.руб.</t>
  </si>
  <si>
    <t>Директор</t>
  </si>
  <si>
    <t>Заведующий сектором</t>
  </si>
  <si>
    <t>Заведующий отделом</t>
  </si>
  <si>
    <t>Заведующий филиалом</t>
  </si>
  <si>
    <t>Библиотекарь</t>
  </si>
  <si>
    <t>Главный библиотекарь</t>
  </si>
  <si>
    <t>Редактор</t>
  </si>
  <si>
    <t xml:space="preserve">Директор </t>
  </si>
  <si>
    <t>Главный хранитель фондов</t>
  </si>
  <si>
    <t xml:space="preserve">Заведующий отделом </t>
  </si>
  <si>
    <t>Научный сотрудник</t>
  </si>
  <si>
    <t>Контролер билетов</t>
  </si>
  <si>
    <t>Смотритель музейный</t>
  </si>
  <si>
    <t>Надбавка за опыт работы</t>
  </si>
  <si>
    <t>Старший научный сотрудник</t>
  </si>
  <si>
    <t>Методист</t>
  </si>
  <si>
    <t>Хранитель фондов</t>
  </si>
  <si>
    <t>Художественный руководитель</t>
  </si>
  <si>
    <t>Режисер-постановщик</t>
  </si>
  <si>
    <t>Администратор</t>
  </si>
  <si>
    <t>Оператор пульта управления киноустановок</t>
  </si>
  <si>
    <t>Рестовратор фильмокопий</t>
  </si>
  <si>
    <t xml:space="preserve">Библиотекарь </t>
  </si>
  <si>
    <t>Библиограф</t>
  </si>
  <si>
    <t xml:space="preserve">Руководитель кружка </t>
  </si>
  <si>
    <t>Аккомпаниатор</t>
  </si>
  <si>
    <t>Балетмейстер</t>
  </si>
  <si>
    <t xml:space="preserve">Методист </t>
  </si>
  <si>
    <t>Звукорежиссер</t>
  </si>
  <si>
    <t xml:space="preserve">Звукооператор </t>
  </si>
  <si>
    <t>Режиссер</t>
  </si>
  <si>
    <t>Заведующий художественно-постановочной частью</t>
  </si>
  <si>
    <t>Заведующий звукостудийным сектором</t>
  </si>
  <si>
    <t>Заведующий костюмерной</t>
  </si>
  <si>
    <t>Главный режиссер</t>
  </si>
  <si>
    <t>Художник по свету</t>
  </si>
  <si>
    <t>Художник-декоратор</t>
  </si>
  <si>
    <t>Художник-модельер театрально костюма</t>
  </si>
  <si>
    <t>Художник-постановщик</t>
  </si>
  <si>
    <t xml:space="preserve">Концертмейстер по классу вокала </t>
  </si>
  <si>
    <t>Балетмейстер - постановщик</t>
  </si>
  <si>
    <t>Репетитор по балету</t>
  </si>
  <si>
    <t xml:space="preserve">Режиссер </t>
  </si>
  <si>
    <t>Монтировщик сцены</t>
  </si>
  <si>
    <t>Хормейстер</t>
  </si>
  <si>
    <t xml:space="preserve">Художник-постановщик </t>
  </si>
  <si>
    <t>Киномеханик</t>
  </si>
  <si>
    <t>Надбавка за квалификационную категорию: главный - 25%; ведущий - 20%; высшей категории - 15%; первой категории - 10%; второй категории - 5%.</t>
  </si>
  <si>
    <t>страх взносы</t>
  </si>
  <si>
    <t>к-т</t>
  </si>
  <si>
    <t>ФОТ всего на 1 шт ед</t>
  </si>
  <si>
    <t>Премиальный фонд (персональный и стимулирующий)</t>
  </si>
  <si>
    <t>Премиальный фонд 31,7%  (гр. 14 х 0,317%)    (гр. 14 + 0,005)</t>
  </si>
  <si>
    <t>Компенсация за неиспользованный отпуск 3%, материальная помощь 0,2% ((гр.14 + гр.15 + гр.16 + гр.17) х 3,2%)</t>
  </si>
  <si>
    <t xml:space="preserve">Должностной оклад по действующему штатному расписанию </t>
  </si>
  <si>
    <t>Итого по штатному расписанию (гр.3 * гр.4)</t>
  </si>
  <si>
    <t>Выплата за наличие ученой степени или почетного звания</t>
  </si>
  <si>
    <t>К-т</t>
  </si>
  <si>
    <t>Итого</t>
  </si>
  <si>
    <t>Всего расходов, тыс.руб.
гр.27+гр.30+гр.33+гр.34</t>
  </si>
  <si>
    <t>расходы, тыс.руб.
гр.25 * гр.26</t>
  </si>
  <si>
    <t>расходы, тыс.руб.
гр.28 * гр.29</t>
  </si>
  <si>
    <t>расходы, тыс.руб.
гр.31 * гр.32</t>
  </si>
  <si>
    <t>Наименование внутриструктурной единицы, должности (профессии)</t>
  </si>
  <si>
    <t>№ п/п</t>
  </si>
  <si>
    <t xml:space="preserve">Должностной оклад
 по действующему штатному расписанию </t>
  </si>
  <si>
    <t>Кперс.</t>
  </si>
  <si>
    <t>Сумма</t>
  </si>
  <si>
    <t>Районный коэффициент</t>
  </si>
  <si>
    <t>Северные надбавки</t>
  </si>
  <si>
    <t>Итого фонд заработной платы</t>
  </si>
  <si>
    <t xml:space="preserve">Страховые взносы </t>
  </si>
  <si>
    <t>Итого оклад+стим.+комп.выплаты+прочие надбавки</t>
  </si>
  <si>
    <t xml:space="preserve">Компенсация за неиспользованный отпуск 3%, материальная помощь 0,2% </t>
  </si>
  <si>
    <t>Итого надбавки+ПВ</t>
  </si>
  <si>
    <t>Должностной оклад на год</t>
  </si>
  <si>
    <t>Персональная надбавка за работу в МО г. Норильска</t>
  </si>
  <si>
    <t xml:space="preserve">Персональная надбавка   за работу в МО г. Норильска </t>
  </si>
  <si>
    <t>Кассир билетный</t>
  </si>
  <si>
    <t>Итого оклад+стим.+комп.выплаты+ прочие надбавки</t>
  </si>
  <si>
    <t xml:space="preserve">Кассир билетный </t>
  </si>
  <si>
    <t>Учреждение</t>
  </si>
  <si>
    <t>Исполнитель:</t>
  </si>
  <si>
    <t>ИТОГО</t>
  </si>
  <si>
    <t>шт.числ</t>
  </si>
  <si>
    <t>Итого культура</t>
  </si>
  <si>
    <t>Заведующий  сектором видеообеспечения</t>
  </si>
  <si>
    <t>Режиссер массовых представлений</t>
  </si>
  <si>
    <t>Столяр по изготовлению декораций</t>
  </si>
  <si>
    <t xml:space="preserve">Механик по ремонту и обслуживанию кинотехнологического оборудования </t>
  </si>
  <si>
    <t xml:space="preserve">Художник-декоратор </t>
  </si>
  <si>
    <t>Старший администратор</t>
  </si>
  <si>
    <t>Специалист по внедрению информационных систем</t>
  </si>
  <si>
    <t xml:space="preserve">Переплетчик </t>
  </si>
  <si>
    <t>Менеджер по культурно-массовому досугу</t>
  </si>
  <si>
    <t>Механик по обслуживанию звуковой техники</t>
  </si>
  <si>
    <t>Руководитель любительского объединения</t>
  </si>
  <si>
    <t>МБУ "МВК "Музей Норильска"</t>
  </si>
  <si>
    <t>МБУ "КК "Родина"</t>
  </si>
  <si>
    <t>МБУК "Городской центр культуры"</t>
  </si>
  <si>
    <t>МБУК "КДЦ "Юбилейный"</t>
  </si>
  <si>
    <t xml:space="preserve">МБУК "КДЦ им. В. Высоцкого" </t>
  </si>
  <si>
    <t>ПФ</t>
  </si>
  <si>
    <t>ФСС</t>
  </si>
  <si>
    <t>ФОМС</t>
  </si>
  <si>
    <t>Итого СВ</t>
  </si>
  <si>
    <t xml:space="preserve">Отклонение </t>
  </si>
  <si>
    <t>АУП</t>
  </si>
  <si>
    <t>основной</t>
  </si>
  <si>
    <t>Прочий</t>
  </si>
  <si>
    <t>клубы</t>
  </si>
  <si>
    <t>Заместитель директора</t>
  </si>
  <si>
    <t>Снежногорский филиал</t>
  </si>
  <si>
    <t xml:space="preserve">Заместитель директора </t>
  </si>
  <si>
    <t>Отклонение</t>
  </si>
  <si>
    <t xml:space="preserve">Старший администратор </t>
  </si>
  <si>
    <t>Менеджер культурно-досуговой организации</t>
  </si>
  <si>
    <t>Главный библиотекарь (Снежногорский филиал)</t>
  </si>
  <si>
    <t xml:space="preserve">Менеджер культурно-досуговой организации </t>
  </si>
  <si>
    <t xml:space="preserve">МБУ "Централизованная библиотечная система"  </t>
  </si>
  <si>
    <t xml:space="preserve">Заведующий сектором </t>
  </si>
  <si>
    <t>Расчетные значения 2019</t>
  </si>
  <si>
    <t>Машинист сцены</t>
  </si>
  <si>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rFont val="Times New Roman"/>
        <family val="2"/>
        <charset val="204"/>
      </rPr>
      <t>МБУ "МВК "Музей Норильска"</t>
    </r>
    <r>
      <rPr>
        <sz val="16"/>
        <rFont val="Times New Roman"/>
        <family val="2"/>
        <charset val="204"/>
      </rPr>
      <t xml:space="preserve"> на 2020 год </t>
    </r>
  </si>
  <si>
    <t>Начальник отдела ЭАиП</t>
  </si>
  <si>
    <t>Шикера И.А.,тел.: 43-72-45 (доб. 2822)</t>
  </si>
  <si>
    <t>ФОТ на 01.01.2019 г.</t>
  </si>
  <si>
    <t>Расчетные значения 2020 г.</t>
  </si>
  <si>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color indexed="8"/>
        <rFont val="Times New Roman"/>
        <family val="1"/>
        <charset val="204"/>
      </rPr>
      <t>МБУ "КК "Родина" на 2020 год</t>
    </r>
  </si>
  <si>
    <t>ФОТ передаваемый в МКУ "ОК УК" (0,5 библиотекаря)</t>
  </si>
  <si>
    <t>ФОТ передаваемый в МКУ "ОК УК" (0,5-концертмейстер по вокалу, 0,5-монтировщик сцены, 0,25-руководитель кружка, 0,25-режиссер)</t>
  </si>
  <si>
    <t>Расчетные значения 2020</t>
  </si>
  <si>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rFont val="Times New Roman"/>
        <family val="2"/>
        <charset val="204"/>
      </rPr>
      <t>МБУК "Городской центр культуры" на 2020 год с учетом Снежногорского филиала</t>
    </r>
  </si>
  <si>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color indexed="8"/>
        <rFont val="Times New Roman"/>
        <family val="1"/>
        <charset val="204"/>
      </rPr>
      <t xml:space="preserve"> МБУК "КДЦ "Юбилейный" на 2020 год</t>
    </r>
  </si>
  <si>
    <t>Методист по составлению кинопрограмм</t>
  </si>
  <si>
    <t>Руководитель клуба по интересам</t>
  </si>
  <si>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color indexed="8"/>
        <rFont val="Times New Roman"/>
        <family val="1"/>
        <charset val="204"/>
      </rPr>
      <t xml:space="preserve"> МБУК "КДЦ им. В. Высоцкого" на 2020 год</t>
    </r>
  </si>
  <si>
    <t>Шикера И.А., 2822</t>
  </si>
  <si>
    <t xml:space="preserve">ФОТ передаваемый в МКУ "ОК УК" </t>
  </si>
  <si>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rFont val="Times New Roman"/>
        <family val="2"/>
        <charset val="204"/>
      </rPr>
      <t>МБУ "МВК "Музей Норильска"</t>
    </r>
    <r>
      <rPr>
        <sz val="16"/>
        <rFont val="Times New Roman"/>
        <family val="2"/>
        <charset val="204"/>
      </rPr>
      <t xml:space="preserve"> на 2021 год </t>
    </r>
  </si>
  <si>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rFont val="Times New Roman"/>
        <family val="2"/>
        <charset val="204"/>
      </rPr>
      <t>МБУ "МВК "Музей Норильска"</t>
    </r>
    <r>
      <rPr>
        <sz val="16"/>
        <rFont val="Times New Roman"/>
        <family val="2"/>
        <charset val="204"/>
      </rPr>
      <t xml:space="preserve"> на 2022 год </t>
    </r>
  </si>
  <si>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color indexed="8"/>
        <rFont val="Times New Roman"/>
        <family val="1"/>
        <charset val="204"/>
      </rPr>
      <t>МБУ "КК "Родина" на 2021 год</t>
    </r>
  </si>
  <si>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color indexed="8"/>
        <rFont val="Times New Roman"/>
        <family val="1"/>
        <charset val="204"/>
      </rPr>
      <t>МБУ "КК "Родина" на 2022 год</t>
    </r>
  </si>
  <si>
    <r>
      <t>Расчет затрат на оплату труда, страховые взносы, на оплату стоимости проезда и провоза багажа к месту использования отпуска и обратно</t>
    </r>
    <r>
      <rPr>
        <u/>
        <sz val="16"/>
        <rFont val="Times New Roman"/>
        <family val="2"/>
        <charset val="204"/>
      </rPr>
      <t xml:space="preserve"> МБУ "Централизованная библиотечная система" на 2021 год</t>
    </r>
  </si>
  <si>
    <r>
      <t>Расчет затрат на оплату труда, страховые взносы, на оплату стоимости проезда и провоза багажа к месту использования отпуска и обратно</t>
    </r>
    <r>
      <rPr>
        <u/>
        <sz val="16"/>
        <rFont val="Times New Roman"/>
        <family val="2"/>
        <charset val="204"/>
      </rPr>
      <t xml:space="preserve"> МБУ "Централизованная библиотечная система" на 2022 год</t>
    </r>
  </si>
  <si>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rFont val="Times New Roman"/>
        <family val="2"/>
        <charset val="204"/>
      </rPr>
      <t>МБУК "Городской центр культуры" на 2021 год с учетом Снежногорского филиала</t>
    </r>
  </si>
  <si>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rFont val="Times New Roman"/>
        <family val="2"/>
        <charset val="204"/>
      </rPr>
      <t>МБУК "Городской центр культуры" на 2022 год с учетом Снежногорского филиала</t>
    </r>
  </si>
  <si>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color indexed="8"/>
        <rFont val="Times New Roman"/>
        <family val="1"/>
        <charset val="204"/>
      </rPr>
      <t xml:space="preserve"> МБУК "КДЦ "Юбилейный" на 2021 год</t>
    </r>
  </si>
  <si>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color indexed="8"/>
        <rFont val="Times New Roman"/>
        <family val="1"/>
        <charset val="204"/>
      </rPr>
      <t xml:space="preserve"> МБУК "КДЦ "Юбилейный" на 2022 год</t>
    </r>
  </si>
  <si>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color indexed="8"/>
        <rFont val="Times New Roman"/>
        <family val="1"/>
        <charset val="204"/>
      </rPr>
      <t xml:space="preserve"> МБУК "КДЦ им. В. Высоцкого" на 2021 год</t>
    </r>
  </si>
  <si>
    <r>
      <t xml:space="preserve">Расчет затрат на оплату труда, страховые взносы, на оплату стоимости проезда и провоза багажа к месту использования отпуска и обратно  </t>
    </r>
    <r>
      <rPr>
        <u/>
        <sz val="16"/>
        <color indexed="8"/>
        <rFont val="Times New Roman"/>
        <family val="1"/>
        <charset val="204"/>
      </rPr>
      <t xml:space="preserve"> МБУК "КДЦ им. В. Высоцкого" на 2022 год</t>
    </r>
  </si>
  <si>
    <t>Расчетные значения на 2019 год</t>
  </si>
  <si>
    <t>И.А. Шикера</t>
  </si>
  <si>
    <t>И. А. Шикера</t>
  </si>
  <si>
    <t xml:space="preserve">Управление по делам культуры и искусства Администрации города Норильска </t>
  </si>
  <si>
    <t>Расчет затрат на оплату труда, страховые взносы, на оплату стоимости проезда и провоза багажа к месту использования отпуска и обратно на 2020 год</t>
  </si>
  <si>
    <t>СВОД КУЛЬТУРА</t>
  </si>
  <si>
    <t>213 персонал вывел на 0</t>
  </si>
  <si>
    <t>Краевые</t>
  </si>
  <si>
    <t>Персонал</t>
  </si>
  <si>
    <t>Отклонение значений УП от УК</t>
  </si>
  <si>
    <t>Наименование расходов</t>
  </si>
  <si>
    <t>Наименование учреждения</t>
  </si>
  <si>
    <t>Наименование</t>
  </si>
  <si>
    <t>мес.</t>
  </si>
  <si>
    <t>Наименование услуги</t>
  </si>
  <si>
    <t>Ед. изм.</t>
  </si>
  <si>
    <t>шт.</t>
  </si>
  <si>
    <t>чел.</t>
  </si>
  <si>
    <t>Наименование показателя</t>
  </si>
  <si>
    <t>Код строки</t>
  </si>
  <si>
    <t>Сумма, руб.</t>
  </si>
  <si>
    <t>(текущий финансовый год)</t>
  </si>
  <si>
    <t>(первый год планового периода)</t>
  </si>
  <si>
    <t>(второй год планового периода)</t>
  </si>
  <si>
    <t>Задолженность перед персоналом по оплате труда (кредиторская задолженность) на начало года</t>
  </si>
  <si>
    <t>Задолженность персонала по полученным авансам (дебиторская задолженность) на начало года</t>
  </si>
  <si>
    <t>Фонд оплаты труда</t>
  </si>
  <si>
    <t>Задолженность перед персоналом по оплате труда (кредиторская задолженность) на конец года</t>
  </si>
  <si>
    <t>Задолженность персонала по полученным авансам (дебиторская задолженность) на конец года</t>
  </si>
  <si>
    <t>на 2022 г.</t>
  </si>
  <si>
    <t>Задолженность по обязательствам (кредиторская задолженность) на начало года</t>
  </si>
  <si>
    <t>Сумма излишне уплаченных либо излишне взысканных страховых взносов (дебиторская задолженность) на начало года</t>
  </si>
  <si>
    <t>Страховые взносы на обязательное социальное страхование</t>
  </si>
  <si>
    <t>Задолженность по уплате страховых взносов (кредиторская задолженность) на конец года</t>
  </si>
  <si>
    <t>Сумма излишне уплаченных либо излишне взысканных страховых взносов (дебиторская задолженность) на конец года</t>
  </si>
  <si>
    <t>Задолженность по принятым и неисполненным обязательствам, полученные предварительные платежи (авансы) по контрактам (договорам) (кредиторская задолженность) на начало года</t>
  </si>
  <si>
    <t>Произведенные предварительные платежи (авансы) по контрактам (договорам) (дебиторская задолженность) на начало года</t>
  </si>
  <si>
    <t>Расходы на закупку товаров, работ и услуг, всего</t>
  </si>
  <si>
    <t>в том числе:</t>
  </si>
  <si>
    <t>услуги связи</t>
  </si>
  <si>
    <t>транспортные услуги</t>
  </si>
  <si>
    <t>коммунальные услуги</t>
  </si>
  <si>
    <t>аренда имущества</t>
  </si>
  <si>
    <t>обязательное страхование</t>
  </si>
  <si>
    <t>повышение квалификации (профессиональная переподготовка)</t>
  </si>
  <si>
    <t>оплата услуг и работ (медицинских осмотров, информационных услуг, консультационных услуг, экспертных услуг, научно-исследовательских работ, типографских работ), не указанных выше</t>
  </si>
  <si>
    <t>приобретение объектов движимого имущества</t>
  </si>
  <si>
    <t>приобретение материальных запасов</t>
  </si>
  <si>
    <t>Задолженность по принятым и неисполненным обязательствам, полученные предварительные платежи (авансы) по контрактам (договорам) (кредиторская задолженность) на конец года</t>
  </si>
  <si>
    <t>Произведенные предварительные платежи (авансы) по контрактам (договорам) (дебиторская задолженность) на конец года</t>
  </si>
  <si>
    <t>прочие расходы</t>
  </si>
  <si>
    <t>приобретение (изготовление) подарочной и сувенирной продукции</t>
  </si>
  <si>
    <t>иные расходы</t>
  </si>
  <si>
    <t>Иные выплаты персоналу учреждений, за исключением фонда оплаты труда</t>
  </si>
  <si>
    <t>Возмещение работникам (сотрудникам) расходов, связанных со служебными командировками (суточные при служебных командировках)</t>
  </si>
  <si>
    <t>Оплата стоимости проезда к месту отдыха и обратно</t>
  </si>
  <si>
    <t>Подъемные</t>
  </si>
  <si>
    <t>Задолженность перед персоналом по иным выплатам персоналу учреждений, за исключением фонда оплаты труда"  (кредиторская задолженность) на начало года</t>
  </si>
  <si>
    <t>Задолженность перед персоналом по иным выплатам персоналу учреждений, за исключением фонда оплаты труда"  (кредиторская задолженность) на конец года</t>
  </si>
  <si>
    <t>Планируемые иные выплаты персоналу учреждений, за исключением фонда оплаты труда (с. 0100 - с. 0200 + с. 0300 - с. 0400 + с. 0500)</t>
  </si>
  <si>
    <t>919</t>
  </si>
  <si>
    <t>Задолженность (кредиторская задолженность) на начало года</t>
  </si>
  <si>
    <t>Задолженность  (дебиторская задолженность) на начало года</t>
  </si>
  <si>
    <t>Иные выплаты, за исключением фонда оплаты труда учреждений, лицам, привлекаемым согласно законодательству для выполнения отдельных полномочий</t>
  </si>
  <si>
    <t>Выплата суточных, а также денежных средств на питание (при невозможности приобретения услуг по его организации), а также компенсация расходов на проезд и проживание в жилых помещениях (найм жилого помещения) спортсменам и студентам при их направлении на различного рода мероприятия (соревнования, олимпиады, учебную практику и иные мероприятия) и приглашенным лицам</t>
  </si>
  <si>
    <t>Задолженность (кредиторская задолженность) на конец года</t>
  </si>
  <si>
    <t>Задолженность (дебиторская задолженность) на конец года</t>
  </si>
  <si>
    <t>в том числе</t>
  </si>
  <si>
    <t>966</t>
  </si>
  <si>
    <r>
      <t>Планируемые выплаты на оплату труда (</t>
    </r>
    <r>
      <rPr>
        <b/>
        <sz val="11"/>
        <color indexed="12"/>
        <rFont val="Times New Roman"/>
        <family val="1"/>
        <charset val="204"/>
      </rPr>
      <t>с. 0100</t>
    </r>
    <r>
      <rPr>
        <b/>
        <sz val="11"/>
        <color indexed="8"/>
        <rFont val="Times New Roman"/>
        <family val="1"/>
        <charset val="204"/>
      </rPr>
      <t xml:space="preserve"> - </t>
    </r>
    <r>
      <rPr>
        <b/>
        <sz val="11"/>
        <color indexed="12"/>
        <rFont val="Times New Roman"/>
        <family val="1"/>
        <charset val="204"/>
      </rPr>
      <t>с. 0200</t>
    </r>
    <r>
      <rPr>
        <b/>
        <sz val="11"/>
        <color indexed="8"/>
        <rFont val="Times New Roman"/>
        <family val="1"/>
        <charset val="204"/>
      </rPr>
      <t xml:space="preserve"> + </t>
    </r>
    <r>
      <rPr>
        <b/>
        <sz val="11"/>
        <color indexed="12"/>
        <rFont val="Times New Roman"/>
        <family val="1"/>
        <charset val="204"/>
      </rPr>
      <t>с. 0300</t>
    </r>
    <r>
      <rPr>
        <b/>
        <sz val="11"/>
        <color indexed="8"/>
        <rFont val="Times New Roman"/>
        <family val="1"/>
        <charset val="204"/>
      </rPr>
      <t xml:space="preserve"> - </t>
    </r>
    <r>
      <rPr>
        <b/>
        <sz val="11"/>
        <color indexed="12"/>
        <rFont val="Times New Roman"/>
        <family val="1"/>
        <charset val="204"/>
      </rPr>
      <t>с. 0400</t>
    </r>
    <r>
      <rPr>
        <b/>
        <sz val="11"/>
        <color indexed="8"/>
        <rFont val="Times New Roman"/>
        <family val="1"/>
        <charset val="204"/>
      </rPr>
      <t xml:space="preserve"> + </t>
    </r>
    <r>
      <rPr>
        <b/>
        <sz val="11"/>
        <color indexed="12"/>
        <rFont val="Times New Roman"/>
        <family val="1"/>
        <charset val="204"/>
      </rPr>
      <t>с. 0500</t>
    </r>
    <r>
      <rPr>
        <b/>
        <sz val="11"/>
        <color indexed="8"/>
        <rFont val="Times New Roman"/>
        <family val="1"/>
        <charset val="204"/>
      </rPr>
      <t>)</t>
    </r>
  </si>
  <si>
    <r>
      <t>Планируемые выплаты на страховые взносы на обязательное социальное страхование (</t>
    </r>
    <r>
      <rPr>
        <b/>
        <sz val="11"/>
        <color indexed="12"/>
        <rFont val="Times New Roman"/>
        <family val="1"/>
        <charset val="204"/>
      </rPr>
      <t>с. 0100</t>
    </r>
    <r>
      <rPr>
        <b/>
        <sz val="11"/>
        <color indexed="8"/>
        <rFont val="Times New Roman"/>
        <family val="1"/>
        <charset val="204"/>
      </rPr>
      <t xml:space="preserve"> - </t>
    </r>
    <r>
      <rPr>
        <b/>
        <sz val="11"/>
        <color indexed="12"/>
        <rFont val="Times New Roman"/>
        <family val="1"/>
        <charset val="204"/>
      </rPr>
      <t>с. 0200</t>
    </r>
    <r>
      <rPr>
        <b/>
        <sz val="11"/>
        <color indexed="8"/>
        <rFont val="Times New Roman"/>
        <family val="1"/>
        <charset val="204"/>
      </rPr>
      <t xml:space="preserve"> + </t>
    </r>
    <r>
      <rPr>
        <b/>
        <sz val="11"/>
        <color indexed="12"/>
        <rFont val="Times New Roman"/>
        <family val="1"/>
        <charset val="204"/>
      </rPr>
      <t>с. 0300</t>
    </r>
    <r>
      <rPr>
        <b/>
        <sz val="11"/>
        <color indexed="8"/>
        <rFont val="Times New Roman"/>
        <family val="1"/>
        <charset val="204"/>
      </rPr>
      <t xml:space="preserve"> - </t>
    </r>
    <r>
      <rPr>
        <b/>
        <sz val="11"/>
        <color indexed="12"/>
        <rFont val="Times New Roman"/>
        <family val="1"/>
        <charset val="204"/>
      </rPr>
      <t>с. 0400</t>
    </r>
    <r>
      <rPr>
        <b/>
        <sz val="11"/>
        <color indexed="8"/>
        <rFont val="Times New Roman"/>
        <family val="1"/>
        <charset val="204"/>
      </rPr>
      <t xml:space="preserve"> + </t>
    </r>
    <r>
      <rPr>
        <b/>
        <sz val="11"/>
        <color indexed="12"/>
        <rFont val="Times New Roman"/>
        <family val="1"/>
        <charset val="204"/>
      </rPr>
      <t>с. 0500</t>
    </r>
    <r>
      <rPr>
        <b/>
        <sz val="11"/>
        <color indexed="8"/>
        <rFont val="Times New Roman"/>
        <family val="1"/>
        <charset val="204"/>
      </rPr>
      <t>)</t>
    </r>
  </si>
  <si>
    <t>Задолженность(кредиторская задолженность) на начало года</t>
  </si>
  <si>
    <t>Задолженность(дебиторская задолженность) на начало года</t>
  </si>
  <si>
    <t>кто</t>
  </si>
  <si>
    <t>вневедомственная охрана, охранная и пожарная сигнализация</t>
  </si>
  <si>
    <t>Вознаграждение по договорам ГПХ с учетом страховых взносов</t>
  </si>
  <si>
    <t>приобретению периодических изданий, справочной литературы</t>
  </si>
  <si>
    <t>услуги по скорой медицинской помощи</t>
  </si>
  <si>
    <t>из них:</t>
  </si>
  <si>
    <t>обращение с твердыми коммунальными отходами</t>
  </si>
  <si>
    <t>За пределами планового периода</t>
  </si>
  <si>
    <t>Задолженность по доходам (дебиторская задолженность по доходам) на начало года</t>
  </si>
  <si>
    <t>Полученные предварительные платежи (авансы) по контрактам (договорам) (кредиторская задолженность по доходам) на начало года</t>
  </si>
  <si>
    <t>Доходы от собственности, всего</t>
  </si>
  <si>
    <t>доходы, получаемые в виде арендной либо иной платы за передачу в возмездное пользование муниципального имущества</t>
  </si>
  <si>
    <t>плата по соглашениям об установлении сервитута</t>
  </si>
  <si>
    <t>доходы в виде процентов по депозитам автономных учреждений в кредитных организациях</t>
  </si>
  <si>
    <t>доходы в виде процентов по остаткам средств на счетах автономных учреждений в кредитных организациях</t>
  </si>
  <si>
    <t>проценты, полученные от предоставления займов</t>
  </si>
  <si>
    <t>проценты по иным финансовым инструментам</t>
  </si>
  <si>
    <t>доходы в виде прибыли, приходящейся на доли в уставных (складочных) капиталах хозяйственных товариществ и обществ, или дивидендов по акциям, принадлежащим учреждению</t>
  </si>
  <si>
    <t>доходы от распоряжения правами на результаты интеллектуальной деятельности и средствами индивидуализации</t>
  </si>
  <si>
    <t>прочие поступления от использования имущества, находящегося в оперативном управлении учреждения</t>
  </si>
  <si>
    <t>Задолженность по доходам (дебиторская задолженность по доходам) на конец года</t>
  </si>
  <si>
    <t>Полученные предварительные платежи (авансы) по контрактам (договорам) (кредиторская задолженность по доходам) на конец года</t>
  </si>
  <si>
    <t>(наименование учреждения)</t>
  </si>
  <si>
    <t>Наименование объекта*</t>
  </si>
  <si>
    <t>Плата (тариф) арендной платы за единицу площади (объект), руб.</t>
  </si>
  <si>
    <t>Планируемый объем предоставления имущества в аренду (в натуральных показателях)</t>
  </si>
  <si>
    <t xml:space="preserve">Количество месяцев сдачи в аренду </t>
  </si>
  <si>
    <t>Объем планируемых поступлений, руб.</t>
  </si>
  <si>
    <t>Недвижимое имущество, всего</t>
  </si>
  <si>
    <t>х</t>
  </si>
  <si>
    <t>Доходы от оказания услуг, работ, компенсации затрат учреждений, всего</t>
  </si>
  <si>
    <t>доходы от оказания услуг, выполнения работ в рамках установленного муниципального задания</t>
  </si>
  <si>
    <t>доходы от оказания услуг, выполнения работ за плату сверх установленного муниципального задания и иной приносящей доход деятельности, предусмотренной уставом учреждения</t>
  </si>
  <si>
    <t>доходы, поступающие в порядке возмещения расходов, понесенных в связи с эксплуатацией имущества, находящегося в оперативном управлении учреждения</t>
  </si>
  <si>
    <t>Общий объем планируемых поступлений, руб.</t>
  </si>
  <si>
    <t>Движимое имущество, всего</t>
  </si>
  <si>
    <t>Главный бухгалтер</t>
  </si>
  <si>
    <t>Исполнитель</t>
  </si>
  <si>
    <t>Излишне полученные либо взысканные платежи (кредиторская задолженность по доходам) на начало года</t>
  </si>
  <si>
    <t>Доходы от штрафов, пеней, иных сумм принудительного изъятия, всего</t>
  </si>
  <si>
    <t>штрафы</t>
  </si>
  <si>
    <t>пени</t>
  </si>
  <si>
    <t>суммы принудительного изъятия</t>
  </si>
  <si>
    <t>Излишне полученные либо взысканные платежи (кредиторская задолженность по доходам) на конец года</t>
  </si>
  <si>
    <t>Безвозмездные денежные поступления, всего</t>
  </si>
  <si>
    <t>поступления текущего характера от других бюджетов бюджетной системы РФ</t>
  </si>
  <si>
    <t>поступления текущего характера бюджетным и автономным учреждениям от сектора государственного управления</t>
  </si>
  <si>
    <t>поступления текущего характера от организаций государственног сектора</t>
  </si>
  <si>
    <t>поступления текущего характера от иных резидентов (за исключением сектора государственного управления и организаций государственного сектора</t>
  </si>
  <si>
    <t>Наименование получателя грантов и пожертвований</t>
  </si>
  <si>
    <t>Наименование отправителя грантов и пожертвований</t>
  </si>
  <si>
    <t>Предмет договора</t>
  </si>
  <si>
    <t>Цели и мероприятия поступивших грантов и пожертвований</t>
  </si>
  <si>
    <t>Доходы прочие, всего</t>
  </si>
  <si>
    <t>целевые субсидии</t>
  </si>
  <si>
    <t>субсидии на осуществление капитальных вложений</t>
  </si>
  <si>
    <t>Увеличение остатков денежных средств за счет возврата дебиторской задолженности прошлых лет по статье 510 "Прочие поступления".</t>
  </si>
  <si>
    <t>Увеличение остатков денежных средств за счет возврата залоговых платежей, задатков, всего</t>
  </si>
  <si>
    <t>Увеличение остатков денежных средств за счет возврата ранее выплаченных авансов, всего</t>
  </si>
  <si>
    <t>Увеличение остатков дненежных средств за счет возврата сумм, ранее размещенных на депозитных счетах, всего</t>
  </si>
  <si>
    <t>Безвозмездные поступления</t>
  </si>
  <si>
    <t>уплата налогов, сборов и иных платежей</t>
  </si>
  <si>
    <t>Налоги, пошлины и сборы</t>
  </si>
  <si>
    <t>Штрафы за нарушение законодательства о налогах и сборах, законодательства о страховых взносах</t>
  </si>
  <si>
    <t>Другие экономические санкции</t>
  </si>
  <si>
    <t>Возмещение убытков и вреда</t>
  </si>
  <si>
    <t>Иные расходы</t>
  </si>
  <si>
    <t>Раздел 1. Поступления и выплаты</t>
  </si>
  <si>
    <t>текущий финансовый год</t>
  </si>
  <si>
    <t>0001</t>
  </si>
  <si>
    <t>0002</t>
  </si>
  <si>
    <t>Доходы, всего:</t>
  </si>
  <si>
    <t>1000</t>
  </si>
  <si>
    <t>в том числе:
доходы от собственности, всего</t>
  </si>
  <si>
    <t>1100</t>
  </si>
  <si>
    <t>1110</t>
  </si>
  <si>
    <t>доходы от оказания услуг, работ, компенсации затрат учреждений, всего</t>
  </si>
  <si>
    <t>130</t>
  </si>
  <si>
    <t>доходы от штрафов, пеней, иных сумм принудительного изъятия, всего</t>
  </si>
  <si>
    <t>безвозмездные денежные поступления, всего</t>
  </si>
  <si>
    <t>прочие доходы, всего</t>
  </si>
  <si>
    <t>150</t>
  </si>
  <si>
    <t>увеличение остатков денежных средств за счет возврата дебиторской задолженности прошлых лет</t>
  </si>
  <si>
    <t>510</t>
  </si>
  <si>
    <t>Расходы, всего</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</si>
  <si>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</si>
  <si>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</si>
  <si>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</si>
  <si>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на иные выплаты работникам</t>
  </si>
  <si>
    <t>социальные и иные выплаты населению, всего</t>
  </si>
  <si>
    <t>уплата налогов, сборов и иных платежей, всего</t>
  </si>
  <si>
    <t>из них:
налог на имущество организаций и земельный налог</t>
  </si>
  <si>
    <t>иные налоги (включаемые в состав расходов) в бюджеты бюджетной системы Российской Федерации, а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</si>
  <si>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</si>
  <si>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</si>
  <si>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взносы в международные организации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</si>
  <si>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</si>
  <si>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t>
  </si>
  <si>
    <t>закупку товаров, работ, услуг в целях капитального ремонта государственного (муниципального) имущества</t>
  </si>
  <si>
    <t>из них:
возврат в бюджет средств субсидии</t>
  </si>
  <si>
    <t>за пределами планового периода</t>
  </si>
  <si>
    <t>1</t>
  </si>
  <si>
    <t>2</t>
  </si>
  <si>
    <t>3</t>
  </si>
  <si>
    <t>4</t>
  </si>
  <si>
    <t>5</t>
  </si>
  <si>
    <t>6</t>
  </si>
  <si>
    <t>7</t>
  </si>
  <si>
    <t>8</t>
  </si>
  <si>
    <t>КОСГУ</t>
  </si>
  <si>
    <t>226</t>
  </si>
  <si>
    <t>213</t>
  </si>
  <si>
    <t>992</t>
  </si>
  <si>
    <t>991</t>
  </si>
  <si>
    <t>265</t>
  </si>
  <si>
    <t>917</t>
  </si>
  <si>
    <t>291</t>
  </si>
  <si>
    <t>967</t>
  </si>
  <si>
    <t>000</t>
  </si>
  <si>
    <t>297</t>
  </si>
  <si>
    <t>965</t>
  </si>
  <si>
    <r>
      <t>Планируемые выплаты на закупку товаров, работ и услуг (</t>
    </r>
    <r>
      <rPr>
        <b/>
        <sz val="11"/>
        <color indexed="12"/>
        <rFont val="Times New Roman"/>
        <family val="1"/>
        <charset val="204"/>
      </rPr>
      <t>с. 0100</t>
    </r>
    <r>
      <rPr>
        <b/>
        <sz val="11"/>
        <color indexed="8"/>
        <rFont val="Times New Roman"/>
        <family val="1"/>
        <charset val="204"/>
      </rPr>
      <t xml:space="preserve"> - </t>
    </r>
    <r>
      <rPr>
        <b/>
        <sz val="11"/>
        <color indexed="12"/>
        <rFont val="Times New Roman"/>
        <family val="1"/>
        <charset val="204"/>
      </rPr>
      <t>с. 0200</t>
    </r>
    <r>
      <rPr>
        <b/>
        <sz val="11"/>
        <color indexed="8"/>
        <rFont val="Times New Roman"/>
        <family val="1"/>
        <charset val="204"/>
      </rPr>
      <t xml:space="preserve"> + </t>
    </r>
    <r>
      <rPr>
        <b/>
        <sz val="11"/>
        <color indexed="12"/>
        <rFont val="Times New Roman"/>
        <family val="1"/>
        <charset val="204"/>
      </rPr>
      <t>с. 0300</t>
    </r>
    <r>
      <rPr>
        <b/>
        <sz val="11"/>
        <color indexed="8"/>
        <rFont val="Times New Roman"/>
        <family val="1"/>
        <charset val="204"/>
      </rPr>
      <t xml:space="preserve"> - </t>
    </r>
    <r>
      <rPr>
        <b/>
        <sz val="11"/>
        <color indexed="12"/>
        <rFont val="Times New Roman"/>
        <family val="1"/>
        <charset val="204"/>
      </rPr>
      <t>с. 0400</t>
    </r>
    <r>
      <rPr>
        <b/>
        <sz val="11"/>
        <color indexed="8"/>
        <rFont val="Times New Roman"/>
        <family val="1"/>
        <charset val="204"/>
      </rPr>
      <t xml:space="preserve"> + </t>
    </r>
    <r>
      <rPr>
        <b/>
        <sz val="11"/>
        <color indexed="12"/>
        <rFont val="Times New Roman"/>
        <family val="1"/>
        <charset val="204"/>
      </rPr>
      <t>с. 0500</t>
    </r>
    <r>
      <rPr>
        <b/>
        <sz val="11"/>
        <color indexed="8"/>
        <rFont val="Times New Roman"/>
        <family val="1"/>
        <charset val="204"/>
      </rPr>
      <t>)</t>
    </r>
  </si>
  <si>
    <t>Специальность (инструменты)</t>
  </si>
  <si>
    <t>Кол-во детей ВСЕГО</t>
  </si>
  <si>
    <t>Из них получающие льготы по оплате:</t>
  </si>
  <si>
    <t>Дети-инвалиды</t>
  </si>
  <si>
    <t>Дети, из малообеспеченных семей (семьи со среднедушевым доходом ниже величины прожиточного минимума).</t>
  </si>
  <si>
    <t>Дети, обучающиеся на 2-х отделениях</t>
  </si>
  <si>
    <t xml:space="preserve">Один ребенок из семей, другие дети которых обучаются с ним
</t>
  </si>
  <si>
    <t>Кол-во детей</t>
  </si>
  <si>
    <t xml:space="preserve">Процент льготы </t>
  </si>
  <si>
    <t>Сумма льготы</t>
  </si>
  <si>
    <t>Процент льготы</t>
  </si>
  <si>
    <t>Фортепиано</t>
  </si>
  <si>
    <t>усл.ед.</t>
  </si>
  <si>
    <t>Количество, ед.</t>
  </si>
  <si>
    <t>Средняя стоимость, руб.ед.</t>
  </si>
  <si>
    <t>Доходы</t>
  </si>
  <si>
    <t>план на 2022 год</t>
  </si>
  <si>
    <t xml:space="preserve">Культурно - досуговые мероприятия </t>
  </si>
  <si>
    <t>первый год планового периода</t>
  </si>
  <si>
    <t>второй год планового периода</t>
  </si>
  <si>
    <r>
      <t>Планируемые поступления доходов от оказания услуг, компенсации затрат учреждения (</t>
    </r>
    <r>
      <rPr>
        <b/>
        <sz val="11"/>
        <color indexed="12"/>
        <rFont val="Times New Roman"/>
        <family val="1"/>
        <charset val="204"/>
      </rPr>
      <t>с. 0100</t>
    </r>
    <r>
      <rPr>
        <b/>
        <sz val="11"/>
        <color indexed="8"/>
        <rFont val="Times New Roman"/>
        <family val="1"/>
        <charset val="204"/>
      </rPr>
      <t xml:space="preserve"> - </t>
    </r>
    <r>
      <rPr>
        <b/>
        <sz val="11"/>
        <color indexed="12"/>
        <rFont val="Times New Roman"/>
        <family val="1"/>
        <charset val="204"/>
      </rPr>
      <t>с. 0200</t>
    </r>
    <r>
      <rPr>
        <b/>
        <sz val="11"/>
        <color indexed="8"/>
        <rFont val="Times New Roman"/>
        <family val="1"/>
        <charset val="204"/>
      </rPr>
      <t xml:space="preserve"> + </t>
    </r>
    <r>
      <rPr>
        <b/>
        <sz val="11"/>
        <color indexed="12"/>
        <rFont val="Times New Roman"/>
        <family val="1"/>
        <charset val="204"/>
      </rPr>
      <t>с. 0300</t>
    </r>
    <r>
      <rPr>
        <b/>
        <sz val="11"/>
        <color indexed="8"/>
        <rFont val="Times New Roman"/>
        <family val="1"/>
        <charset val="204"/>
      </rPr>
      <t xml:space="preserve"> - </t>
    </r>
    <r>
      <rPr>
        <b/>
        <sz val="11"/>
        <color indexed="12"/>
        <rFont val="Times New Roman"/>
        <family val="1"/>
        <charset val="204"/>
      </rPr>
      <t>с. 0400</t>
    </r>
    <r>
      <rPr>
        <b/>
        <sz val="11"/>
        <color indexed="8"/>
        <rFont val="Times New Roman"/>
        <family val="1"/>
        <charset val="204"/>
      </rPr>
      <t xml:space="preserve"> + </t>
    </r>
    <r>
      <rPr>
        <b/>
        <sz val="11"/>
        <color indexed="12"/>
        <rFont val="Times New Roman"/>
        <family val="1"/>
        <charset val="204"/>
      </rPr>
      <t>с. 0500</t>
    </r>
    <r>
      <rPr>
        <b/>
        <sz val="11"/>
        <color indexed="8"/>
        <rFont val="Times New Roman"/>
        <family val="1"/>
        <charset val="204"/>
      </rPr>
      <t>)</t>
    </r>
  </si>
  <si>
    <t>гранты, предоставляемые автономным учреждениям</t>
  </si>
  <si>
    <t>возврат фонда социального страхования</t>
  </si>
  <si>
    <t>180</t>
  </si>
  <si>
    <t>Абонентский номер индивидуального пользования (основной телефонный аппарат)</t>
  </si>
  <si>
    <t>Прочие поступления денежных средств, всего</t>
  </si>
  <si>
    <t>на 2023 г.</t>
  </si>
  <si>
    <t>план на 2023 год</t>
  </si>
  <si>
    <t>Остаток субсидии прошлого года</t>
  </si>
  <si>
    <t>договор</t>
  </si>
  <si>
    <t>Гкал</t>
  </si>
  <si>
    <t>Горячее в/снабжение (компонент на тепловую энергию)</t>
  </si>
  <si>
    <t>Отопление</t>
  </si>
  <si>
    <t>Горячее в/снабжение (компонент на теплоноситель)</t>
  </si>
  <si>
    <t>Водоотведение</t>
  </si>
  <si>
    <r>
      <t>Планируемые поступления доходов от штрафов, пеней, иных сумм принудительного изъятия (</t>
    </r>
    <r>
      <rPr>
        <b/>
        <sz val="11"/>
        <color indexed="12"/>
        <rFont val="Times New Roman"/>
        <family val="1"/>
        <charset val="204"/>
      </rPr>
      <t>с. 0100</t>
    </r>
    <r>
      <rPr>
        <b/>
        <sz val="11"/>
        <color indexed="8"/>
        <rFont val="Times New Roman"/>
        <family val="1"/>
        <charset val="204"/>
      </rPr>
      <t xml:space="preserve"> - </t>
    </r>
    <r>
      <rPr>
        <b/>
        <sz val="11"/>
        <color indexed="12"/>
        <rFont val="Times New Roman"/>
        <family val="1"/>
        <charset val="204"/>
      </rPr>
      <t>с. 0200</t>
    </r>
    <r>
      <rPr>
        <b/>
        <sz val="11"/>
        <color indexed="8"/>
        <rFont val="Times New Roman"/>
        <family val="1"/>
        <charset val="204"/>
      </rPr>
      <t xml:space="preserve"> + </t>
    </r>
    <r>
      <rPr>
        <b/>
        <sz val="11"/>
        <color indexed="12"/>
        <rFont val="Times New Roman"/>
        <family val="1"/>
        <charset val="204"/>
      </rPr>
      <t>с. 0300</t>
    </r>
    <r>
      <rPr>
        <b/>
        <sz val="11"/>
        <color indexed="8"/>
        <rFont val="Times New Roman"/>
        <family val="1"/>
        <charset val="204"/>
      </rPr>
      <t xml:space="preserve"> - </t>
    </r>
    <r>
      <rPr>
        <b/>
        <sz val="11"/>
        <color indexed="12"/>
        <rFont val="Times New Roman"/>
        <family val="1"/>
        <charset val="204"/>
      </rPr>
      <t>с. 0400</t>
    </r>
    <r>
      <rPr>
        <b/>
        <sz val="11"/>
        <color indexed="8"/>
        <rFont val="Times New Roman"/>
        <family val="1"/>
        <charset val="204"/>
      </rPr>
      <t xml:space="preserve"> + </t>
    </r>
    <r>
      <rPr>
        <b/>
        <sz val="11"/>
        <color indexed="12"/>
        <rFont val="Times New Roman"/>
        <family val="1"/>
        <charset val="204"/>
      </rPr>
      <t>с. 0500</t>
    </r>
    <r>
      <rPr>
        <b/>
        <sz val="11"/>
        <color indexed="8"/>
        <rFont val="Times New Roman"/>
        <family val="1"/>
        <charset val="204"/>
      </rPr>
      <t>)</t>
    </r>
  </si>
  <si>
    <t>Техническое обслуживание  АУТВР</t>
  </si>
  <si>
    <t>Дератизация и дезинсекция помещений</t>
  </si>
  <si>
    <t>Мерзлотно - технический надзор за зданием</t>
  </si>
  <si>
    <t>Тревожная сигнализация</t>
  </si>
  <si>
    <t>Охрана физическая</t>
  </si>
  <si>
    <t>Обучение пожарно-техническому минимуму</t>
  </si>
  <si>
    <t>Гигиеническое обучение сотрудников</t>
  </si>
  <si>
    <t>120</t>
  </si>
  <si>
    <t>закупку энергетических ресурсов</t>
  </si>
  <si>
    <t>Всего:</t>
  </si>
  <si>
    <t>доходы от операций с активами, всего</t>
  </si>
  <si>
    <t>выплата стипендий, осуществление иных расходов на социальную поддержку обучающихся за счет средств стипендиального фонда</t>
  </si>
  <si>
    <t>иные выплаты населению</t>
  </si>
  <si>
    <t>гранты, предоставляемые другим организациям и физическим лицам</t>
  </si>
  <si>
    <t>платежи в целях обеспечения реализации соглашений с правительствами иностранных государств и международными организациями</t>
  </si>
  <si>
    <t>на 2024 г.</t>
  </si>
  <si>
    <t>Планируемые на очередной финансовый год доходы от оказания платных услуг на 2022 -2024 годы</t>
  </si>
  <si>
    <t>план на 2024 год</t>
  </si>
  <si>
    <t>Очистка кровель от снега и наледи</t>
  </si>
  <si>
    <t>Скрипка</t>
  </si>
  <si>
    <t>Баян</t>
  </si>
  <si>
    <t>0100</t>
  </si>
  <si>
    <t>0200</t>
  </si>
  <si>
    <t>0300</t>
  </si>
  <si>
    <t>0310</t>
  </si>
  <si>
    <t>0320</t>
  </si>
  <si>
    <t>0330</t>
  </si>
  <si>
    <t>0340</t>
  </si>
  <si>
    <t>0350</t>
  </si>
  <si>
    <t>0360</t>
  </si>
  <si>
    <t>0370</t>
  </si>
  <si>
    <t>0380</t>
  </si>
  <si>
    <t>0390</t>
  </si>
  <si>
    <t>0400</t>
  </si>
  <si>
    <t>0500</t>
  </si>
  <si>
    <t>0600</t>
  </si>
  <si>
    <t>Планируемые поступления доходов от собственности (с. 0100 - с. 0200 + с. 0300 - с. 0400 + с. 0500)</t>
  </si>
  <si>
    <t>0201</t>
  </si>
  <si>
    <t>0101</t>
  </si>
  <si>
    <t>0311</t>
  </si>
  <si>
    <t>Обоснование (расчет) средств на возмещение расходов по комплексному техническому обслуживанию, коммунальным услугам, электроэнергии по возмездным договорам аренды имущества на 2022-2024 годы</t>
  </si>
  <si>
    <t>Вид возмещаемых расходов</t>
  </si>
  <si>
    <t>Средняя плата (тариф) за месяц услуги (работы), руб.</t>
  </si>
  <si>
    <t>Количество месяцев, планируемые к возмещению</t>
  </si>
  <si>
    <t>002</t>
  </si>
  <si>
    <t>0312</t>
  </si>
  <si>
    <t>0313</t>
  </si>
  <si>
    <t>0315</t>
  </si>
  <si>
    <t>0316</t>
  </si>
  <si>
    <t>0321</t>
  </si>
  <si>
    <t>0301</t>
  </si>
  <si>
    <t>0401</t>
  </si>
  <si>
    <t>0302</t>
  </si>
  <si>
    <t>0303</t>
  </si>
  <si>
    <t>0304</t>
  </si>
  <si>
    <t>0306</t>
  </si>
  <si>
    <t>0307</t>
  </si>
  <si>
    <t>0305</t>
  </si>
  <si>
    <t>0314</t>
  </si>
  <si>
    <t>0317</t>
  </si>
  <si>
    <t>0318</t>
  </si>
  <si>
    <t>0319</t>
  </si>
  <si>
    <t>Возврат оплаты проезда</t>
  </si>
  <si>
    <t>14</t>
  </si>
  <si>
    <t xml:space="preserve"> м3</t>
  </si>
  <si>
    <t>2025 год</t>
  </si>
  <si>
    <t>на 2025 г.</t>
  </si>
  <si>
    <t>Обоснование (расчет) плановых показателей по выплатам по элементу вида расходов классификации расходов бюджетов 111 "Фонд оплаты труда учреждений"</t>
  </si>
  <si>
    <t>Обоснование (расчет) плановых показателей по выплатам по элементу вида расходов классификации расходов бюджетов 119 «взносы по обязательному социальному страхованию на выплаты по оплате труда работников и иные выплаты работникам учреждений»</t>
  </si>
  <si>
    <t>Обоснование (расчет) плановых показателей по выплатам по элементу вида расходов классификации расходов бюджетов 112 "Иные выплаты персоналу учреждений, за исключением фонда оплаты труда"</t>
  </si>
  <si>
    <t>Код по бюджетной классификации Российской Федерации</t>
  </si>
  <si>
    <t>Аналитический код</t>
  </si>
  <si>
    <t>Код субсидии</t>
  </si>
  <si>
    <t>Отраслевой код</t>
  </si>
  <si>
    <t>КВФО</t>
  </si>
  <si>
    <t>Аналитическая группа</t>
  </si>
  <si>
    <t>КФСР</t>
  </si>
  <si>
    <t>КЦСР</t>
  </si>
  <si>
    <t>на 2025 г</t>
  </si>
  <si>
    <t>9</t>
  </si>
  <si>
    <t>10</t>
  </si>
  <si>
    <t>11</t>
  </si>
  <si>
    <t>12</t>
  </si>
  <si>
    <t>13</t>
  </si>
  <si>
    <t>15</t>
  </si>
  <si>
    <t>Остаток средств на начало текущего финансового года</t>
  </si>
  <si>
    <t>Остаток средств на конец текущего финансового года</t>
  </si>
  <si>
    <t>0000000000</t>
  </si>
  <si>
    <t>0</t>
  </si>
  <si>
    <t>0000</t>
  </si>
  <si>
    <t xml:space="preserve">        Доходы в виде процентов по остаткам средств на счетах автономных учреждений в кредитных организациях</t>
  </si>
  <si>
    <t>1130</t>
  </si>
  <si>
    <t>0000000000000000000000810</t>
  </si>
  <si>
    <t xml:space="preserve">        Доходы в виде процентов по депозитам автономных учреждений в кредитных организациях</t>
  </si>
  <si>
    <t>1120</t>
  </si>
  <si>
    <t xml:space="preserve">        Доходы, получаемые в виде арендной либо иной платы за передачу в возмездное пользование муниципального имущества</t>
  </si>
  <si>
    <t>1200</t>
  </si>
  <si>
    <t>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</si>
  <si>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</si>
  <si>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131</t>
  </si>
  <si>
    <t>0703</t>
  </si>
  <si>
    <t>1220</t>
  </si>
  <si>
    <t>прочие поступления</t>
  </si>
  <si>
    <t>1230</t>
  </si>
  <si>
    <t>1300</t>
  </si>
  <si>
    <t>140</t>
  </si>
  <si>
    <t xml:space="preserve">    Доходы от штрафов, пеней, иных сумм принудительного изъятия, всего</t>
  </si>
  <si>
    <t>1400</t>
  </si>
  <si>
    <t>1410</t>
  </si>
  <si>
    <t>1420</t>
  </si>
  <si>
    <t>1430</t>
  </si>
  <si>
    <t>1500</t>
  </si>
  <si>
    <t xml:space="preserve">    Прочие доходы, всего</t>
  </si>
  <si>
    <t>0000000000000000000000000</t>
  </si>
  <si>
    <t>1900</t>
  </si>
  <si>
    <t>прочие поступления, всего</t>
  </si>
  <si>
    <t>1980</t>
  </si>
  <si>
    <t>1981</t>
  </si>
  <si>
    <t>Поступление финансовых активов, всего</t>
  </si>
  <si>
    <t>Поступления от доходов, всего</t>
  </si>
  <si>
    <t xml:space="preserve">    Доходы от операций с активами, всего</t>
  </si>
  <si>
    <t>2000</t>
  </si>
  <si>
    <t>в том числе:
на выплаты персоналу, всего</t>
  </si>
  <si>
    <t>2100</t>
  </si>
  <si>
    <t>в том числе:
оплата труда</t>
  </si>
  <si>
    <t>2110</t>
  </si>
  <si>
    <t>111</t>
  </si>
  <si>
    <t>2120</t>
  </si>
  <si>
    <t>112</t>
  </si>
  <si>
    <t>2130</t>
  </si>
  <si>
    <t>113</t>
  </si>
  <si>
    <t>2140</t>
  </si>
  <si>
    <t>119</t>
  </si>
  <si>
    <t>в том числе:
на выплаты по оплате труда</t>
  </si>
  <si>
    <t>2141</t>
  </si>
  <si>
    <t>2142</t>
  </si>
  <si>
    <t>денежное довольствие военнослужащих и сотрудников, имеющих специальные звания</t>
  </si>
  <si>
    <t>2150</t>
  </si>
  <si>
    <t>расходы на выплаты военнослужащим и сотрудникам, имеющим специальные звания, зависящие от размера денежного довольствия</t>
  </si>
  <si>
    <t>2160</t>
  </si>
  <si>
    <t>133</t>
  </si>
  <si>
    <t>иные выплаты военнослужащим и сотрудникам, имеющим специальные звания</t>
  </si>
  <si>
    <t>2170</t>
  </si>
  <si>
    <t>134</t>
  </si>
  <si>
    <t>страховые взносы на обязательное социальное страхование в части выплат персоналу, подлежащих обложению страховыми взносами</t>
  </si>
  <si>
    <t>2180</t>
  </si>
  <si>
    <t>139</t>
  </si>
  <si>
    <t>в том числе:
на оплату труда стажеров</t>
  </si>
  <si>
    <t>2181</t>
  </si>
  <si>
    <t>2200</t>
  </si>
  <si>
    <t>300</t>
  </si>
  <si>
    <t>в том числе:
социальные выплаты гражданам, кроме публичных нормативных социальных выплат</t>
  </si>
  <si>
    <t>2210</t>
  </si>
  <si>
    <t>320</t>
  </si>
  <si>
    <t>из них:
пособия, компенсации и иные социальные выплаты гражданам, кроме публичных нормативных обязательств</t>
  </si>
  <si>
    <t>2211</t>
  </si>
  <si>
    <t>321</t>
  </si>
  <si>
    <t>0850000600</t>
  </si>
  <si>
    <t xml:space="preserve">            Приобретение товаров, работ и услуг в пользу граждан в целях их социального обеспечения</t>
  </si>
  <si>
    <t>2212</t>
  </si>
  <si>
    <t>323</t>
  </si>
  <si>
    <t>2220</t>
  </si>
  <si>
    <t>340</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</si>
  <si>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</si>
  <si>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2230</t>
  </si>
  <si>
    <t>350</t>
  </si>
  <si>
    <t>2240</t>
  </si>
  <si>
    <t>360</t>
  </si>
  <si>
    <t>2300</t>
  </si>
  <si>
    <t>850</t>
  </si>
  <si>
    <t>2310</t>
  </si>
  <si>
    <t>851</t>
  </si>
  <si>
    <t>2320</t>
  </si>
  <si>
    <t>852</t>
  </si>
  <si>
    <t>2330</t>
  </si>
  <si>
    <t>853</t>
  </si>
  <si>
    <t>2400</t>
  </si>
  <si>
    <t>из них:
гранты, предоставляемые бюджетным учреждения</t>
  </si>
  <si>
    <t>2410</t>
  </si>
  <si>
    <t>613</t>
  </si>
  <si>
    <t>2420</t>
  </si>
  <si>
    <t>623</t>
  </si>
  <si>
    <t>гранты, предоставляемые иным некоммерческим организациям ( за исключением автономных и бюджетных учреждений)</t>
  </si>
  <si>
    <t>2430</t>
  </si>
  <si>
    <t>624</t>
  </si>
  <si>
    <t>2440</t>
  </si>
  <si>
    <t>810</t>
  </si>
  <si>
    <t>2450</t>
  </si>
  <si>
    <t>862</t>
  </si>
  <si>
    <t>2460</t>
  </si>
  <si>
    <t>863</t>
  </si>
  <si>
    <t>2500</t>
  </si>
  <si>
    <t>2520</t>
  </si>
  <si>
    <t>831</t>
  </si>
  <si>
    <t>расходы на закупку товаров, работ, услуг, всего</t>
  </si>
  <si>
    <t>2600</t>
  </si>
  <si>
    <t>в том числе:
закупку научно-исследовательских, опытно-конструкторских технологических работ</t>
  </si>
  <si>
    <t>2610</t>
  </si>
  <si>
    <t>241</t>
  </si>
  <si>
    <t>2630</t>
  </si>
  <si>
    <t>243</t>
  </si>
  <si>
    <t>прочую закупку товаров, работ и услуг</t>
  </si>
  <si>
    <t>2640</t>
  </si>
  <si>
    <t>244</t>
  </si>
  <si>
    <t>закупку товаров, работ, услуг в целях создания, развития, эксплуатации и вывода из эксплуатации государственных информационных систем</t>
  </si>
  <si>
    <t>2650</t>
  </si>
  <si>
    <t>246</t>
  </si>
  <si>
    <t>2660</t>
  </si>
  <si>
    <t>247</t>
  </si>
  <si>
    <t>223</t>
  </si>
  <si>
    <t>капитальные вложения в объекты государственной (муниципальной) собственности, всего</t>
  </si>
  <si>
    <t>2670</t>
  </si>
  <si>
    <t>400</t>
  </si>
  <si>
    <t>в том числе:
приобретение объектов недвижимого имущества государственными (муниципальными) учреждениями</t>
  </si>
  <si>
    <t>2671</t>
  </si>
  <si>
    <t>406</t>
  </si>
  <si>
    <t>строительство (реконструкция) объектов недвижимого имущества государственными (муниципальными) учреждениями</t>
  </si>
  <si>
    <t>2672</t>
  </si>
  <si>
    <t>407</t>
  </si>
  <si>
    <t>специальные расходы</t>
  </si>
  <si>
    <t>2800</t>
  </si>
  <si>
    <t>880</t>
  </si>
  <si>
    <t>Выплаты, уменьшающие доход, всего</t>
  </si>
  <si>
    <t>3000</t>
  </si>
  <si>
    <t>100</t>
  </si>
  <si>
    <t>189</t>
  </si>
  <si>
    <t>в том числе:
налог на прибыль</t>
  </si>
  <si>
    <t>3010</t>
  </si>
  <si>
    <t>налог на добавленную стоимость</t>
  </si>
  <si>
    <t>3020</t>
  </si>
  <si>
    <t>прочие налоги, уменьшающие доход</t>
  </si>
  <si>
    <t>3030</t>
  </si>
  <si>
    <t>Прочие выплаты, всего</t>
  </si>
  <si>
    <t>4000</t>
  </si>
  <si>
    <t>610</t>
  </si>
  <si>
    <t>4010</t>
  </si>
  <si>
    <t>Выплаты по расходам, всего</t>
  </si>
  <si>
    <t xml:space="preserve">    Безвозмездные перечисления организациям</t>
  </si>
  <si>
    <t xml:space="preserve">        Гранты, предоставляемые иным некоммерческим организациям (за исключением автономных и бюджетных учреждений)</t>
  </si>
  <si>
    <t>634</t>
  </si>
  <si>
    <t>981   984  982  985  986</t>
  </si>
  <si>
    <t>Обоснование (расчет) плановых показателей по выплатам по элементу вида расходов классификации расходов бюджетов 113 "Иные выплаты, за исключением фонда оплаты труда учреждений, лицам, привлекаемым согласно законодательству для выполнения отдельных полномочий"</t>
  </si>
  <si>
    <t>Обоснование (расчет) плановых показателей по выплатам по элементу вида расходов классификации расходов бюджетов 244 «Прочая закупка товаров, работ и услуг»</t>
  </si>
  <si>
    <t>Обоснование (расчет) плановых показателей по выплатам по элементу вида расходов классификации расходов бюджетов 247 «Закупка энергетических ресурсов"</t>
  </si>
  <si>
    <t>Обоснование (расчет) плановых показателей по выплатам по элементу вида расходов классификации расходов бюджетов 321 "Пособия, компенсации и иные социальные выплаты гражданам, кроме публичных нормативных обязательств"</t>
  </si>
  <si>
    <t>Компенсация расходов, связанных с переездом из районов Крайнего Севера</t>
  </si>
  <si>
    <t>Безвозмездные поступления муниципальным бюджетным и автономным учреждениям  Доп ЭК 820</t>
  </si>
  <si>
    <t>Собственные доходы муниципальных бюджетных и автономных учреждений            Доп ЭК 810</t>
  </si>
  <si>
    <t>Безвозмездные поступления муниципальным бюджетным и автономным учреждениям      Доп ЭК 820</t>
  </si>
  <si>
    <t>Собственные доходы муниципальных бюджетных и автономных учреждений        Доп ЭК 810</t>
  </si>
  <si>
    <t>Собственные доходы муниципальных бюджетных и автономных учреждений             Доп ЭК 810</t>
  </si>
  <si>
    <t>КВР</t>
  </si>
  <si>
    <t xml:space="preserve">субсидии на финансовое обеспечение выполнения муниципального задания </t>
  </si>
  <si>
    <t>целевые субсидии капитального характера</t>
  </si>
  <si>
    <t>Утверждаю</t>
  </si>
  <si>
    <t>(наименование должности лица, утверждающего документ)</t>
  </si>
  <si>
    <t>(подпись)</t>
  </si>
  <si>
    <t>(расшифровка подписи)</t>
  </si>
  <si>
    <t>ПЛАН</t>
  </si>
  <si>
    <t>Коды</t>
  </si>
  <si>
    <t>Орган, осуществляющий</t>
  </si>
  <si>
    <t>Дата</t>
  </si>
  <si>
    <t>функции и полномочия учредителя: Управление по делам культуры и искусства Администрации города Норильска</t>
  </si>
  <si>
    <t>по Сводному реестру</t>
  </si>
  <si>
    <t>глава по БК</t>
  </si>
  <si>
    <t>ИНН</t>
  </si>
  <si>
    <t>Единица измерения: руб.</t>
  </si>
  <si>
    <t>КПП</t>
  </si>
  <si>
    <t>по ОКЕИ</t>
  </si>
  <si>
    <t>_____1_В случае утверждения закона (решения) о бюджете на текущий финансовый год и плановый период.</t>
  </si>
  <si>
    <t>_____2_Указывается дата подписания Плана, а в случае утверждения Плана уполномоченным лицом учреждения - дата утверждения Плана.</t>
  </si>
  <si>
    <t>_____3_В графе 3 отражаются:</t>
  </si>
  <si>
    <t>_____по строкам 1100 - 1900 - коды аналитической группы подвида доходов бюджетов классификации доходов бюджетов;</t>
  </si>
  <si>
    <t>_____по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t>
  </si>
  <si>
    <t>_____по строкам 2000 - 2652 - коды видов расходов бюджетов классификации расходов бюджетов;</t>
  </si>
  <si>
    <t>_____по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</si>
  <si>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_____по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</si>
  <si>
    <t>4.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</si>
  <si>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5. 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t>
  </si>
  <si>
    <t>6. 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t>
  </si>
  <si>
    <t>7. Показатель отражается со знаком "минус".</t>
  </si>
  <si>
    <t>доходы от возмещений Фондом социального страхования РФ</t>
  </si>
  <si>
    <t>Обоснование (расчет) плановых показателей по выплатам по элементу вида расходов классификации расходов бюджетов  850 "Уплата налогов, сборов и иных платежей"</t>
  </si>
  <si>
    <t>8. 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</si>
  <si>
    <t xml:space="preserve">Начальник ПЭО               </t>
  </si>
  <si>
    <t>Согласовано в части строк: 1980; 3000; 4000</t>
  </si>
  <si>
    <t>Сумма, руб. (с точностью до двух знаков после запятой-0,00)</t>
  </si>
  <si>
    <t>Собственные доходы муниципальных бюджетных и автономных учреждений Доп Эк 810</t>
  </si>
  <si>
    <t>Субсидия на иные цели Доп Эк 841</t>
  </si>
  <si>
    <t>Безвозмезд ные поступления муниципальным бюджетным и автономным учреждениям Доп Эк 820</t>
  </si>
  <si>
    <t>Безвозмездные поступления муниципальным бюджетным и автономным учрежде ниям Доп Эк 820</t>
  </si>
  <si>
    <t>Субсидия на выполнение муни ципаль ного зада ния Доп ЭК 831</t>
  </si>
  <si>
    <t>Субсидия на выполнение муни ципаль ного задания Доп ЭК 831</t>
  </si>
  <si>
    <t>Безвозмездные поступления муниципальным бюджетным и автономным учреждениям Доп Эк 820</t>
  </si>
  <si>
    <t>Е.Н. Евтешина</t>
  </si>
  <si>
    <t>Директор МБУ ДО "Норильская детская школа искусств"</t>
  </si>
  <si>
    <t>Поверка средств измерений</t>
  </si>
  <si>
    <t>Проведение лабораторно-инструментальных исследований согласно требованиям Санитарных норм</t>
  </si>
  <si>
    <t>Расходы на организацию мероприятий</t>
  </si>
  <si>
    <t>0322</t>
  </si>
  <si>
    <t>Виолончель</t>
  </si>
  <si>
    <t>Домра</t>
  </si>
  <si>
    <t>Аккордеон</t>
  </si>
  <si>
    <t>Балалайка</t>
  </si>
  <si>
    <t>0323</t>
  </si>
  <si>
    <t>Текущий ремонт оборудования</t>
  </si>
  <si>
    <t>Охранно-пожарная сигнализация (Вывод сигнала срабатывания систем ПС на пульт, мониторинговые услуги)</t>
  </si>
  <si>
    <t xml:space="preserve">Заработная плата </t>
  </si>
  <si>
    <t>" " октября  2023  г.</t>
  </si>
  <si>
    <t xml:space="preserve"> </t>
  </si>
  <si>
    <t>Расчет доходов в виде арендной либо иной платы за передачу в возмездное пользование муниципального имущества.</t>
  </si>
  <si>
    <t>ДопКР</t>
  </si>
  <si>
    <t>Оплата листов временной нетрудоспособности</t>
  </si>
  <si>
    <t>Начисления на выплаты по оплате труда</t>
  </si>
  <si>
    <t>Среднее значение</t>
  </si>
  <si>
    <t>Соблюдение гарантий и компенсаций, связанных с переездом и оплатой стоимости проезда и провоза багажа к месту использования отпуска и обратно
КЦСР 0850000600</t>
  </si>
  <si>
    <t xml:space="preserve">Субсидия на иные цели </t>
  </si>
  <si>
    <t xml:space="preserve">Количество </t>
  </si>
  <si>
    <t>шт. ед.</t>
  </si>
  <si>
    <t xml:space="preserve">Обоснование (расчет) плановых показателей по выплатам по элементу вида расходов классификации расходов бюджетов 119 «взносы по обязательному социальному страхованию на выплаты по оплате труда работников и иные выплаты работникам </t>
  </si>
  <si>
    <t>Итого, руб.</t>
  </si>
  <si>
    <t>на 2026 г.</t>
  </si>
  <si>
    <t xml:space="preserve">Код строки </t>
  </si>
  <si>
    <t>Расчет доходов от оказания услуг, выполнения работ в рамках установленного муниципального задания</t>
  </si>
  <si>
    <t>Дети-сироты и дети, оставшиеся без попечения родителей</t>
  </si>
  <si>
    <t>Дети из многодетных семей</t>
  </si>
  <si>
    <t xml:space="preserve"> Дети одиноких родителей</t>
  </si>
  <si>
    <t>2026 год</t>
  </si>
  <si>
    <t>ВСЕГО ДОХОДОВ</t>
  </si>
  <si>
    <t>Расчет доходов в виде субсидии на финансовое обеспечение выполнения муниципального задания</t>
  </si>
  <si>
    <t>Расчет доходов в виде субсидии на иные цели</t>
  </si>
  <si>
    <t>0820000100</t>
  </si>
  <si>
    <t xml:space="preserve">Организация предоставления дополнительного образования в области культуры (в т. ч. реализация социокультурных проектов образовательными организациями в области культуры) </t>
  </si>
  <si>
    <t>0850000200</t>
  </si>
  <si>
    <t>Соблюдение гарантий и компенсаций, связанных с переездом и оплатой стоимости проезда и провоза багажа к месту использования отпуска и обратно</t>
  </si>
  <si>
    <t>152/162</t>
  </si>
  <si>
    <t>Организация предоставления дополнительного образования в области культуры (в т. ч. реализация социокультурных проектов образовательными организациями в области культуры) 
КЦСР 0820000100</t>
  </si>
  <si>
    <t>Фонд оплаты</t>
  </si>
  <si>
    <t>Услуги связи</t>
  </si>
  <si>
    <t>Комплексное техническое обслуживание инженерных систем и систем видеонаблюдения объектов недвижимого имущества (КТО)</t>
  </si>
  <si>
    <t xml:space="preserve">Обоснование (расчет) плановых показателей по выплатам по элементу вида расходов классификации расходов бюджетов 247 «Закупка энергетических ресурсов" </t>
  </si>
  <si>
    <t>Оплата отопления и технологических нужд, а также горячего водоснабжения</t>
  </si>
  <si>
    <t>Потребление электроэнергии</t>
  </si>
  <si>
    <t>кВт.час</t>
  </si>
  <si>
    <t>933</t>
  </si>
  <si>
    <t>Водоснабжение, канализация</t>
  </si>
  <si>
    <t>Холодное в/снабжение</t>
  </si>
  <si>
    <t>Негативное воздействие (коэф. 0,5)</t>
  </si>
  <si>
    <t>м3</t>
  </si>
  <si>
    <t>Торгсервис</t>
  </si>
  <si>
    <t>934</t>
  </si>
  <si>
    <t>Вывоз твердых коммунальных отходов</t>
  </si>
  <si>
    <t>год</t>
  </si>
  <si>
    <t>Содержание и техническое обслуживание помещений</t>
  </si>
  <si>
    <t>947</t>
  </si>
  <si>
    <t>Прочие расходы по содержанию имущества</t>
  </si>
  <si>
    <t>Техническое обслуживание ОПС и ППА СОУЭ</t>
  </si>
  <si>
    <t>Вневедомственная (в том числе пожарная) охрана, охранная и пожарная сигнализация (установка, наладка и эксплуатация)</t>
  </si>
  <si>
    <t>954</t>
  </si>
  <si>
    <t>Прочие услуги</t>
  </si>
  <si>
    <t>963</t>
  </si>
  <si>
    <t>Приобретение (изготовление) подарочной и сувенирной продукции, не предназначенной для дальнейшей перепродажи</t>
  </si>
  <si>
    <t>349</t>
  </si>
  <si>
    <t>981</t>
  </si>
  <si>
    <t>Приобретение расходных материалов</t>
  </si>
  <si>
    <t>Обоснование (расчет) плановых показателей поступлений доходов по статье 130 «Доходы от оказания услуг, работ, компенсации затрат учреждений» (строка 1200)</t>
  </si>
  <si>
    <t>Обоснование (расчет) плановых показателей поступлений доходов по статье 140 "Доходы от штрафов, пеней, иных сумм принудительного изъятия" (строка 1300)</t>
  </si>
  <si>
    <t>Поступление доходов по статье 150 "Безвозмездные денежные поступления" (гранты) (строка 1430)</t>
  </si>
  <si>
    <t>141</t>
  </si>
  <si>
    <t>155</t>
  </si>
  <si>
    <t>121</t>
  </si>
  <si>
    <t>152</t>
  </si>
  <si>
    <t>162</t>
  </si>
  <si>
    <t>сут.</t>
  </si>
  <si>
    <t>Проверка</t>
  </si>
  <si>
    <t>Остаток  прошлого года</t>
  </si>
  <si>
    <t xml:space="preserve">Прочие транспортные расходы (оплата по счету проезда участника) </t>
  </si>
  <si>
    <t>счет.</t>
  </si>
  <si>
    <t xml:space="preserve"> Организация предоставления дополнительного образования</t>
  </si>
  <si>
    <t>на 2026 г</t>
  </si>
  <si>
    <t>Приобретение основных средств</t>
  </si>
  <si>
    <t>Вознаграждение по договорам ГПХ с учетом СВ</t>
  </si>
  <si>
    <t>Пособия, компенсации и иные социальные выплаты гражданам, кроме публичных нормативных обязательств</t>
  </si>
  <si>
    <t>Выходные пособия и компенсации при увольнении в связи с сокращением</t>
  </si>
  <si>
    <t>Заработная плата</t>
  </si>
  <si>
    <t>Пенсии, пособия, выплачиваемые, организациями сектора государственного управления</t>
  </si>
  <si>
    <t>Субсидия на выполнение муниципального задания          Доп ЭК 831</t>
  </si>
  <si>
    <t>Субсидия на иные цели            Доп ЭК 841</t>
  </si>
  <si>
    <t>Субсидия на выполнение муниципального задания            Доп ЭК 831</t>
  </si>
  <si>
    <t>Субсидия на иные цели           Доп ЭК 841</t>
  </si>
  <si>
    <t>Проверка с Бюджетом 24-26</t>
  </si>
  <si>
    <t>Поддержка талантливых детей и молодёжи            КЦСР 0850000200</t>
  </si>
  <si>
    <t>Поддержка талантливых детей и молодёжи             КЦСР 0850000200</t>
  </si>
  <si>
    <t>Проверка с Доходы 24-26</t>
  </si>
  <si>
    <t>Расчет доходов по безвозмездным поступлениям (гранты, пожертвования)</t>
  </si>
  <si>
    <t>целевые субсидии текущего характера</t>
  </si>
  <si>
    <t>целевые субсидии капиталдьного характера</t>
  </si>
  <si>
    <t>в культуре такого нет</t>
  </si>
  <si>
    <t>Обоснование (расчет) плановых показателей поступлений доходов по статье 120 "Доходы от собственности" (строка 1110)</t>
  </si>
  <si>
    <t>Обоснование (расчет) плановых показателей поступлений доходов по статье 180 "Прочие доходы" (строка 1410)</t>
  </si>
  <si>
    <t>целевые субсидии капитального характера (162)</t>
  </si>
  <si>
    <t>Возврат в бюджет средств субсидии</t>
  </si>
  <si>
    <t>Возмещение абонентской платы за телефон</t>
  </si>
  <si>
    <t>Возмещение абонентской платы за Интернет</t>
  </si>
  <si>
    <t>Ремонт оргтехники, бытовой техники</t>
  </si>
  <si>
    <t>Заправка картриджей</t>
  </si>
  <si>
    <t>Музыкальные инструменты</t>
  </si>
  <si>
    <t>Бытовая и оргтехника</t>
  </si>
  <si>
    <t>Бумага А-4, А-3</t>
  </si>
  <si>
    <t>Расходные материалы и запчасти к компьютерной и оргтехнике</t>
  </si>
  <si>
    <t>Моющие, чистящие и хозяйственные товары</t>
  </si>
  <si>
    <t>Канцелярские товары</t>
  </si>
  <si>
    <t>Иструменты и электротовары</t>
  </si>
  <si>
    <t>Расходные материалы для музыкальных инструментов</t>
  </si>
  <si>
    <t>Типографская продукция (афиши, пригласительные, дипломы, журналы, свидетельства)</t>
  </si>
  <si>
    <t>доходы от возмещений Фондом пенсионного и социального страхования РФ расходов</t>
  </si>
  <si>
    <t>комплект</t>
  </si>
  <si>
    <t>Косметический ремонт помещений</t>
  </si>
  <si>
    <t>целевые субсидии текущего характера (152)</t>
  </si>
  <si>
    <t>Обоснование (расчеты) плановых показателей по выплатам бюджетных ассигнований</t>
  </si>
  <si>
    <t xml:space="preserve">Обоснование (расчеты) плановых показателей по выплатам </t>
  </si>
  <si>
    <t>Источник финансирования: бюджетные средства</t>
  </si>
  <si>
    <t>Источник финансирования: собственные средсва учреждения</t>
  </si>
  <si>
    <t>Источник финансирования: безвозмездные поступления</t>
  </si>
  <si>
    <t>2024 г.</t>
  </si>
  <si>
    <t>2025 г.</t>
  </si>
  <si>
    <t>2026 г.</t>
  </si>
  <si>
    <t>Учреждение: МБУ ДО "Норильская детская музыкальная школа"</t>
  </si>
  <si>
    <t>МБУ ДО "Норильская детская музыкальная школа"</t>
  </si>
  <si>
    <t>Транспортные расходы</t>
  </si>
  <si>
    <t>Конкурсные взносы</t>
  </si>
  <si>
    <t>Обучение персонала «Предоставление услуг детям с ОВЗ»</t>
  </si>
  <si>
    <t>Сопровождение сайта</t>
  </si>
  <si>
    <t>Курсы повышения квалификации</t>
  </si>
  <si>
    <t xml:space="preserve">Антивирусная программа - ежегодное продление </t>
  </si>
  <si>
    <t>Консультант плюс</t>
  </si>
  <si>
    <t>Настройщик музыкальных инструментов</t>
  </si>
  <si>
    <t>Предметы интерьера</t>
  </si>
  <si>
    <t>Картриджи</t>
  </si>
  <si>
    <t>Горячее в/снабжение</t>
  </si>
  <si>
    <t>квартал</t>
  </si>
  <si>
    <t>Проезд г. Москва</t>
  </si>
  <si>
    <t>Проезд г. Красноярск</t>
  </si>
  <si>
    <t>Гитара классическая</t>
  </si>
  <si>
    <t>Электрогитара</t>
  </si>
  <si>
    <t>Синтезатор</t>
  </si>
  <si>
    <t>Вокал</t>
  </si>
  <si>
    <t>ЭКМ</t>
  </si>
  <si>
    <t>Контрабас</t>
  </si>
  <si>
    <t>Флейта</t>
  </si>
  <si>
    <t>Кларнет</t>
  </si>
  <si>
    <t>Труба</t>
  </si>
  <si>
    <t>Тромбон</t>
  </si>
  <si>
    <t>Ударные инструменты</t>
  </si>
  <si>
    <t>мес</t>
  </si>
  <si>
    <t>Выпускной вечер</t>
  </si>
  <si>
    <t>День работника культуры</t>
  </si>
  <si>
    <t>Посвящение в первоклассники</t>
  </si>
  <si>
    <t>Кокурсные расходы</t>
  </si>
  <si>
    <t>Подрядчик, номер, дата, период оказания услуг</t>
  </si>
  <si>
    <t>Внебюджет</t>
  </si>
  <si>
    <t>Экономия/
Дефицит</t>
  </si>
  <si>
    <t>Проезд</t>
  </si>
  <si>
    <t>Програмное обеспечение</t>
  </si>
  <si>
    <t>ОПС и ТС</t>
  </si>
  <si>
    <t>Примечание</t>
  </si>
  <si>
    <t>Увеличение остатков денежных средств за счет возврата дебиторской задолженности прошлых лет</t>
  </si>
  <si>
    <t>1. Проект договора от 27.05.2024 НО фонд Юбилейный, в период 13.06.2024 - 12.07.2024, на сумму 210 765,32 руб.</t>
  </si>
  <si>
    <t>1. Проект договора от 27.05.2024 НО фонд Юбилейный, в период 13.06.2024 - 12.07.2024, на сумму 46 369,06 руб.</t>
  </si>
  <si>
    <t>1. Проект договора от 27.05.2024 НО фонд Юбилейный, в период 13.06.2024 - 12.07.2024, на сумму 10 856,34 руб.</t>
  </si>
  <si>
    <t>931,932,933</t>
  </si>
  <si>
    <r>
      <t>от " 28 " декабря  2024 г.</t>
    </r>
    <r>
      <rPr>
        <vertAlign val="superscript"/>
        <sz val="11"/>
        <rFont val="Times New Roman"/>
        <family val="1"/>
        <charset val="204"/>
      </rPr>
      <t xml:space="preserve"> </t>
    </r>
  </si>
  <si>
    <r>
      <t>(на 2025 год и плановый период 2026 и 2027 гг.)</t>
    </r>
    <r>
      <rPr>
        <b/>
        <vertAlign val="superscript"/>
        <sz val="11"/>
        <rFont val="Times New Roman"/>
        <family val="1"/>
        <charset val="204"/>
      </rPr>
      <t>1</t>
    </r>
  </si>
  <si>
    <t>План финансово-хозяйственной деятельности на 2025 г.</t>
  </si>
  <si>
    <t>на 2027 г</t>
  </si>
  <si>
    <t>2027 год</t>
  </si>
  <si>
    <t>Расчеты доходов 2025-2027</t>
  </si>
  <si>
    <t>Сумма родительской платы за 2025 г. (стоимость обучения х кол-во детей - (сумма всех льгот)) х 9 мес</t>
  </si>
  <si>
    <t>на 2027  г.</t>
  </si>
  <si>
    <t xml:space="preserve">Остаток 2024 года </t>
  </si>
  <si>
    <t>Остаток субсидии 2024 года</t>
  </si>
  <si>
    <t>Остаток 2024 года</t>
  </si>
  <si>
    <t>на 2027 г.</t>
  </si>
  <si>
    <t>Проверка с Бюджетом 25-27</t>
  </si>
  <si>
    <t>Расходы, связанные со служебными командировками и учебными отпусками работников (сотрудников)</t>
  </si>
  <si>
    <t>Оплата работ и услуг, направленных на поддержание в исправном, пригодном для эксплуатации состоянии (приведение в исправное состояние) имущества</t>
  </si>
  <si>
    <t>Приобретение (изготовление) расходных материалов (за исключением материалов предусмотренных для целей капитальных вложений, продуктов питания, ГСМ)</t>
  </si>
  <si>
    <t>Расходы на прохождение медицинского осмотра,  гигиеническое обучение</t>
  </si>
  <si>
    <t xml:space="preserve">Дети участников специальной военной операции
</t>
  </si>
  <si>
    <t>Музыкальный фольклор</t>
  </si>
  <si>
    <t>Саксафон</t>
  </si>
  <si>
    <t xml:space="preserve">Транспортные расходы </t>
  </si>
  <si>
    <t>отчетный концерт</t>
  </si>
  <si>
    <t xml:space="preserve">Поддержка талантливых детей и молодёжи </t>
  </si>
  <si>
    <t>ПРОВЕРКА с Бюджетом 25-27, Доходы 25-27, Безвозмездные 25-27</t>
  </si>
  <si>
    <t>Я.В. Куйдова</t>
  </si>
  <si>
    <t>Н.А. Салтанова</t>
  </si>
  <si>
    <t>Расходы, связанные с переездом из районов Крайнего Севера</t>
  </si>
  <si>
    <t>Расходы на праздничные программы</t>
  </si>
  <si>
    <t>Проживание и проезд</t>
  </si>
  <si>
    <t>Суточные</t>
  </si>
  <si>
    <t>212</t>
  </si>
  <si>
    <t>214</t>
  </si>
  <si>
    <t>Единовременное пособие при въезде</t>
  </si>
  <si>
    <t>Оплата дороги при въезде</t>
  </si>
  <si>
    <t xml:space="preserve">Проезд </t>
  </si>
  <si>
    <t>Расходы, связанные с переездом из(в) районов(ы) Крайнего Севера</t>
  </si>
  <si>
    <t xml:space="preserve">Расходы на организацию мероприятий </t>
  </si>
  <si>
    <t>Расходы на прохождение медицинского осмотра,  гигиеническое обучение (периодический мед. осмотр)</t>
  </si>
  <si>
    <t>Конкурсные расходы</t>
  </si>
  <si>
    <t>Приобретение мягкого инвентаря (CИЗ)</t>
  </si>
  <si>
    <t>Приобретение строительных материалов</t>
  </si>
  <si>
    <t>Стоимость обучения на 2025 г. с учетом повышения на 8,7% с 01.01.25</t>
  </si>
  <si>
    <t>Сумма родительской платы за 2026 г. (2025+5,6%)</t>
  </si>
  <si>
    <t>Сумма родительской платы за 2027 г. (2026+4,5%)</t>
  </si>
  <si>
    <t>Мебель</t>
  </si>
  <si>
    <t>Прочие транспортные расходы</t>
  </si>
  <si>
    <t>240711
Оказание услуг по охране объектов ОБЩЕСТВО С ОГРАНИЧЕННОЙ ОТВЕТСТВЕННОСТЬЮ ЧАСТНАЯ ОХРАННАЯ ОРГАНИЗАЦИЯ "ФОРТ-С2" (ООО ЧОО "ФОРТ-С2") с 01.01.2025 по 01.05.2025; с 01.09.2025 по 31.12.2025</t>
  </si>
  <si>
    <t>Проект договора с ООО "Фундамент" на период с 01.01.2025 по 31.12.2025, сумма 56 668,34 руб.</t>
  </si>
  <si>
    <t xml:space="preserve">Проект Договора  с МУП ТПО "ТоргСервис" на период 01.01.2025 по 31.12.2025, на сумму 124 875,00 руб. </t>
  </si>
  <si>
    <t>Проект договора с ООО "ОО Меркурий" ОКАЗАНИЯ УСЛУГ ПО ОХРАНЕ ОБЪЕКТОВ СРЕДСТВАМИ ТРЕВОЖНОЙ СИГНАЛИЗАЦИИ И ИХ ТЕХНИЧЕСКОМУ ОБСЛУЖИВАНИЮ на период с 01.01.2025 по 31.12.2025, сумма 99 900,00 руб.                                                                                                 Проект договора с Фирма "Меркурий" о предоставлении мониторинговых услуг с 01.01.2025 по 31.12.2025 на сумму 105216,00 руб.</t>
  </si>
  <si>
    <t>1. Договор 04-12/58  от 25.12.2023 ООО "Дезар"на сумму 18870,13 руб. с  01.01.2024-15.12.2025</t>
  </si>
  <si>
    <t xml:space="preserve">Договор 240719 от 29.12.2024 на сумму 81933,70 руб. с 01.01.2024 по 31.12.2026  </t>
  </si>
  <si>
    <t xml:space="preserve">1. Договор 240693  от 30.12.2024 МУП ТПО "ТоргСервис" на сумму 853603,83 руб. с 01.01.2025 по 31.01.2027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</si>
</sst>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_-* #,##0.00\ _₽_-;\-* #,##0.00\ _₽_-;_-* &quot;-&quot;??\ _₽_-;_-@_-"/>
    <numFmt numFmtId="165" formatCode="_-* #,##0.00&quot;р.&quot;_-;\-* #,##0.00&quot;р.&quot;_-;_-* &quot;-&quot;??&quot;р.&quot;_-;_-@_-"/>
    <numFmt numFmtId="166" formatCode="_-* #,##0.00_р_._-;\-* #,##0.00_р_._-;_-* &quot;-&quot;??_р_._-;_-@_-"/>
    <numFmt numFmtId="167" formatCode="#,##0.0"/>
    <numFmt numFmtId="168" formatCode="0.000"/>
    <numFmt numFmtId="169" formatCode="0.0"/>
    <numFmt numFmtId="170" formatCode="#,##0.000"/>
    <numFmt numFmtId="171" formatCode="#,##0.00_ ;[Red]\-#,##0.00\ "/>
    <numFmt numFmtId="172" formatCode="#,##0.0_ ;[Red]\-#,##0.0\ "/>
    <numFmt numFmtId="173" formatCode="#,##0.000_ ;[Red]\-#,##0.000\ "/>
    <numFmt numFmtId="174" formatCode="_(* #,##0.00_);_(* \(#,##0.00\);_(* &quot;-&quot;??_);_(@_)"/>
    <numFmt numFmtId="175" formatCode="_(&quot;$&quot;* #,##0.00_);_(&quot;$&quot;* \(#,##0.00\);_(&quot;$&quot;* &quot;-&quot;??_);_(@_)"/>
    <numFmt numFmtId="176" formatCode="#,##0.00;[Red]#,##0.00"/>
  </numFmts>
  <fonts count="106" x14ac:knownFonts="1">
    <font>
      <sz val="10"/>
      <color theme="1"/>
      <name val="Times New Roman"/>
      <family val="2"/>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color indexed="8"/>
      <name val="Times New Roman"/>
      <family val="2"/>
      <charset val="204"/>
    </font>
    <font>
      <sz val="14"/>
      <color indexed="8"/>
      <name val="Times New Roman"/>
      <family val="2"/>
      <charset val="204"/>
    </font>
    <font>
      <sz val="10"/>
      <name val="Arial Cyr"/>
      <charset val="204"/>
    </font>
    <font>
      <sz val="10"/>
      <name val="Times New Roman"/>
      <family val="1"/>
      <charset val="204"/>
    </font>
    <font>
      <b/>
      <sz val="10"/>
      <name val="Times New Roman"/>
      <family val="1"/>
      <charset val="204"/>
    </font>
    <font>
      <sz val="10"/>
      <color indexed="8"/>
      <name val="Times New Roman"/>
      <family val="1"/>
      <charset val="204"/>
    </font>
    <font>
      <sz val="13"/>
      <name val="Times New Roman"/>
      <family val="1"/>
    </font>
    <font>
      <sz val="16"/>
      <color indexed="8"/>
      <name val="Times New Roman"/>
      <family val="2"/>
      <charset val="204"/>
    </font>
    <font>
      <u/>
      <sz val="16"/>
      <color indexed="8"/>
      <name val="Times New Roman"/>
      <family val="1"/>
      <charset val="204"/>
    </font>
    <font>
      <sz val="10"/>
      <name val="Times New Roman"/>
      <family val="2"/>
      <charset val="204"/>
    </font>
    <font>
      <sz val="11"/>
      <color indexed="8"/>
      <name val="Calibri"/>
      <family val="2"/>
      <charset val="204"/>
    </font>
    <font>
      <sz val="10"/>
      <name val="Arial"/>
      <family val="2"/>
      <charset val="204"/>
    </font>
    <font>
      <sz val="12"/>
      <name val="Times New Roman CYR"/>
      <charset val="204"/>
    </font>
    <font>
      <b/>
      <sz val="11"/>
      <color indexed="8"/>
      <name val="Times New Roman"/>
      <family val="1"/>
      <charset val="204"/>
    </font>
    <font>
      <sz val="12"/>
      <name val="Times New Roman"/>
      <family val="1"/>
    </font>
    <font>
      <sz val="9"/>
      <color indexed="81"/>
      <name val="Tahoma"/>
      <family val="2"/>
      <charset val="204"/>
    </font>
    <font>
      <sz val="13"/>
      <name val="Times New Roman"/>
      <family val="2"/>
      <charset val="204"/>
    </font>
    <font>
      <sz val="16"/>
      <name val="Times New Roman"/>
      <family val="2"/>
      <charset val="204"/>
    </font>
    <font>
      <u/>
      <sz val="16"/>
      <name val="Times New Roman"/>
      <family val="2"/>
      <charset val="204"/>
    </font>
    <font>
      <sz val="14"/>
      <name val="Times New Roman"/>
      <family val="2"/>
      <charset val="204"/>
    </font>
    <font>
      <sz val="12"/>
      <name val="Times New Roman"/>
      <family val="2"/>
      <charset val="204"/>
    </font>
    <font>
      <b/>
      <sz val="11"/>
      <name val="Times New Roman"/>
      <family val="2"/>
      <charset val="204"/>
    </font>
    <font>
      <sz val="11"/>
      <name val="Times New Roman"/>
      <family val="2"/>
      <charset val="204"/>
    </font>
    <font>
      <sz val="8"/>
      <name val="Arial Cyr"/>
    </font>
    <font>
      <b/>
      <sz val="11"/>
      <name val="Times New Roman"/>
      <family val="1"/>
      <charset val="204"/>
    </font>
    <font>
      <sz val="11"/>
      <name val="Times New Roman"/>
      <family val="1"/>
      <charset val="204"/>
    </font>
    <font>
      <sz val="12"/>
      <name val="Times New Roman"/>
      <family val="1"/>
      <charset val="204"/>
    </font>
    <font>
      <b/>
      <sz val="10"/>
      <color indexed="8"/>
      <name val="Times New Roman"/>
      <family val="1"/>
      <charset val="204"/>
    </font>
    <font>
      <b/>
      <sz val="10"/>
      <name val="Times New Roman"/>
      <family val="2"/>
      <charset val="204"/>
    </font>
    <font>
      <sz val="11"/>
      <color indexed="8"/>
      <name val="Times New Roman"/>
      <family val="1"/>
      <charset val="204"/>
    </font>
    <font>
      <sz val="10"/>
      <name val="Arial Cyr"/>
      <family val="2"/>
      <charset val="204"/>
    </font>
    <font>
      <sz val="10"/>
      <name val="Arial"/>
      <family val="2"/>
    </font>
    <font>
      <b/>
      <sz val="11"/>
      <color indexed="12"/>
      <name val="Times New Roman"/>
      <family val="1"/>
      <charset val="204"/>
    </font>
    <font>
      <sz val="10"/>
      <name val="Arial"/>
      <family val="2"/>
      <charset val="204"/>
    </font>
    <font>
      <sz val="10"/>
      <color theme="1"/>
      <name val="Times New Roman"/>
      <family val="2"/>
      <charset val="204"/>
    </font>
    <font>
      <sz val="11"/>
      <color theme="1"/>
      <name val="Calibri"/>
      <family val="2"/>
      <charset val="204"/>
      <scheme val="minor"/>
    </font>
    <font>
      <sz val="11"/>
      <color theme="1"/>
      <name val="Calibri"/>
      <family val="2"/>
      <scheme val="minor"/>
    </font>
    <font>
      <sz val="11"/>
      <color theme="1"/>
      <name val="Times New Roman"/>
      <family val="1"/>
      <charset val="204"/>
    </font>
    <font>
      <b/>
      <sz val="11"/>
      <color theme="1"/>
      <name val="Times New Roman"/>
      <family val="1"/>
      <charset val="204"/>
    </font>
    <font>
      <sz val="16"/>
      <color theme="1"/>
      <name val="Times New Roman"/>
      <family val="1"/>
      <charset val="204"/>
    </font>
    <font>
      <sz val="10"/>
      <color theme="0"/>
      <name val="Times New Roman"/>
      <family val="2"/>
      <charset val="204"/>
    </font>
    <font>
      <sz val="10"/>
      <color theme="1"/>
      <name val="Times New Roman"/>
      <family val="1"/>
      <charset val="204"/>
    </font>
    <font>
      <sz val="10"/>
      <color rgb="FFC00000"/>
      <name val="Times New Roman"/>
      <family val="2"/>
      <charset val="204"/>
    </font>
    <font>
      <sz val="12"/>
      <color theme="1"/>
      <name val="Times New Roman"/>
      <family val="1"/>
      <charset val="204"/>
    </font>
    <font>
      <sz val="13"/>
      <color theme="1"/>
      <name val="Times New Roman"/>
      <family val="2"/>
      <charset val="204"/>
    </font>
    <font>
      <b/>
      <sz val="10"/>
      <color theme="1"/>
      <name val="Times New Roman"/>
      <family val="1"/>
      <charset val="204"/>
    </font>
    <font>
      <sz val="11"/>
      <color rgb="FFC00000"/>
      <name val="Times New Roman"/>
      <family val="2"/>
      <charset val="204"/>
    </font>
    <font>
      <b/>
      <sz val="11"/>
      <color theme="1"/>
      <name val="Calibri"/>
      <family val="2"/>
      <charset val="204"/>
      <scheme val="minor"/>
    </font>
    <font>
      <b/>
      <sz val="12"/>
      <color theme="1"/>
      <name val="Times New Roman"/>
      <family val="1"/>
      <charset val="204"/>
    </font>
    <font>
      <sz val="11"/>
      <color rgb="FFFF0000"/>
      <name val="Times New Roman"/>
      <family val="1"/>
      <charset val="204"/>
    </font>
    <font>
      <sz val="13"/>
      <color theme="1"/>
      <name val="Times New Roman"/>
      <family val="1"/>
      <charset val="204"/>
    </font>
    <font>
      <b/>
      <sz val="13"/>
      <color theme="1"/>
      <name val="Times New Roman"/>
      <family val="1"/>
      <charset val="204"/>
    </font>
    <font>
      <b/>
      <sz val="14"/>
      <color theme="1"/>
      <name val="Times New Roman"/>
      <family val="1"/>
      <charset val="204"/>
    </font>
    <font>
      <b/>
      <sz val="16"/>
      <color theme="1"/>
      <name val="Times New Roman"/>
      <family val="1"/>
      <charset val="204"/>
    </font>
    <font>
      <i/>
      <sz val="11"/>
      <color rgb="FF7F7F7F"/>
      <name val="Calibri"/>
      <family val="2"/>
      <charset val="204"/>
    </font>
    <font>
      <sz val="11"/>
      <color rgb="FF000000"/>
      <name val="Calibri"/>
      <family val="2"/>
      <charset val="1"/>
    </font>
    <font>
      <b/>
      <sz val="9"/>
      <color indexed="81"/>
      <name val="Tahoma"/>
      <family val="2"/>
      <charset val="204"/>
    </font>
    <font>
      <sz val="11"/>
      <color rgb="FF000000"/>
      <name val="Times New Roman"/>
      <family val="1"/>
      <charset val="204"/>
    </font>
    <font>
      <b/>
      <sz val="11"/>
      <color rgb="FF000000"/>
      <name val="Times New Roman"/>
      <family val="1"/>
      <charset val="204"/>
    </font>
    <font>
      <sz val="13"/>
      <color theme="1"/>
      <name val="Calibri"/>
      <family val="2"/>
      <scheme val="minor"/>
    </font>
    <font>
      <sz val="11"/>
      <color rgb="FFC00000"/>
      <name val="Calibri"/>
      <family val="2"/>
      <scheme val="minor"/>
    </font>
    <font>
      <sz val="11"/>
      <color indexed="8"/>
      <name val="Calibri"/>
      <family val="2"/>
      <scheme val="minor"/>
    </font>
    <font>
      <i/>
      <sz val="11"/>
      <color theme="1"/>
      <name val="Times New Roman"/>
      <family val="1"/>
      <charset val="204"/>
    </font>
    <font>
      <sz val="11"/>
      <name val="Calibri"/>
      <family val="2"/>
      <scheme val="minor"/>
    </font>
    <font>
      <u/>
      <sz val="11"/>
      <name val="Times New Roman"/>
      <family val="1"/>
      <charset val="204"/>
    </font>
    <font>
      <b/>
      <vertAlign val="superscript"/>
      <sz val="11"/>
      <name val="Times New Roman"/>
      <family val="1"/>
      <charset val="204"/>
    </font>
    <font>
      <vertAlign val="superscript"/>
      <sz val="11"/>
      <name val="Times New Roman"/>
      <family val="1"/>
      <charset val="204"/>
    </font>
    <font>
      <b/>
      <sz val="20"/>
      <color theme="1"/>
      <name val="Times New Roman"/>
      <family val="1"/>
      <charset val="204"/>
    </font>
    <font>
      <b/>
      <sz val="16"/>
      <name val="Times New Roman"/>
      <family val="1"/>
      <charset val="204"/>
    </font>
    <font>
      <b/>
      <sz val="20"/>
      <name val="Times New Roman"/>
      <family val="1"/>
      <charset val="204"/>
    </font>
    <font>
      <b/>
      <sz val="15"/>
      <color theme="1"/>
      <name val="Times New Roman"/>
      <family val="1"/>
      <charset val="204"/>
    </font>
    <font>
      <b/>
      <sz val="10"/>
      <color rgb="FFC00000"/>
      <name val="Times New Roman"/>
      <family val="1"/>
      <charset val="204"/>
    </font>
    <font>
      <sz val="10"/>
      <color rgb="FF0070C0"/>
      <name val="Times New Roman"/>
      <family val="2"/>
      <charset val="204"/>
    </font>
    <font>
      <sz val="8"/>
      <name val="Times New Roman"/>
      <family val="1"/>
      <charset val="204"/>
    </font>
    <font>
      <b/>
      <sz val="12"/>
      <color indexed="8"/>
      <name val="Times New Roman"/>
      <family val="1"/>
      <charset val="204"/>
    </font>
    <font>
      <sz val="26"/>
      <color indexed="8"/>
      <name val="Times New Roman"/>
      <family val="1"/>
      <charset val="204"/>
    </font>
    <font>
      <sz val="20"/>
      <color indexed="8"/>
      <name val="Times New Roman"/>
      <family val="1"/>
      <charset val="204"/>
    </font>
    <font>
      <b/>
      <u/>
      <sz val="26"/>
      <color indexed="8"/>
      <name val="Times New Roman"/>
      <family val="1"/>
      <charset val="204"/>
    </font>
    <font>
      <sz val="25"/>
      <color indexed="10"/>
      <name val="Times New Roman"/>
      <family val="1"/>
      <charset val="204"/>
    </font>
    <font>
      <sz val="11"/>
      <color indexed="10"/>
      <name val="Times New Roman"/>
      <family val="1"/>
      <charset val="204"/>
    </font>
    <font>
      <sz val="14"/>
      <name val="Times New Roman"/>
      <family val="1"/>
      <charset val="204"/>
    </font>
    <font>
      <sz val="9"/>
      <name val="Times New Roman"/>
      <family val="1"/>
      <charset val="204"/>
    </font>
  </fonts>
  <fills count="15">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CCFFFF"/>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rgb="FFFF0000"/>
        <bgColor indexed="64"/>
      </patternFill>
    </fill>
    <fill>
      <patternFill patternType="solid">
        <fgColor rgb="FFFFCCCC"/>
        <bgColor indexed="64"/>
      </patternFill>
    </fill>
    <fill>
      <patternFill patternType="solid">
        <fgColor rgb="FFFFFF00"/>
        <bgColor indexed="64"/>
      </patternFill>
    </fill>
    <fill>
      <patternFill patternType="solid">
        <fgColor rgb="FFFFC000"/>
        <bgColor indexed="64"/>
      </patternFill>
    </fill>
    <fill>
      <patternFill patternType="solid">
        <fgColor indexed="26"/>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top/>
      <bottom/>
      <diagonal/>
    </border>
    <border>
      <left/>
      <right style="thin">
        <color indexed="64"/>
      </right>
      <top/>
      <bottom/>
      <diagonal/>
    </border>
    <border>
      <left style="medium">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medium">
        <color indexed="64"/>
      </right>
      <top/>
      <bottom/>
      <diagonal/>
    </border>
    <border>
      <left/>
      <right style="thin">
        <color indexed="64"/>
      </right>
      <top/>
      <bottom style="medium">
        <color indexed="64"/>
      </bottom>
      <diagonal/>
    </border>
    <border>
      <left/>
      <right style="medium">
        <color indexed="64"/>
      </right>
      <top style="medium">
        <color indexed="64"/>
      </top>
      <bottom/>
      <diagonal/>
    </border>
  </borders>
  <cellStyleXfs count="306">
    <xf numFmtId="0" fontId="0" fillId="0" borderId="0"/>
    <xf numFmtId="0" fontId="34" fillId="0" borderId="0"/>
    <xf numFmtId="165" fontId="26" fillId="0" borderId="0" applyFont="0" applyFill="0" applyBorder="0" applyAlignment="0" applyProtection="0"/>
    <xf numFmtId="165" fontId="34" fillId="0" borderId="0" applyFont="0" applyFill="0" applyBorder="0" applyAlignment="0" applyProtection="0"/>
    <xf numFmtId="175" fontId="35" fillId="0" borderId="0" applyFont="0" applyFill="0" applyBorder="0" applyAlignment="0" applyProtection="0"/>
    <xf numFmtId="0" fontId="60" fillId="0" borderId="0"/>
    <xf numFmtId="0" fontId="35"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7" fillId="0" borderId="0"/>
    <xf numFmtId="0" fontId="59" fillId="0" borderId="0"/>
    <xf numFmtId="0" fontId="59" fillId="0" borderId="0"/>
    <xf numFmtId="0" fontId="26" fillId="0" borderId="0"/>
    <xf numFmtId="0" fontId="36" fillId="0" borderId="0"/>
    <xf numFmtId="0" fontId="54" fillId="0" borderId="0"/>
    <xf numFmtId="0" fontId="26" fillId="0" borderId="0"/>
    <xf numFmtId="0" fontId="36" fillId="0" borderId="0"/>
    <xf numFmtId="0" fontId="26" fillId="0" borderId="0"/>
    <xf numFmtId="0" fontId="26" fillId="0" borderId="0"/>
    <xf numFmtId="0" fontId="35" fillId="0" borderId="0"/>
    <xf numFmtId="0" fontId="59" fillId="0" borderId="0"/>
    <xf numFmtId="0" fontId="58" fillId="0" borderId="0"/>
    <xf numFmtId="0" fontId="59" fillId="0" borderId="0"/>
    <xf numFmtId="0" fontId="59" fillId="0" borderId="0"/>
    <xf numFmtId="0" fontId="59" fillId="0" borderId="0"/>
    <xf numFmtId="0" fontId="26" fillId="0" borderId="0"/>
    <xf numFmtId="0" fontId="35" fillId="0" borderId="0"/>
    <xf numFmtId="0" fontId="58" fillId="0" borderId="0"/>
    <xf numFmtId="0" fontId="35" fillId="0" borderId="0"/>
    <xf numFmtId="0" fontId="58" fillId="0" borderId="0"/>
    <xf numFmtId="0" fontId="24" fillId="0" borderId="0"/>
    <xf numFmtId="0" fontId="59" fillId="0" borderId="0"/>
    <xf numFmtId="0" fontId="55" fillId="0" borderId="0"/>
    <xf numFmtId="0" fontId="26" fillId="0" borderId="0"/>
    <xf numFmtId="0" fontId="59" fillId="0" borderId="0"/>
    <xf numFmtId="0" fontId="60" fillId="0" borderId="0"/>
    <xf numFmtId="0" fontId="35" fillId="0" borderId="0"/>
    <xf numFmtId="0" fontId="59" fillId="0" borderId="0"/>
    <xf numFmtId="0" fontId="35" fillId="0" borderId="0"/>
    <xf numFmtId="0" fontId="59" fillId="0" borderId="0"/>
    <xf numFmtId="0" fontId="34" fillId="0" borderId="0"/>
    <xf numFmtId="0" fontId="60" fillId="0" borderId="0"/>
    <xf numFmtId="0" fontId="35" fillId="0" borderId="0"/>
    <xf numFmtId="0" fontId="35"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6" fillId="0" borderId="0"/>
    <xf numFmtId="9" fontId="35" fillId="0" borderId="0" applyFont="0" applyFill="0" applyBorder="0" applyAlignment="0" applyProtection="0"/>
    <xf numFmtId="9" fontId="35"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0" fontId="35" fillId="0" borderId="0" applyFont="0" applyFill="0" applyBorder="0" applyAlignment="0" applyProtection="0"/>
    <xf numFmtId="174" fontId="35" fillId="0" borderId="0" applyFont="0" applyFill="0" applyBorder="0" applyAlignment="0" applyProtection="0"/>
    <xf numFmtId="166" fontId="26" fillId="0" borderId="0" applyFont="0" applyFill="0" applyBorder="0" applyAlignment="0" applyProtection="0"/>
    <xf numFmtId="166" fontId="24" fillId="0" borderId="0" applyFont="0" applyFill="0" applyBorder="0" applyAlignment="0" applyProtection="0"/>
    <xf numFmtId="164" fontId="59"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74" fontId="35" fillId="0" borderId="0" applyFont="0" applyFill="0" applyBorder="0" applyAlignment="0" applyProtection="0"/>
    <xf numFmtId="166" fontId="59" fillId="0" borderId="0" applyFont="0" applyFill="0" applyBorder="0" applyAlignment="0" applyProtection="0"/>
    <xf numFmtId="166" fontId="35"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0" fontId="23" fillId="0" borderId="0"/>
    <xf numFmtId="0" fontId="23" fillId="0" borderId="0"/>
    <xf numFmtId="0" fontId="23" fillId="0" borderId="0"/>
    <xf numFmtId="0" fontId="23" fillId="0" borderId="0"/>
    <xf numFmtId="0" fontId="34" fillId="0" borderId="0"/>
    <xf numFmtId="0" fontId="34" fillId="0" borderId="0"/>
    <xf numFmtId="0" fontId="23" fillId="0" borderId="0"/>
    <xf numFmtId="0" fontId="23" fillId="0" borderId="0"/>
    <xf numFmtId="0" fontId="23" fillId="0" borderId="0"/>
    <xf numFmtId="0" fontId="78" fillId="0" borderId="0" applyBorder="0" applyProtection="0"/>
    <xf numFmtId="0" fontId="79" fillId="0" borderId="0"/>
    <xf numFmtId="166" fontId="35" fillId="0" borderId="0" applyFont="0" applyFill="0" applyBorder="0" applyAlignment="0" applyProtection="0"/>
    <xf numFmtId="0" fontId="23" fillId="0" borderId="0"/>
    <xf numFmtId="0" fontId="22" fillId="0" borderId="0"/>
    <xf numFmtId="0" fontId="22" fillId="0" borderId="0"/>
    <xf numFmtId="0" fontId="22" fillId="0" borderId="0"/>
    <xf numFmtId="0" fontId="21" fillId="0" borderId="0"/>
    <xf numFmtId="0" fontId="20" fillId="0" borderId="0"/>
    <xf numFmtId="0" fontId="20"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35" fillId="0" borderId="0" applyFont="0" applyFill="0" applyBorder="0" applyAlignment="0" applyProtection="0"/>
    <xf numFmtId="0" fontId="18"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1" fillId="0" borderId="0"/>
    <xf numFmtId="0" fontId="10" fillId="0" borderId="0"/>
    <xf numFmtId="0" fontId="10" fillId="0" borderId="0"/>
    <xf numFmtId="0" fontId="9" fillId="0" borderId="0"/>
    <xf numFmtId="0" fontId="79" fillId="0" borderId="0"/>
    <xf numFmtId="0" fontId="79" fillId="0" borderId="0"/>
    <xf numFmtId="0" fontId="8" fillId="0" borderId="0"/>
    <xf numFmtId="0" fontId="7" fillId="0" borderId="0"/>
    <xf numFmtId="0" fontId="7" fillId="0" borderId="0"/>
    <xf numFmtId="0" fontId="85" fillId="0" borderId="0"/>
    <xf numFmtId="0" fontId="6" fillId="0" borderId="0"/>
    <xf numFmtId="165" fontId="26" fillId="0" borderId="0" applyFont="0" applyFill="0" applyBorder="0" applyAlignment="0" applyProtection="0"/>
    <xf numFmtId="165"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5" fillId="0" borderId="0" applyFont="0" applyFill="0" applyBorder="0" applyAlignment="0" applyProtection="0"/>
    <xf numFmtId="166" fontId="26" fillId="0" borderId="0" applyFont="0" applyFill="0" applyBorder="0" applyAlignment="0" applyProtection="0"/>
    <xf numFmtId="166" fontId="24" fillId="0" borderId="0" applyFont="0" applyFill="0" applyBorder="0" applyAlignment="0" applyProtection="0"/>
    <xf numFmtId="164"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5" fillId="0" borderId="0" applyFont="0" applyFill="0" applyBorder="0" applyAlignment="0" applyProtection="0"/>
    <xf numFmtId="166" fontId="5" fillId="0" borderId="0" applyFont="0" applyFill="0" applyBorder="0" applyAlignment="0" applyProtection="0"/>
    <xf numFmtId="166" fontId="3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3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35" fillId="0" borderId="0" applyFont="0" applyFill="0" applyBorder="0" applyAlignment="0" applyProtection="0"/>
    <xf numFmtId="0" fontId="5" fillId="0" borderId="0"/>
    <xf numFmtId="166" fontId="58"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6" fillId="0" borderId="0"/>
    <xf numFmtId="0" fontId="4" fillId="0" borderId="0"/>
    <xf numFmtId="0" fontId="4" fillId="0" borderId="0"/>
    <xf numFmtId="0" fontId="4"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35" fillId="0" borderId="0"/>
    <xf numFmtId="164" fontId="58" fillId="0" borderId="0" applyFont="0" applyFill="0" applyBorder="0" applyAlignment="0" applyProtection="0"/>
  </cellStyleXfs>
  <cellXfs count="1836">
    <xf numFmtId="0" fontId="0" fillId="0" borderId="0" xfId="0"/>
    <xf numFmtId="0" fontId="41" fillId="0" borderId="0" xfId="0" applyFont="1" applyFill="1" applyBorder="1" applyAlignment="1">
      <alignment horizontal="center" vertical="center"/>
    </xf>
    <xf numFmtId="4" fontId="41" fillId="0" borderId="0" xfId="0" applyNumberFormat="1" applyFont="1" applyFill="1" applyBorder="1" applyAlignment="1">
      <alignment horizontal="left" vertical="center" wrapText="1"/>
    </xf>
    <xf numFmtId="4" fontId="41" fillId="0" borderId="0" xfId="0" applyNumberFormat="1" applyFont="1" applyFill="1" applyBorder="1" applyAlignment="1">
      <alignment horizontal="right" vertical="center" wrapText="1"/>
    </xf>
    <xf numFmtId="4" fontId="41" fillId="0" borderId="0" xfId="0" applyNumberFormat="1" applyFont="1" applyFill="1" applyBorder="1" applyAlignment="1">
      <alignment horizontal="center" vertical="center" wrapText="1"/>
    </xf>
    <xf numFmtId="172" fontId="41" fillId="0" borderId="0" xfId="0" applyNumberFormat="1" applyFont="1" applyFill="1" applyBorder="1" applyAlignment="1">
      <alignment vertical="center" wrapText="1"/>
    </xf>
    <xf numFmtId="4" fontId="41" fillId="0" borderId="0" xfId="0" applyNumberFormat="1" applyFont="1" applyFill="1" applyBorder="1" applyAlignment="1">
      <alignment horizontal="left" vertical="center"/>
    </xf>
    <xf numFmtId="0" fontId="61" fillId="0" borderId="0" xfId="39" applyFont="1"/>
    <xf numFmtId="2" fontId="61" fillId="2" borderId="1" xfId="39" applyNumberFormat="1" applyFont="1" applyFill="1" applyBorder="1" applyAlignment="1">
      <alignment horizontal="center" vertical="center" wrapText="1"/>
    </xf>
    <xf numFmtId="4" fontId="61" fillId="2" borderId="1" xfId="39" applyNumberFormat="1" applyFont="1" applyFill="1" applyBorder="1" applyAlignment="1">
      <alignment horizontal="center" vertical="center" wrapText="1"/>
    </xf>
    <xf numFmtId="172" fontId="61" fillId="2" borderId="1" xfId="39" applyNumberFormat="1" applyFont="1" applyFill="1" applyBorder="1" applyAlignment="1">
      <alignment horizontal="center" vertical="center"/>
    </xf>
    <xf numFmtId="4" fontId="61" fillId="0" borderId="0" xfId="39" applyNumberFormat="1" applyFont="1"/>
    <xf numFmtId="4" fontId="61" fillId="2" borderId="0" xfId="39" applyNumberFormat="1" applyFont="1" applyFill="1"/>
    <xf numFmtId="0" fontId="61" fillId="2" borderId="0" xfId="39" applyFont="1" applyFill="1"/>
    <xf numFmtId="0" fontId="62" fillId="0" borderId="1" xfId="39" applyFont="1" applyBorder="1" applyAlignment="1">
      <alignment horizontal="center" vertical="center"/>
    </xf>
    <xf numFmtId="0" fontId="62" fillId="2" borderId="1" xfId="39" applyFont="1" applyFill="1" applyBorder="1" applyAlignment="1">
      <alignment horizontal="center" vertical="center"/>
    </xf>
    <xf numFmtId="0" fontId="62" fillId="3" borderId="1" xfId="39" applyFont="1" applyFill="1" applyBorder="1" applyAlignment="1">
      <alignment horizontal="center" vertical="center" wrapText="1"/>
    </xf>
    <xf numFmtId="4" fontId="62" fillId="3" borderId="1" xfId="39" applyNumberFormat="1" applyFont="1" applyFill="1" applyBorder="1" applyAlignment="1">
      <alignment horizontal="center"/>
    </xf>
    <xf numFmtId="172" fontId="62" fillId="3" borderId="1" xfId="39" applyNumberFormat="1" applyFont="1" applyFill="1" applyBorder="1" applyAlignment="1">
      <alignment horizontal="center"/>
    </xf>
    <xf numFmtId="0" fontId="62" fillId="0" borderId="1" xfId="39" applyFont="1" applyBorder="1" applyAlignment="1">
      <alignment horizontal="center" vertical="center"/>
    </xf>
    <xf numFmtId="0" fontId="63" fillId="0" borderId="0" xfId="39" applyFont="1"/>
    <xf numFmtId="0" fontId="62" fillId="0" borderId="1" xfId="39" applyFont="1" applyBorder="1" applyAlignment="1">
      <alignment horizontal="center" vertical="center"/>
    </xf>
    <xf numFmtId="0" fontId="33" fillId="2" borderId="0" xfId="0" applyFont="1" applyFill="1" applyAlignment="1">
      <alignment vertical="center" wrapText="1"/>
    </xf>
    <xf numFmtId="0" fontId="33" fillId="2" borderId="1" xfId="0" applyFont="1" applyFill="1" applyBorder="1" applyAlignment="1">
      <alignment horizontal="center" vertical="center" wrapText="1"/>
    </xf>
    <xf numFmtId="169" fontId="33" fillId="2" borderId="1" xfId="0" applyNumberFormat="1" applyFont="1" applyFill="1" applyBorder="1" applyAlignment="1">
      <alignment horizontal="center" vertical="center" wrapText="1"/>
    </xf>
    <xf numFmtId="167" fontId="45" fillId="2" borderId="1" xfId="35" applyNumberFormat="1" applyFont="1" applyFill="1" applyBorder="1" applyAlignment="1">
      <alignment horizontal="center" vertical="center" wrapText="1"/>
    </xf>
    <xf numFmtId="4" fontId="45" fillId="2" borderId="0" xfId="35" applyNumberFormat="1" applyFont="1" applyFill="1" applyBorder="1" applyAlignment="1">
      <alignment vertical="center" wrapText="1"/>
    </xf>
    <xf numFmtId="4" fontId="46" fillId="2" borderId="0" xfId="0" applyNumberFormat="1" applyFont="1" applyFill="1" applyBorder="1" applyAlignment="1">
      <alignment horizontal="center" vertical="center" wrapText="1"/>
    </xf>
    <xf numFmtId="0" fontId="45" fillId="2" borderId="1" xfId="0" applyFont="1" applyFill="1" applyBorder="1" applyAlignment="1">
      <alignment horizontal="center" vertical="center" wrapText="1"/>
    </xf>
    <xf numFmtId="172" fontId="46" fillId="2" borderId="1" xfId="0" applyNumberFormat="1" applyFont="1" applyFill="1" applyBorder="1" applyAlignment="1">
      <alignment horizontal="center" vertical="center" wrapText="1"/>
    </xf>
    <xf numFmtId="4" fontId="41" fillId="2" borderId="0" xfId="0" applyNumberFormat="1" applyFont="1" applyFill="1" applyBorder="1" applyAlignment="1">
      <alignment horizontal="left" vertical="center"/>
    </xf>
    <xf numFmtId="4" fontId="44" fillId="2" borderId="0" xfId="0" applyNumberFormat="1" applyFont="1" applyFill="1" applyBorder="1" applyAlignment="1">
      <alignment horizontal="left" vertical="center"/>
    </xf>
    <xf numFmtId="4" fontId="44" fillId="2" borderId="0" xfId="0" applyNumberFormat="1" applyFont="1" applyFill="1" applyBorder="1" applyAlignment="1">
      <alignment horizontal="center" vertical="center" wrapText="1"/>
    </xf>
    <xf numFmtId="0" fontId="33" fillId="2" borderId="0" xfId="0" applyFont="1" applyFill="1" applyAlignment="1">
      <alignment horizontal="center" vertical="center" wrapText="1"/>
    </xf>
    <xf numFmtId="167" fontId="33" fillId="2" borderId="0" xfId="0" applyNumberFormat="1" applyFont="1" applyFill="1" applyAlignment="1">
      <alignment vertical="center" wrapText="1"/>
    </xf>
    <xf numFmtId="0" fontId="41" fillId="2" borderId="0" xfId="0" applyFont="1" applyFill="1" applyAlignment="1">
      <alignment horizontal="center" vertical="center" wrapText="1"/>
    </xf>
    <xf numFmtId="167" fontId="43" fillId="2" borderId="0" xfId="0" applyNumberFormat="1" applyFont="1" applyFill="1" applyAlignment="1">
      <alignment vertical="center" wrapText="1"/>
    </xf>
    <xf numFmtId="0" fontId="43" fillId="2" borderId="0" xfId="0" applyFont="1" applyFill="1" applyAlignment="1">
      <alignment horizontal="center" vertical="center" wrapText="1"/>
    </xf>
    <xf numFmtId="0" fontId="64" fillId="2" borderId="0" xfId="0" applyFont="1" applyFill="1" applyAlignment="1">
      <alignment vertical="center" wrapText="1"/>
    </xf>
    <xf numFmtId="4" fontId="33" fillId="2" borderId="0" xfId="0" applyNumberFormat="1" applyFont="1" applyFill="1" applyAlignment="1">
      <alignment vertical="center" wrapText="1"/>
    </xf>
    <xf numFmtId="0" fontId="33" fillId="2" borderId="1" xfId="0" applyFont="1" applyFill="1" applyBorder="1" applyAlignment="1">
      <alignment horizontal="center" vertical="center" wrapText="1"/>
    </xf>
    <xf numFmtId="0" fontId="33" fillId="2" borderId="1" xfId="35" applyFont="1" applyFill="1" applyBorder="1" applyAlignment="1">
      <alignment horizontal="center" vertical="center" textRotation="90" wrapText="1"/>
    </xf>
    <xf numFmtId="0" fontId="33" fillId="2" borderId="1" xfId="0" applyFont="1" applyFill="1" applyBorder="1" applyAlignment="1">
      <alignment horizontal="center" vertical="center" textRotation="90" wrapText="1"/>
    </xf>
    <xf numFmtId="0" fontId="33" fillId="2" borderId="0" xfId="20" applyFont="1" applyFill="1" applyAlignment="1">
      <alignment horizontal="center" vertical="center" wrapText="1"/>
    </xf>
    <xf numFmtId="0" fontId="33" fillId="2" borderId="1" xfId="71" applyFont="1" applyFill="1" applyBorder="1" applyAlignment="1">
      <alignment horizontal="left" vertical="center" wrapText="1"/>
    </xf>
    <xf numFmtId="168" fontId="33" fillId="2" borderId="1" xfId="71" applyNumberFormat="1" applyFont="1" applyFill="1" applyBorder="1" applyAlignment="1">
      <alignment horizontal="center" vertical="center"/>
    </xf>
    <xf numFmtId="4" fontId="33" fillId="2" borderId="1" xfId="71" applyNumberFormat="1" applyFont="1" applyFill="1" applyBorder="1" applyAlignment="1">
      <alignment horizontal="center" vertical="center"/>
    </xf>
    <xf numFmtId="169" fontId="33" fillId="2" borderId="1" xfId="71" applyNumberFormat="1" applyFont="1" applyFill="1" applyBorder="1" applyAlignment="1">
      <alignment horizontal="center" vertical="center"/>
    </xf>
    <xf numFmtId="4" fontId="33" fillId="2" borderId="1" xfId="0" applyNumberFormat="1" applyFont="1" applyFill="1" applyBorder="1" applyAlignment="1">
      <alignment horizontal="center" vertical="center" wrapText="1"/>
    </xf>
    <xf numFmtId="167" fontId="33" fillId="2" borderId="1" xfId="0" applyNumberFormat="1" applyFont="1" applyFill="1" applyBorder="1" applyAlignment="1">
      <alignment horizontal="center" vertical="center" wrapText="1"/>
    </xf>
    <xf numFmtId="167" fontId="46" fillId="2" borderId="0" xfId="20" applyNumberFormat="1" applyFont="1" applyFill="1" applyAlignment="1">
      <alignment vertical="center" wrapText="1"/>
    </xf>
    <xf numFmtId="168" fontId="33" fillId="2" borderId="0" xfId="0" applyNumberFormat="1" applyFont="1" applyFill="1" applyAlignment="1">
      <alignment vertical="center" wrapText="1"/>
    </xf>
    <xf numFmtId="0" fontId="33" fillId="2" borderId="1" xfId="0" applyFont="1" applyFill="1" applyBorder="1" applyAlignment="1">
      <alignment horizontal="left" vertical="center" wrapText="1"/>
    </xf>
    <xf numFmtId="168" fontId="33" fillId="2" borderId="1" xfId="0" applyNumberFormat="1" applyFont="1" applyFill="1" applyBorder="1" applyAlignment="1">
      <alignment horizontal="center" vertical="center" wrapText="1"/>
    </xf>
    <xf numFmtId="1" fontId="33" fillId="2" borderId="1" xfId="0" applyNumberFormat="1" applyFont="1" applyFill="1" applyBorder="1" applyAlignment="1">
      <alignment horizontal="center" vertical="center" wrapText="1"/>
    </xf>
    <xf numFmtId="0" fontId="33" fillId="2" borderId="1" xfId="0" applyFont="1" applyFill="1" applyBorder="1" applyAlignment="1">
      <alignment horizontal="left" vertical="center"/>
    </xf>
    <xf numFmtId="3" fontId="33" fillId="2" borderId="1" xfId="71" applyNumberFormat="1" applyFont="1" applyFill="1" applyBorder="1" applyAlignment="1">
      <alignment horizontal="center" vertical="center"/>
    </xf>
    <xf numFmtId="1" fontId="33" fillId="2" borderId="1" xfId="71" applyNumberFormat="1" applyFont="1" applyFill="1" applyBorder="1" applyAlignment="1">
      <alignment horizontal="center" vertical="center"/>
    </xf>
    <xf numFmtId="3" fontId="33" fillId="2" borderId="1" xfId="0" applyNumberFormat="1" applyFont="1" applyFill="1" applyBorder="1" applyAlignment="1">
      <alignment horizontal="center" vertical="center" wrapText="1"/>
    </xf>
    <xf numFmtId="4" fontId="45" fillId="2" borderId="1" xfId="35" applyNumberFormat="1" applyFont="1" applyFill="1" applyBorder="1" applyAlignment="1">
      <alignment horizontal="center" vertical="center" wrapText="1"/>
    </xf>
    <xf numFmtId="167" fontId="45" fillId="2" borderId="0" xfId="0" applyNumberFormat="1" applyFont="1" applyFill="1" applyAlignment="1">
      <alignment horizontal="center" vertical="center" wrapText="1"/>
    </xf>
    <xf numFmtId="166" fontId="45" fillId="2" borderId="0" xfId="0" applyNumberFormat="1" applyFont="1" applyFill="1" applyAlignment="1">
      <alignment horizontal="center" vertical="center" wrapText="1"/>
    </xf>
    <xf numFmtId="0" fontId="45" fillId="2" borderId="0" xfId="0" applyFont="1" applyFill="1" applyAlignment="1">
      <alignment horizontal="center" vertical="center" wrapText="1"/>
    </xf>
    <xf numFmtId="0" fontId="45" fillId="2" borderId="0" xfId="0" applyFont="1" applyFill="1" applyBorder="1" applyAlignment="1">
      <alignment horizontal="center" vertical="top"/>
    </xf>
    <xf numFmtId="0" fontId="45" fillId="2" borderId="0" xfId="0" applyFont="1" applyFill="1" applyBorder="1"/>
    <xf numFmtId="4" fontId="45" fillId="2" borderId="0" xfId="0" applyNumberFormat="1" applyFont="1" applyFill="1" applyBorder="1"/>
    <xf numFmtId="170" fontId="33" fillId="2" borderId="0" xfId="0" applyNumberFormat="1" applyFont="1" applyFill="1" applyAlignment="1">
      <alignment vertical="center" wrapText="1"/>
    </xf>
    <xf numFmtId="167" fontId="45" fillId="2" borderId="0" xfId="0" applyNumberFormat="1" applyFont="1" applyFill="1" applyAlignment="1">
      <alignment vertical="center" wrapText="1"/>
    </xf>
    <xf numFmtId="0" fontId="45" fillId="2" borderId="0" xfId="0" applyFont="1" applyFill="1" applyBorder="1" applyAlignment="1">
      <alignment vertical="top"/>
    </xf>
    <xf numFmtId="167" fontId="45" fillId="2" borderId="0" xfId="0" applyNumberFormat="1" applyFont="1" applyFill="1" applyBorder="1"/>
    <xf numFmtId="0" fontId="46" fillId="2" borderId="0" xfId="0" applyFont="1" applyFill="1" applyBorder="1" applyAlignment="1">
      <alignment horizontal="center" vertical="center" wrapText="1"/>
    </xf>
    <xf numFmtId="4" fontId="46" fillId="2" borderId="0" xfId="0" applyNumberFormat="1" applyFont="1" applyFill="1" applyBorder="1" applyAlignment="1">
      <alignment horizontal="left" vertical="center" wrapText="1"/>
    </xf>
    <xf numFmtId="172" fontId="46" fillId="2" borderId="0" xfId="0" applyNumberFormat="1" applyFont="1" applyFill="1" applyBorder="1" applyAlignment="1">
      <alignment horizontal="right" vertical="center" wrapText="1"/>
    </xf>
    <xf numFmtId="172" fontId="46" fillId="2" borderId="0" xfId="0" applyNumberFormat="1" applyFont="1" applyFill="1" applyBorder="1" applyAlignment="1">
      <alignment vertical="center" wrapText="1"/>
    </xf>
    <xf numFmtId="171" fontId="46" fillId="2" borderId="0" xfId="0" applyNumberFormat="1" applyFont="1" applyFill="1" applyBorder="1" applyAlignment="1">
      <alignment horizontal="center" vertical="center" wrapText="1"/>
    </xf>
    <xf numFmtId="0" fontId="46" fillId="2" borderId="0" xfId="0" applyFont="1" applyFill="1" applyAlignment="1">
      <alignment horizontal="center" vertical="center" wrapText="1"/>
    </xf>
    <xf numFmtId="4" fontId="46" fillId="2" borderId="0" xfId="0" applyNumberFormat="1" applyFont="1" applyFill="1" applyAlignment="1">
      <alignment horizontal="center" vertical="center" wrapText="1"/>
    </xf>
    <xf numFmtId="4" fontId="46" fillId="2" borderId="0" xfId="0" applyNumberFormat="1" applyFont="1" applyFill="1" applyBorder="1" applyAlignment="1">
      <alignment horizontal="right" vertical="center" wrapText="1"/>
    </xf>
    <xf numFmtId="0" fontId="45" fillId="2" borderId="1" xfId="0" applyFont="1" applyFill="1" applyBorder="1" applyAlignment="1">
      <alignment horizontal="center" vertical="center" wrapText="1"/>
    </xf>
    <xf numFmtId="0" fontId="45" fillId="2" borderId="0" xfId="0" applyFont="1" applyFill="1" applyBorder="1" applyAlignment="1">
      <alignment horizontal="center" vertical="center" wrapText="1"/>
    </xf>
    <xf numFmtId="172" fontId="46" fillId="2" borderId="0" xfId="0" applyNumberFormat="1"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0" xfId="0" applyFont="1" applyFill="1" applyBorder="1" applyAlignment="1">
      <alignment horizontal="center" vertical="center"/>
    </xf>
    <xf numFmtId="4" fontId="41" fillId="2" borderId="0" xfId="0" applyNumberFormat="1" applyFont="1" applyFill="1" applyBorder="1" applyAlignment="1">
      <alignment horizontal="left" vertical="center" wrapText="1"/>
    </xf>
    <xf numFmtId="4" fontId="41" fillId="2" borderId="0" xfId="0" applyNumberFormat="1" applyFont="1" applyFill="1" applyBorder="1" applyAlignment="1">
      <alignment horizontal="right" vertical="center" wrapText="1"/>
    </xf>
    <xf numFmtId="4" fontId="41" fillId="2" borderId="0" xfId="0" applyNumberFormat="1" applyFont="1" applyFill="1" applyBorder="1" applyAlignment="1">
      <alignment horizontal="center" vertical="center" wrapText="1"/>
    </xf>
    <xf numFmtId="172" fontId="41" fillId="2" borderId="0" xfId="0" applyNumberFormat="1" applyFont="1" applyFill="1" applyBorder="1" applyAlignment="1">
      <alignment vertical="center" wrapText="1"/>
    </xf>
    <xf numFmtId="171" fontId="41" fillId="2" borderId="0" xfId="0" applyNumberFormat="1" applyFont="1" applyFill="1" applyBorder="1" applyAlignment="1">
      <alignment horizontal="center" vertical="center" wrapText="1"/>
    </xf>
    <xf numFmtId="4" fontId="41" fillId="2" borderId="0" xfId="0" applyNumberFormat="1" applyFont="1" applyFill="1" applyAlignment="1">
      <alignment horizontal="center" vertical="center" wrapText="1"/>
    </xf>
    <xf numFmtId="0" fontId="44" fillId="2" borderId="0" xfId="0" applyFont="1" applyFill="1" applyBorder="1" applyAlignment="1">
      <alignment horizontal="left" vertical="center"/>
    </xf>
    <xf numFmtId="4" fontId="45" fillId="2" borderId="0" xfId="0" applyNumberFormat="1" applyFont="1" applyFill="1" applyBorder="1" applyAlignment="1">
      <alignment horizontal="center" vertical="center" wrapText="1"/>
    </xf>
    <xf numFmtId="171" fontId="45" fillId="2" borderId="0" xfId="0" applyNumberFormat="1" applyFont="1" applyFill="1" applyBorder="1" applyAlignment="1">
      <alignment horizontal="center" vertical="center" wrapText="1"/>
    </xf>
    <xf numFmtId="0" fontId="44" fillId="2" borderId="0" xfId="0" applyFont="1" applyFill="1" applyBorder="1" applyAlignment="1">
      <alignment horizontal="center" vertical="center" wrapText="1"/>
    </xf>
    <xf numFmtId="170" fontId="44" fillId="2" borderId="0" xfId="0" applyNumberFormat="1" applyFont="1" applyFill="1" applyBorder="1" applyAlignment="1">
      <alignment horizontal="center" vertical="center" wrapText="1"/>
    </xf>
    <xf numFmtId="0" fontId="0" fillId="2" borderId="1" xfId="0" applyFill="1" applyBorder="1" applyAlignment="1">
      <alignment horizontal="center" vertical="center" wrapText="1"/>
    </xf>
    <xf numFmtId="167" fontId="0" fillId="2" borderId="1" xfId="0" applyNumberFormat="1" applyFill="1" applyBorder="1" applyAlignment="1">
      <alignment horizontal="right" vertical="center" wrapText="1"/>
    </xf>
    <xf numFmtId="167" fontId="29" fillId="2" borderId="1" xfId="0" applyNumberFormat="1" applyFont="1" applyFill="1" applyBorder="1" applyAlignment="1">
      <alignment horizontal="right" vertical="center" wrapText="1"/>
    </xf>
    <xf numFmtId="167" fontId="37" fillId="2" borderId="1" xfId="0" applyNumberFormat="1" applyFont="1" applyFill="1" applyBorder="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vertical="center" wrapText="1"/>
    </xf>
    <xf numFmtId="0" fontId="0" fillId="2" borderId="0" xfId="0" applyFill="1" applyAlignment="1">
      <alignment horizontal="right" vertical="center" wrapText="1"/>
    </xf>
    <xf numFmtId="0" fontId="25" fillId="2" borderId="0" xfId="0" applyFont="1" applyFill="1" applyAlignment="1">
      <alignment horizontal="center" vertical="center" wrapText="1"/>
    </xf>
    <xf numFmtId="0" fontId="64" fillId="2" borderId="0" xfId="0" applyFont="1" applyFill="1" applyAlignment="1">
      <alignment horizontal="right" vertical="center" wrapText="1"/>
    </xf>
    <xf numFmtId="0" fontId="0" fillId="2" borderId="1" xfId="0" applyFill="1" applyBorder="1" applyAlignment="1">
      <alignment horizontal="center" vertical="center" wrapText="1"/>
    </xf>
    <xf numFmtId="0" fontId="65" fillId="2" borderId="1" xfId="35" applyFont="1" applyFill="1" applyBorder="1" applyAlignment="1">
      <alignment horizontal="center" vertical="center" textRotation="90" wrapText="1"/>
    </xf>
    <xf numFmtId="0" fontId="0" fillId="2" borderId="1" xfId="0" applyFill="1" applyBorder="1" applyAlignment="1">
      <alignment horizontal="center" vertical="center" textRotation="90" wrapText="1"/>
    </xf>
    <xf numFmtId="0" fontId="27" fillId="2" borderId="1" xfId="71" applyFont="1" applyFill="1" applyBorder="1" applyAlignment="1">
      <alignment vertical="center" wrapText="1"/>
    </xf>
    <xf numFmtId="170" fontId="27" fillId="2" borderId="1" xfId="0" applyNumberFormat="1" applyFont="1" applyFill="1" applyBorder="1" applyAlignment="1">
      <alignment vertical="center"/>
    </xf>
    <xf numFmtId="4" fontId="27" fillId="2" borderId="1" xfId="71" applyNumberFormat="1" applyFont="1" applyFill="1" applyBorder="1" applyAlignment="1">
      <alignment vertical="center"/>
    </xf>
    <xf numFmtId="167" fontId="27" fillId="2" borderId="1" xfId="71" applyNumberFormat="1" applyFont="1" applyFill="1" applyBorder="1" applyAlignment="1">
      <alignment vertical="center"/>
    </xf>
    <xf numFmtId="167" fontId="0" fillId="2" borderId="1" xfId="0" applyNumberFormat="1" applyFill="1" applyBorder="1" applyAlignment="1">
      <alignment vertical="center" wrapText="1"/>
    </xf>
    <xf numFmtId="4" fontId="0" fillId="2" borderId="1" xfId="0" applyNumberFormat="1" applyFill="1" applyBorder="1" applyAlignment="1">
      <alignment horizontal="right" vertical="center" wrapText="1"/>
    </xf>
    <xf numFmtId="169" fontId="0" fillId="2" borderId="1" xfId="0" applyNumberFormat="1" applyFill="1" applyBorder="1" applyAlignment="1">
      <alignment horizontal="center" vertical="center" wrapText="1"/>
    </xf>
    <xf numFmtId="4" fontId="0" fillId="2" borderId="1" xfId="0" applyNumberFormat="1" applyFill="1" applyBorder="1" applyAlignment="1">
      <alignment horizontal="center" vertical="center" wrapText="1"/>
    </xf>
    <xf numFmtId="167" fontId="0" fillId="2" borderId="0" xfId="0" applyNumberFormat="1" applyFill="1" applyAlignment="1">
      <alignment vertical="center" wrapText="1"/>
    </xf>
    <xf numFmtId="168" fontId="0" fillId="2" borderId="0" xfId="0" applyNumberFormat="1" applyFill="1" applyAlignment="1">
      <alignment vertical="center" wrapText="1"/>
    </xf>
    <xf numFmtId="167" fontId="49" fillId="2" borderId="0" xfId="20" applyNumberFormat="1" applyFont="1" applyFill="1" applyAlignment="1">
      <alignment vertical="center" wrapText="1"/>
    </xf>
    <xf numFmtId="0" fontId="27" fillId="2" borderId="1" xfId="0" applyFont="1" applyFill="1" applyBorder="1" applyAlignment="1">
      <alignment wrapText="1"/>
    </xf>
    <xf numFmtId="0" fontId="29" fillId="2" borderId="1" xfId="0" applyFont="1" applyFill="1" applyBorder="1" applyAlignment="1">
      <alignment horizontal="center" vertical="center" wrapText="1"/>
    </xf>
    <xf numFmtId="4" fontId="0" fillId="2" borderId="1" xfId="0" applyNumberFormat="1" applyFill="1" applyBorder="1" applyAlignment="1">
      <alignment vertical="center" wrapText="1"/>
    </xf>
    <xf numFmtId="1" fontId="29" fillId="2" borderId="1" xfId="0" applyNumberFormat="1" applyFont="1" applyFill="1" applyBorder="1" applyAlignment="1">
      <alignment horizontal="center" vertical="center" wrapText="1"/>
    </xf>
    <xf numFmtId="3" fontId="27" fillId="2" borderId="1" xfId="0" applyNumberFormat="1" applyFont="1" applyFill="1" applyBorder="1" applyAlignment="1">
      <alignment horizontal="left" wrapText="1"/>
    </xf>
    <xf numFmtId="3" fontId="29" fillId="2" borderId="1" xfId="0" applyNumberFormat="1" applyFont="1" applyFill="1" applyBorder="1" applyAlignment="1">
      <alignment horizontal="center" vertical="center" wrapText="1"/>
    </xf>
    <xf numFmtId="4" fontId="29" fillId="2" borderId="1" xfId="0" applyNumberFormat="1" applyFont="1" applyFill="1" applyBorder="1" applyAlignment="1">
      <alignment vertical="center" wrapText="1"/>
    </xf>
    <xf numFmtId="167" fontId="29" fillId="2" borderId="1" xfId="0" applyNumberFormat="1" applyFont="1" applyFill="1" applyBorder="1" applyAlignment="1">
      <alignment vertical="center" wrapText="1"/>
    </xf>
    <xf numFmtId="167" fontId="29" fillId="2" borderId="1" xfId="0" applyNumberFormat="1" applyFont="1" applyFill="1" applyBorder="1" applyAlignment="1">
      <alignment horizontal="center" vertical="center" wrapText="1"/>
    </xf>
    <xf numFmtId="0" fontId="29" fillId="2" borderId="0" xfId="0" applyFont="1" applyFill="1" applyAlignment="1">
      <alignment horizontal="center" vertical="center" wrapText="1"/>
    </xf>
    <xf numFmtId="1" fontId="0" fillId="2" borderId="1" xfId="0" applyNumberFormat="1" applyFill="1" applyBorder="1" applyAlignment="1">
      <alignment horizontal="center" vertical="center" wrapText="1"/>
    </xf>
    <xf numFmtId="1" fontId="27" fillId="2" borderId="1" xfId="71" applyNumberFormat="1" applyFont="1" applyFill="1" applyBorder="1" applyAlignment="1">
      <alignment horizontal="center" vertical="center"/>
    </xf>
    <xf numFmtId="0" fontId="27" fillId="2" borderId="1" xfId="0" applyFont="1" applyFill="1" applyBorder="1" applyAlignment="1">
      <alignment horizontal="left" wrapText="1"/>
    </xf>
    <xf numFmtId="0" fontId="66" fillId="2" borderId="0" xfId="0" applyFont="1" applyFill="1" applyAlignment="1">
      <alignment vertical="center" wrapText="1"/>
    </xf>
    <xf numFmtId="4" fontId="0" fillId="2" borderId="0" xfId="0" applyNumberFormat="1" applyFill="1" applyAlignment="1">
      <alignment vertical="center" wrapText="1"/>
    </xf>
    <xf numFmtId="4" fontId="0" fillId="2" borderId="2" xfId="0" applyNumberFormat="1" applyFill="1" applyBorder="1" applyAlignment="1">
      <alignment vertical="center" wrapText="1"/>
    </xf>
    <xf numFmtId="4" fontId="0" fillId="2" borderId="0" xfId="0" applyNumberFormat="1" applyFill="1" applyBorder="1" applyAlignment="1">
      <alignment vertical="center" wrapText="1"/>
    </xf>
    <xf numFmtId="168" fontId="45" fillId="2" borderId="0" xfId="0" applyNumberFormat="1" applyFont="1" applyFill="1" applyAlignment="1">
      <alignment horizontal="center" vertical="center" wrapText="1"/>
    </xf>
    <xf numFmtId="2" fontId="45" fillId="2" borderId="0" xfId="0" applyNumberFormat="1" applyFont="1" applyFill="1" applyAlignment="1">
      <alignment horizontal="center" vertical="center" wrapText="1"/>
    </xf>
    <xf numFmtId="0" fontId="61" fillId="2" borderId="0" xfId="0" applyFont="1" applyFill="1" applyBorder="1" applyAlignment="1">
      <alignment horizontal="center" vertical="center" wrapText="1"/>
    </xf>
    <xf numFmtId="4" fontId="61" fillId="2" borderId="0" xfId="0" applyNumberFormat="1" applyFont="1" applyFill="1" applyBorder="1" applyAlignment="1">
      <alignment horizontal="left" vertical="center" wrapText="1"/>
    </xf>
    <xf numFmtId="172" fontId="61" fillId="2" borderId="0" xfId="0" applyNumberFormat="1" applyFont="1" applyFill="1" applyBorder="1" applyAlignment="1">
      <alignment horizontal="right" vertical="center" wrapText="1"/>
    </xf>
    <xf numFmtId="172" fontId="61" fillId="2" borderId="0" xfId="0" applyNumberFormat="1" applyFont="1" applyFill="1" applyBorder="1" applyAlignment="1">
      <alignment vertical="center" wrapText="1"/>
    </xf>
    <xf numFmtId="4" fontId="61" fillId="2" borderId="0" xfId="0" applyNumberFormat="1" applyFont="1" applyFill="1" applyBorder="1" applyAlignment="1">
      <alignment horizontal="center" vertical="center" wrapText="1"/>
    </xf>
    <xf numFmtId="171" fontId="61" fillId="2" borderId="0" xfId="0" applyNumberFormat="1" applyFont="1" applyFill="1" applyBorder="1" applyAlignment="1">
      <alignment horizontal="center" vertical="center" wrapText="1"/>
    </xf>
    <xf numFmtId="4" fontId="61" fillId="2" borderId="0" xfId="0" applyNumberFormat="1" applyFont="1" applyFill="1" applyAlignment="1">
      <alignment horizontal="center" vertical="center" wrapText="1"/>
    </xf>
    <xf numFmtId="0" fontId="61" fillId="2" borderId="0" xfId="0" applyFont="1" applyFill="1" applyAlignment="1">
      <alignment horizontal="center" vertical="center" wrapText="1"/>
    </xf>
    <xf numFmtId="4" fontId="61" fillId="2" borderId="0" xfId="0" applyNumberFormat="1" applyFont="1" applyFill="1" applyBorder="1" applyAlignment="1">
      <alignment horizontal="right" vertical="center" wrapText="1"/>
    </xf>
    <xf numFmtId="0" fontId="67" fillId="2" borderId="0" xfId="0" applyFont="1" applyFill="1" applyBorder="1" applyAlignment="1">
      <alignment horizontal="left" vertical="center"/>
    </xf>
    <xf numFmtId="4" fontId="67" fillId="2" borderId="0" xfId="0" applyNumberFormat="1" applyFont="1" applyFill="1" applyBorder="1" applyAlignment="1">
      <alignment horizontal="left" vertical="center"/>
    </xf>
    <xf numFmtId="4" fontId="62" fillId="2" borderId="0" xfId="0" applyNumberFormat="1" applyFont="1" applyFill="1" applyBorder="1" applyAlignment="1">
      <alignment horizontal="center" vertical="center" wrapText="1"/>
    </xf>
    <xf numFmtId="171" fontId="62" fillId="2" borderId="0" xfId="0" applyNumberFormat="1" applyFont="1" applyFill="1" applyBorder="1" applyAlignment="1">
      <alignment horizontal="center" vertical="center" wrapText="1"/>
    </xf>
    <xf numFmtId="0" fontId="67" fillId="2" borderId="0" xfId="0" applyFont="1" applyFill="1" applyBorder="1" applyAlignment="1">
      <alignment horizontal="center" vertical="center" wrapText="1"/>
    </xf>
    <xf numFmtId="170" fontId="67" fillId="2" borderId="0" xfId="0" applyNumberFormat="1" applyFont="1" applyFill="1" applyBorder="1" applyAlignment="1">
      <alignment horizontal="center" vertical="center" wrapText="1"/>
    </xf>
    <xf numFmtId="4" fontId="67" fillId="2" borderId="0" xfId="0" applyNumberFormat="1" applyFont="1" applyFill="1" applyBorder="1" applyAlignment="1">
      <alignment horizontal="center" vertical="center" wrapText="1"/>
    </xf>
    <xf numFmtId="0" fontId="68" fillId="2" borderId="0" xfId="0" applyFont="1" applyFill="1" applyAlignment="1">
      <alignment horizontal="center" vertical="center"/>
    </xf>
    <xf numFmtId="171" fontId="0" fillId="2" borderId="0" xfId="0" applyNumberFormat="1" applyFill="1" applyAlignment="1">
      <alignment vertical="center" wrapText="1"/>
    </xf>
    <xf numFmtId="167" fontId="33" fillId="2" borderId="1" xfId="0" applyNumberFormat="1" applyFont="1" applyFill="1" applyBorder="1" applyAlignment="1">
      <alignment horizontal="right" vertical="center" wrapText="1"/>
    </xf>
    <xf numFmtId="167" fontId="33" fillId="2" borderId="1" xfId="0" applyNumberFormat="1" applyFont="1" applyFill="1" applyBorder="1" applyAlignment="1">
      <alignment vertical="center" wrapText="1"/>
    </xf>
    <xf numFmtId="167" fontId="48" fillId="2" borderId="1" xfId="0" applyNumberFormat="1" applyFont="1" applyFill="1" applyBorder="1" applyAlignment="1">
      <alignment horizontal="center" vertical="center" wrapText="1"/>
    </xf>
    <xf numFmtId="4" fontId="33" fillId="2" borderId="0" xfId="0" applyNumberFormat="1" applyFont="1" applyFill="1" applyBorder="1" applyAlignment="1">
      <alignment vertical="center" wrapText="1"/>
    </xf>
    <xf numFmtId="0" fontId="28" fillId="2" borderId="0" xfId="0" applyFont="1" applyFill="1" applyBorder="1" applyAlignment="1">
      <alignment horizontal="center" vertical="center" wrapText="1"/>
    </xf>
    <xf numFmtId="4" fontId="49" fillId="2" borderId="0" xfId="0" applyNumberFormat="1" applyFont="1" applyFill="1" applyBorder="1" applyAlignment="1">
      <alignment horizontal="center" vertical="center" wrapText="1"/>
    </xf>
    <xf numFmtId="4" fontId="50" fillId="2" borderId="0" xfId="0" applyNumberFormat="1" applyFont="1" applyFill="1" applyBorder="1" applyAlignment="1">
      <alignment horizontal="left" vertical="center"/>
    </xf>
    <xf numFmtId="4" fontId="50" fillId="2" borderId="0" xfId="0" applyNumberFormat="1" applyFont="1" applyFill="1" applyBorder="1" applyAlignment="1">
      <alignment horizontal="center" vertical="center" wrapText="1"/>
    </xf>
    <xf numFmtId="1" fontId="27" fillId="2" borderId="1" xfId="0" applyNumberFormat="1" applyFont="1" applyFill="1" applyBorder="1" applyAlignment="1">
      <alignment horizontal="center" vertical="center" wrapText="1"/>
    </xf>
    <xf numFmtId="169" fontId="27" fillId="2" borderId="1" xfId="0" applyNumberFormat="1" applyFont="1" applyFill="1" applyBorder="1" applyAlignment="1">
      <alignment horizontal="center" vertical="center" wrapText="1"/>
    </xf>
    <xf numFmtId="4" fontId="27" fillId="2" borderId="1" xfId="0" applyNumberFormat="1" applyFont="1" applyFill="1" applyBorder="1" applyAlignment="1">
      <alignment horizontal="center" vertical="center" wrapText="1"/>
    </xf>
    <xf numFmtId="0" fontId="33" fillId="2" borderId="0" xfId="0" applyFont="1" applyFill="1" applyBorder="1" applyAlignment="1">
      <alignment horizontal="center" vertical="center" wrapText="1"/>
    </xf>
    <xf numFmtId="0" fontId="27" fillId="2" borderId="1" xfId="71" applyFont="1" applyFill="1" applyBorder="1" applyAlignment="1">
      <alignment wrapText="1"/>
    </xf>
    <xf numFmtId="2" fontId="33" fillId="2" borderId="1" xfId="0" applyNumberFormat="1" applyFont="1" applyFill="1" applyBorder="1" applyAlignment="1">
      <alignment horizontal="center" vertical="center" wrapText="1"/>
    </xf>
    <xf numFmtId="170" fontId="27" fillId="2" borderId="1" xfId="71" applyNumberFormat="1" applyFont="1" applyFill="1" applyBorder="1" applyAlignment="1">
      <alignment horizontal="right" vertical="center"/>
    </xf>
    <xf numFmtId="4" fontId="27" fillId="2" borderId="1" xfId="71" applyNumberFormat="1" applyFont="1" applyFill="1" applyBorder="1" applyAlignment="1">
      <alignment horizontal="right" vertical="center"/>
    </xf>
    <xf numFmtId="167" fontId="27" fillId="2" borderId="1" xfId="71" applyNumberFormat="1" applyFont="1" applyFill="1" applyBorder="1" applyAlignment="1">
      <alignment horizontal="right" vertical="center"/>
    </xf>
    <xf numFmtId="4" fontId="33" fillId="2" borderId="1" xfId="0" applyNumberFormat="1" applyFont="1" applyFill="1" applyBorder="1" applyAlignment="1">
      <alignment horizontal="right" vertical="center" wrapText="1"/>
    </xf>
    <xf numFmtId="2" fontId="27" fillId="2" borderId="1" xfId="71" applyNumberFormat="1" applyFont="1" applyFill="1" applyBorder="1" applyAlignment="1">
      <alignment horizontal="center" vertical="center"/>
    </xf>
    <xf numFmtId="168" fontId="27" fillId="2" borderId="1" xfId="0" applyNumberFormat="1" applyFont="1" applyFill="1" applyBorder="1" applyAlignment="1">
      <alignment horizontal="right" vertical="center" wrapText="1"/>
    </xf>
    <xf numFmtId="2" fontId="27" fillId="2" borderId="1" xfId="71" applyNumberFormat="1" applyFont="1" applyFill="1" applyBorder="1" applyAlignment="1">
      <alignment horizontal="center"/>
    </xf>
    <xf numFmtId="170" fontId="27" fillId="2" borderId="1" xfId="35" applyNumberFormat="1" applyFont="1" applyFill="1" applyBorder="1" applyAlignment="1">
      <alignment horizontal="right" vertical="center" wrapText="1"/>
    </xf>
    <xf numFmtId="0" fontId="33" fillId="2" borderId="1" xfId="71" applyFont="1" applyFill="1" applyBorder="1"/>
    <xf numFmtId="170" fontId="33" fillId="2" borderId="1" xfId="0" applyNumberFormat="1" applyFont="1" applyFill="1" applyBorder="1" applyAlignment="1">
      <alignment horizontal="right" vertical="center"/>
    </xf>
    <xf numFmtId="0" fontId="33" fillId="2" borderId="1" xfId="71" applyFont="1" applyFill="1" applyBorder="1" applyAlignment="1">
      <alignment wrapText="1"/>
    </xf>
    <xf numFmtId="2" fontId="33" fillId="2" borderId="1" xfId="71" applyNumberFormat="1" applyFont="1" applyFill="1" applyBorder="1" applyAlignment="1">
      <alignment horizontal="center" vertical="center"/>
    </xf>
    <xf numFmtId="2" fontId="33" fillId="2" borderId="1" xfId="71" applyNumberFormat="1" applyFont="1" applyFill="1" applyBorder="1" applyAlignment="1">
      <alignment horizontal="center"/>
    </xf>
    <xf numFmtId="0" fontId="27" fillId="2" borderId="1" xfId="71" applyFont="1" applyFill="1" applyBorder="1" applyAlignment="1">
      <alignment horizontal="left" vertical="center" wrapText="1"/>
    </xf>
    <xf numFmtId="168" fontId="33" fillId="2" borderId="1" xfId="0" applyNumberFormat="1" applyFont="1" applyFill="1" applyBorder="1" applyAlignment="1">
      <alignment horizontal="right" vertical="center" wrapText="1"/>
    </xf>
    <xf numFmtId="168" fontId="33" fillId="2" borderId="1" xfId="0" applyNumberFormat="1" applyFont="1" applyFill="1" applyBorder="1" applyAlignment="1">
      <alignment vertical="center" wrapText="1"/>
    </xf>
    <xf numFmtId="4" fontId="27" fillId="2" borderId="1" xfId="0" applyNumberFormat="1" applyFont="1" applyFill="1" applyBorder="1" applyAlignment="1">
      <alignment vertical="center" wrapText="1"/>
    </xf>
    <xf numFmtId="167" fontId="27" fillId="2" borderId="1" xfId="71" applyNumberFormat="1" applyFont="1" applyFill="1" applyBorder="1" applyAlignment="1">
      <alignment horizontal="right"/>
    </xf>
    <xf numFmtId="167" fontId="27" fillId="2" borderId="1" xfId="0" applyNumberFormat="1" applyFont="1" applyFill="1" applyBorder="1" applyAlignment="1">
      <alignment vertical="center" wrapText="1"/>
    </xf>
    <xf numFmtId="167" fontId="27" fillId="2" borderId="0" xfId="0" applyNumberFormat="1" applyFont="1" applyFill="1" applyAlignment="1">
      <alignment vertical="center" wrapText="1"/>
    </xf>
    <xf numFmtId="0" fontId="27" fillId="2" borderId="0" xfId="0" applyFont="1" applyFill="1" applyAlignment="1">
      <alignment vertical="center" wrapText="1"/>
    </xf>
    <xf numFmtId="2" fontId="48" fillId="2" borderId="1" xfId="0" applyNumberFormat="1" applyFont="1" applyFill="1" applyBorder="1" applyAlignment="1">
      <alignment horizontal="center" vertical="center" wrapText="1"/>
    </xf>
    <xf numFmtId="4" fontId="48" fillId="2" borderId="1" xfId="0" applyNumberFormat="1" applyFont="1" applyFill="1" applyBorder="1" applyAlignment="1">
      <alignment horizontal="center" vertical="center" wrapText="1"/>
    </xf>
    <xf numFmtId="2" fontId="33" fillId="2" borderId="0" xfId="0" applyNumberFormat="1" applyFont="1" applyFill="1" applyAlignment="1">
      <alignment vertical="center" wrapText="1"/>
    </xf>
    <xf numFmtId="0" fontId="48" fillId="2" borderId="0" xfId="0" applyFont="1" applyFill="1" applyAlignment="1">
      <alignment vertical="center" wrapText="1"/>
    </xf>
    <xf numFmtId="0" fontId="28" fillId="2" borderId="0" xfId="0" applyFont="1" applyFill="1" applyBorder="1" applyAlignment="1">
      <alignment vertical="center"/>
    </xf>
    <xf numFmtId="170" fontId="28" fillId="2" borderId="0" xfId="0" applyNumberFormat="1" applyFont="1" applyFill="1" applyBorder="1" applyAlignment="1">
      <alignment horizontal="center" vertical="center" wrapText="1"/>
    </xf>
    <xf numFmtId="0" fontId="33" fillId="2" borderId="0" xfId="0" applyFont="1" applyFill="1" applyBorder="1" applyAlignment="1">
      <alignment vertical="center" wrapText="1"/>
    </xf>
    <xf numFmtId="167" fontId="33" fillId="2" borderId="0" xfId="0" applyNumberFormat="1" applyFont="1" applyFill="1" applyBorder="1" applyAlignment="1">
      <alignment vertical="center" wrapText="1"/>
    </xf>
    <xf numFmtId="0" fontId="49" fillId="2" borderId="0" xfId="0" applyFont="1" applyFill="1" applyBorder="1" applyAlignment="1">
      <alignment horizontal="center" vertical="center" wrapText="1"/>
    </xf>
    <xf numFmtId="4" fontId="49" fillId="2" borderId="0" xfId="0" applyNumberFormat="1" applyFont="1" applyFill="1" applyBorder="1" applyAlignment="1">
      <alignment horizontal="left" vertical="center" wrapText="1"/>
    </xf>
    <xf numFmtId="4" fontId="49" fillId="2" borderId="0" xfId="0" applyNumberFormat="1" applyFont="1" applyFill="1" applyBorder="1" applyAlignment="1">
      <alignment horizontal="right" vertical="center" wrapText="1"/>
    </xf>
    <xf numFmtId="172" fontId="49" fillId="2" borderId="0" xfId="0" applyNumberFormat="1" applyFont="1" applyFill="1" applyBorder="1" applyAlignment="1">
      <alignment vertical="center" wrapText="1"/>
    </xf>
    <xf numFmtId="171" fontId="49" fillId="2" borderId="0" xfId="0" applyNumberFormat="1" applyFont="1" applyFill="1" applyBorder="1" applyAlignment="1">
      <alignment horizontal="center" vertical="center" wrapText="1"/>
    </xf>
    <xf numFmtId="49" fontId="47" fillId="2" borderId="0" xfId="0" applyNumberFormat="1" applyFont="1" applyFill="1" applyBorder="1" applyAlignment="1" applyProtection="1">
      <alignment horizontal="center" vertical="center" wrapText="1"/>
    </xf>
    <xf numFmtId="4" fontId="47" fillId="2" borderId="0" xfId="0" applyNumberFormat="1" applyFont="1" applyFill="1" applyBorder="1" applyAlignment="1" applyProtection="1">
      <alignment horizontal="right" vertical="center" wrapText="1"/>
    </xf>
    <xf numFmtId="4" fontId="49" fillId="2" borderId="0" xfId="0" applyNumberFormat="1" applyFont="1" applyFill="1" applyAlignment="1">
      <alignment horizontal="center" vertical="center" wrapText="1"/>
    </xf>
    <xf numFmtId="0" fontId="49" fillId="2" borderId="0" xfId="0" applyFont="1" applyFill="1" applyAlignment="1">
      <alignment horizontal="center" vertical="center" wrapText="1"/>
    </xf>
    <xf numFmtId="0" fontId="50" fillId="2" borderId="0" xfId="0" applyFont="1" applyFill="1" applyBorder="1" applyAlignment="1">
      <alignment horizontal="left" vertical="center"/>
    </xf>
    <xf numFmtId="4" fontId="48" fillId="2" borderId="0" xfId="0" applyNumberFormat="1" applyFont="1" applyFill="1" applyBorder="1" applyAlignment="1">
      <alignment horizontal="center" vertical="center" wrapText="1"/>
    </xf>
    <xf numFmtId="171" fontId="48" fillId="2" borderId="0" xfId="0" applyNumberFormat="1" applyFont="1" applyFill="1" applyBorder="1" applyAlignment="1">
      <alignment horizontal="center" vertical="center" wrapText="1"/>
    </xf>
    <xf numFmtId="0" fontId="50" fillId="2" borderId="0" xfId="0" applyFont="1" applyFill="1" applyBorder="1" applyAlignment="1">
      <alignment horizontal="center" vertical="center" wrapText="1"/>
    </xf>
    <xf numFmtId="170" fontId="50" fillId="2" borderId="0" xfId="0" applyNumberFormat="1" applyFont="1" applyFill="1" applyBorder="1" applyAlignment="1">
      <alignment horizontal="center" vertical="center" wrapText="1"/>
    </xf>
    <xf numFmtId="0" fontId="46" fillId="2" borderId="0" xfId="0" applyFont="1" applyFill="1" applyAlignment="1">
      <alignment vertical="center" wrapText="1"/>
    </xf>
    <xf numFmtId="0" fontId="46" fillId="2" borderId="0" xfId="20" applyFont="1" applyFill="1" applyAlignment="1">
      <alignment horizontal="center" vertical="center" wrapText="1"/>
    </xf>
    <xf numFmtId="170" fontId="33" fillId="2" borderId="1" xfId="20" applyNumberFormat="1" applyFont="1" applyFill="1" applyBorder="1" applyAlignment="1">
      <alignment horizontal="right" vertical="center"/>
    </xf>
    <xf numFmtId="4" fontId="33" fillId="2" borderId="1" xfId="71" applyNumberFormat="1" applyFont="1" applyFill="1" applyBorder="1" applyAlignment="1">
      <alignment horizontal="right" vertical="center"/>
    </xf>
    <xf numFmtId="167" fontId="33" fillId="2" borderId="1" xfId="71" applyNumberFormat="1" applyFont="1" applyFill="1" applyBorder="1" applyAlignment="1">
      <alignment horizontal="right" vertical="center"/>
    </xf>
    <xf numFmtId="167" fontId="46" fillId="2" borderId="0" xfId="0" applyNumberFormat="1" applyFont="1" applyFill="1" applyAlignment="1">
      <alignment vertical="center" wrapText="1"/>
    </xf>
    <xf numFmtId="168" fontId="46" fillId="2" borderId="0" xfId="0" applyNumberFormat="1" applyFont="1" applyFill="1" applyAlignment="1">
      <alignment vertical="center" wrapText="1"/>
    </xf>
    <xf numFmtId="0" fontId="33" fillId="2" borderId="1" xfId="20" applyFont="1" applyFill="1" applyBorder="1" applyAlignment="1">
      <alignment horizontal="left" vertical="center" wrapText="1"/>
    </xf>
    <xf numFmtId="3" fontId="33" fillId="2" borderId="1" xfId="0" applyNumberFormat="1" applyFont="1" applyFill="1" applyBorder="1" applyAlignment="1">
      <alignment horizontal="center"/>
    </xf>
    <xf numFmtId="167" fontId="33" fillId="2" borderId="0" xfId="0" applyNumberFormat="1" applyFont="1" applyFill="1" applyAlignment="1">
      <alignment horizontal="center" vertical="center" wrapText="1"/>
    </xf>
    <xf numFmtId="169" fontId="46" fillId="2" borderId="0" xfId="0" applyNumberFormat="1" applyFont="1" applyFill="1" applyAlignment="1">
      <alignment vertical="center" wrapText="1"/>
    </xf>
    <xf numFmtId="169" fontId="46" fillId="2" borderId="0" xfId="20" applyNumberFormat="1" applyFont="1" applyFill="1" applyAlignment="1">
      <alignment vertical="center" wrapText="1"/>
    </xf>
    <xf numFmtId="169" fontId="45" fillId="2" borderId="0" xfId="0" applyNumberFormat="1" applyFont="1" applyFill="1" applyAlignment="1">
      <alignment horizontal="center" vertical="center" wrapText="1"/>
    </xf>
    <xf numFmtId="3" fontId="33" fillId="2" borderId="1" xfId="20" applyNumberFormat="1" applyFont="1" applyFill="1" applyBorder="1" applyAlignment="1">
      <alignment horizontal="center" vertical="center"/>
    </xf>
    <xf numFmtId="0" fontId="28" fillId="2" borderId="1" xfId="0" applyFont="1" applyFill="1" applyBorder="1" applyAlignment="1">
      <alignment horizontal="left" vertical="center"/>
    </xf>
    <xf numFmtId="4" fontId="33" fillId="2" borderId="1" xfId="71" applyNumberFormat="1" applyFont="1" applyFill="1" applyBorder="1" applyAlignment="1">
      <alignment horizontal="right"/>
    </xf>
    <xf numFmtId="167" fontId="33" fillId="2" borderId="1" xfId="71" applyNumberFormat="1" applyFont="1" applyFill="1" applyBorder="1" applyAlignment="1">
      <alignment horizontal="right"/>
    </xf>
    <xf numFmtId="2" fontId="27" fillId="2" borderId="1" xfId="0" applyNumberFormat="1" applyFont="1" applyFill="1" applyBorder="1" applyAlignment="1">
      <alignment horizontal="right" wrapText="1"/>
    </xf>
    <xf numFmtId="0" fontId="33" fillId="2" borderId="1" xfId="0" applyFont="1" applyFill="1" applyBorder="1" applyAlignment="1">
      <alignment horizontal="left" wrapText="1"/>
    </xf>
    <xf numFmtId="2" fontId="45" fillId="2" borderId="1" xfId="0" applyNumberFormat="1" applyFont="1" applyFill="1" applyBorder="1" applyAlignment="1">
      <alignment horizontal="center" vertical="center" wrapText="1"/>
    </xf>
    <xf numFmtId="172" fontId="45" fillId="2" borderId="1" xfId="0" applyNumberFormat="1" applyFont="1" applyFill="1" applyBorder="1" applyAlignment="1">
      <alignment horizontal="center" vertical="center" wrapText="1"/>
    </xf>
    <xf numFmtId="4" fontId="33" fillId="2" borderId="0" xfId="0" applyNumberFormat="1" applyFont="1" applyFill="1" applyBorder="1" applyAlignment="1">
      <alignment horizontal="center" vertical="center" wrapText="1"/>
    </xf>
    <xf numFmtId="0" fontId="33" fillId="2" borderId="1" xfId="0" applyFont="1" applyFill="1" applyBorder="1" applyAlignment="1">
      <alignment vertical="center" wrapText="1"/>
    </xf>
    <xf numFmtId="0" fontId="52" fillId="2" borderId="1" xfId="0" applyFont="1" applyFill="1" applyBorder="1" applyAlignment="1">
      <alignment vertical="center" wrapText="1"/>
    </xf>
    <xf numFmtId="0" fontId="25" fillId="2" borderId="0" xfId="0" applyFont="1" applyFill="1" applyAlignment="1">
      <alignment vertical="center" wrapText="1"/>
    </xf>
    <xf numFmtId="0" fontId="27" fillId="2" borderId="1" xfId="0" applyFont="1" applyFill="1" applyBorder="1" applyAlignment="1">
      <alignment horizontal="left" vertical="center" wrapText="1"/>
    </xf>
    <xf numFmtId="170" fontId="27" fillId="2" borderId="1" xfId="0" applyNumberFormat="1" applyFont="1" applyFill="1" applyBorder="1" applyAlignment="1">
      <alignment horizontal="right" vertical="center"/>
    </xf>
    <xf numFmtId="0" fontId="65" fillId="2" borderId="1" xfId="0" applyFont="1" applyFill="1" applyBorder="1" applyAlignment="1">
      <alignment horizontal="center" vertical="center" wrapText="1"/>
    </xf>
    <xf numFmtId="1" fontId="65" fillId="2" borderId="1" xfId="0" applyNumberFormat="1" applyFont="1" applyFill="1" applyBorder="1" applyAlignment="1">
      <alignment horizontal="center" vertical="center" wrapText="1"/>
    </xf>
    <xf numFmtId="169" fontId="65" fillId="2" borderId="1" xfId="0" applyNumberFormat="1" applyFont="1" applyFill="1" applyBorder="1" applyAlignment="1">
      <alignment horizontal="center" vertical="center" wrapText="1"/>
    </xf>
    <xf numFmtId="4" fontId="65" fillId="2" borderId="1" xfId="0" applyNumberFormat="1" applyFont="1" applyFill="1" applyBorder="1" applyAlignment="1">
      <alignment horizontal="center" vertical="center" wrapText="1"/>
    </xf>
    <xf numFmtId="4" fontId="46" fillId="2" borderId="0" xfId="20" applyNumberFormat="1" applyFont="1" applyFill="1" applyAlignment="1">
      <alignment vertical="center" wrapText="1"/>
    </xf>
    <xf numFmtId="0" fontId="27" fillId="2" borderId="1" xfId="35" applyFont="1" applyFill="1" applyBorder="1" applyAlignment="1">
      <alignment horizontal="left" vertical="center" wrapText="1"/>
    </xf>
    <xf numFmtId="4" fontId="46" fillId="2" borderId="0" xfId="0" applyNumberFormat="1" applyFont="1" applyFill="1" applyAlignment="1">
      <alignment vertical="center" wrapText="1"/>
    </xf>
    <xf numFmtId="0" fontId="65" fillId="2" borderId="0" xfId="0" applyFont="1" applyFill="1" applyAlignment="1">
      <alignment horizontal="center" vertical="center" wrapText="1"/>
    </xf>
    <xf numFmtId="3" fontId="65" fillId="2" borderId="1" xfId="0" applyNumberFormat="1" applyFont="1" applyFill="1" applyBorder="1" applyAlignment="1">
      <alignment horizontal="center" vertical="center" wrapText="1"/>
    </xf>
    <xf numFmtId="170" fontId="65" fillId="2" borderId="1" xfId="0" applyNumberFormat="1" applyFont="1" applyFill="1" applyBorder="1" applyAlignment="1">
      <alignment horizontal="right" vertical="center" wrapText="1"/>
    </xf>
    <xf numFmtId="167" fontId="65" fillId="2" borderId="1" xfId="0" applyNumberFormat="1" applyFont="1" applyFill="1" applyBorder="1" applyAlignment="1">
      <alignment horizontal="right" vertical="center" wrapText="1"/>
    </xf>
    <xf numFmtId="4" fontId="65" fillId="2" borderId="1" xfId="0" applyNumberFormat="1" applyFont="1" applyFill="1" applyBorder="1" applyAlignment="1">
      <alignment horizontal="right" vertical="center" wrapText="1"/>
    </xf>
    <xf numFmtId="167" fontId="65" fillId="2" borderId="1" xfId="0" applyNumberFormat="1" applyFont="1" applyFill="1" applyBorder="1" applyAlignment="1">
      <alignment vertical="center" wrapText="1"/>
    </xf>
    <xf numFmtId="3" fontId="0" fillId="2" borderId="1" xfId="0" applyNumberFormat="1" applyFill="1" applyBorder="1" applyAlignment="1">
      <alignment horizontal="center" vertical="center" wrapText="1"/>
    </xf>
    <xf numFmtId="0" fontId="65" fillId="2" borderId="0" xfId="0" applyFont="1" applyFill="1" applyAlignment="1">
      <alignment vertical="center" wrapText="1"/>
    </xf>
    <xf numFmtId="4" fontId="62" fillId="2" borderId="1" xfId="0" applyNumberFormat="1" applyFont="1" applyFill="1" applyBorder="1" applyAlignment="1">
      <alignment horizontal="center" vertical="center" wrapText="1"/>
    </xf>
    <xf numFmtId="172" fontId="62" fillId="2" borderId="1" xfId="0" applyNumberFormat="1" applyFont="1" applyFill="1" applyBorder="1" applyAlignment="1">
      <alignment horizontal="center" vertical="center" wrapText="1"/>
    </xf>
    <xf numFmtId="0" fontId="69" fillId="2" borderId="0" xfId="0" applyFont="1" applyFill="1" applyBorder="1" applyAlignment="1">
      <alignment vertical="center"/>
    </xf>
    <xf numFmtId="170" fontId="69" fillId="2" borderId="0" xfId="0" applyNumberFormat="1" applyFont="1" applyFill="1" applyBorder="1" applyAlignment="1">
      <alignment vertical="center" wrapText="1"/>
    </xf>
    <xf numFmtId="0" fontId="28" fillId="2" borderId="0" xfId="0" applyFont="1" applyFill="1" applyBorder="1" applyAlignment="1">
      <alignment vertical="center" wrapText="1"/>
    </xf>
    <xf numFmtId="0" fontId="68" fillId="2" borderId="0" xfId="0" applyFont="1" applyFill="1" applyAlignment="1">
      <alignment horizontal="center" vertical="center" wrapText="1"/>
    </xf>
    <xf numFmtId="2" fontId="0" fillId="2" borderId="1" xfId="0" applyNumberFormat="1" applyFill="1" applyBorder="1" applyAlignment="1">
      <alignment horizontal="center" vertical="center" wrapText="1"/>
    </xf>
    <xf numFmtId="4" fontId="27" fillId="2" borderId="1" xfId="71" applyNumberFormat="1" applyFont="1" applyFill="1" applyBorder="1" applyAlignment="1">
      <alignment horizontal="right"/>
    </xf>
    <xf numFmtId="0" fontId="27" fillId="2" borderId="1" xfId="0" applyFont="1" applyFill="1" applyBorder="1" applyAlignment="1">
      <alignment vertical="center" wrapText="1"/>
    </xf>
    <xf numFmtId="2" fontId="65" fillId="2" borderId="1" xfId="0" applyNumberFormat="1" applyFont="1" applyFill="1" applyBorder="1" applyAlignment="1">
      <alignment horizontal="center" vertical="center" wrapText="1"/>
    </xf>
    <xf numFmtId="0" fontId="70" fillId="2" borderId="0" xfId="0" applyFont="1" applyFill="1" applyAlignment="1">
      <alignment vertical="center" wrapText="1"/>
    </xf>
    <xf numFmtId="2" fontId="27" fillId="2" borderId="1" xfId="20" applyNumberFormat="1" applyFont="1" applyFill="1" applyBorder="1" applyAlignment="1">
      <alignment horizontal="center"/>
    </xf>
    <xf numFmtId="2" fontId="69" fillId="2" borderId="1" xfId="0" applyNumberFormat="1" applyFont="1" applyFill="1" applyBorder="1" applyAlignment="1">
      <alignment horizontal="center" vertical="center" wrapText="1"/>
    </xf>
    <xf numFmtId="172" fontId="69" fillId="2" borderId="1" xfId="0" applyNumberFormat="1" applyFont="1" applyFill="1" applyBorder="1" applyAlignment="1">
      <alignment horizontal="center" vertical="center" wrapText="1"/>
    </xf>
    <xf numFmtId="0" fontId="69" fillId="2" borderId="3" xfId="0" applyFont="1" applyFill="1" applyBorder="1" applyAlignment="1">
      <alignment horizontal="center" vertical="center" wrapText="1"/>
    </xf>
    <xf numFmtId="0" fontId="69" fillId="2" borderId="2" xfId="0" applyFont="1" applyFill="1" applyBorder="1" applyAlignment="1">
      <alignment horizontal="center" vertical="center" wrapText="1"/>
    </xf>
    <xf numFmtId="2" fontId="69" fillId="2" borderId="2" xfId="0" applyNumberFormat="1" applyFont="1" applyFill="1" applyBorder="1" applyAlignment="1">
      <alignment horizontal="center" vertical="center" wrapText="1"/>
    </xf>
    <xf numFmtId="172" fontId="69" fillId="2" borderId="2" xfId="0" applyNumberFormat="1" applyFont="1" applyFill="1" applyBorder="1" applyAlignment="1">
      <alignment horizontal="center" vertical="center" wrapText="1"/>
    </xf>
    <xf numFmtId="173" fontId="46" fillId="2" borderId="0" xfId="0" applyNumberFormat="1" applyFont="1" applyFill="1" applyBorder="1" applyAlignment="1">
      <alignment horizontal="right" vertical="center" wrapText="1"/>
    </xf>
    <xf numFmtId="0" fontId="27" fillId="2" borderId="1" xfId="0" applyFont="1" applyFill="1" applyBorder="1" applyAlignment="1">
      <alignment horizontal="center" vertical="center" wrapText="1"/>
    </xf>
    <xf numFmtId="0" fontId="61" fillId="2" borderId="1" xfId="39" applyFont="1" applyFill="1" applyBorder="1" applyAlignment="1">
      <alignment horizontal="left" vertical="center" wrapText="1"/>
    </xf>
    <xf numFmtId="0" fontId="0" fillId="2" borderId="1" xfId="0" applyFill="1" applyBorder="1" applyAlignment="1">
      <alignment horizontal="center" vertical="center" wrapText="1"/>
    </xf>
    <xf numFmtId="0" fontId="61" fillId="0" borderId="0" xfId="39" applyFont="1" applyAlignment="1">
      <alignment horizontal="center"/>
    </xf>
    <xf numFmtId="0" fontId="33" fillId="2" borderId="1" xfId="0" applyFont="1" applyFill="1" applyBorder="1" applyAlignment="1">
      <alignment horizontal="center" vertical="center" wrapText="1"/>
    </xf>
    <xf numFmtId="0" fontId="33" fillId="2" borderId="1" xfId="0" applyFont="1" applyFill="1" applyBorder="1" applyAlignment="1">
      <alignment horizontal="center" vertical="center" wrapText="1"/>
    </xf>
    <xf numFmtId="0" fontId="33" fillId="2" borderId="1" xfId="0" applyFont="1" applyFill="1" applyBorder="1" applyAlignment="1">
      <alignment horizontal="center" vertical="center" wrapText="1"/>
    </xf>
    <xf numFmtId="0" fontId="45" fillId="2" borderId="1" xfId="0" applyFont="1" applyFill="1" applyBorder="1" applyAlignment="1">
      <alignment horizontal="center" vertical="center" wrapText="1"/>
    </xf>
    <xf numFmtId="0" fontId="33" fillId="2" borderId="1" xfId="0" applyFont="1" applyFill="1" applyBorder="1" applyAlignment="1">
      <alignment horizontal="center" vertical="center" textRotation="90" wrapText="1"/>
    </xf>
    <xf numFmtId="0" fontId="33" fillId="2" borderId="1" xfId="35" applyFont="1" applyFill="1" applyBorder="1" applyAlignment="1">
      <alignment horizontal="center" vertical="center" textRotation="90" wrapText="1"/>
    </xf>
    <xf numFmtId="0" fontId="41" fillId="2" borderId="0" xfId="0" applyFont="1" applyFill="1" applyAlignment="1">
      <alignment horizontal="center" vertical="center" wrapText="1"/>
    </xf>
    <xf numFmtId="0" fontId="43" fillId="2" borderId="0" xfId="0" applyFont="1" applyFill="1" applyAlignment="1">
      <alignment horizontal="center" vertical="center" wrapText="1"/>
    </xf>
    <xf numFmtId="0" fontId="0" fillId="2" borderId="1" xfId="0" applyFill="1" applyBorder="1" applyAlignment="1">
      <alignment horizontal="center" vertical="center" wrapText="1"/>
    </xf>
    <xf numFmtId="0" fontId="0" fillId="2" borderId="1" xfId="0" applyFill="1" applyBorder="1" applyAlignment="1">
      <alignment horizontal="center" vertical="center" textRotation="90" wrapText="1"/>
    </xf>
    <xf numFmtId="0" fontId="65" fillId="2" borderId="1" xfId="35" applyFont="1" applyFill="1" applyBorder="1" applyAlignment="1">
      <alignment horizontal="center" vertical="center" textRotation="90" wrapText="1"/>
    </xf>
    <xf numFmtId="0" fontId="25" fillId="2" borderId="0" xfId="0" applyFont="1" applyFill="1" applyAlignment="1">
      <alignment horizontal="center" vertical="center" wrapText="1"/>
    </xf>
    <xf numFmtId="0" fontId="27" fillId="2" borderId="1" xfId="35" applyFont="1" applyFill="1" applyBorder="1" applyAlignment="1">
      <alignment horizontal="center" vertical="center" textRotation="90" wrapText="1"/>
    </xf>
    <xf numFmtId="0" fontId="62" fillId="4" borderId="1" xfId="39" applyFont="1" applyFill="1" applyBorder="1" applyAlignment="1">
      <alignment horizontal="center" vertical="center"/>
    </xf>
    <xf numFmtId="172" fontId="61" fillId="4" borderId="1" xfId="39" applyNumberFormat="1" applyFont="1" applyFill="1" applyBorder="1" applyAlignment="1">
      <alignment horizontal="center" vertical="center"/>
    </xf>
    <xf numFmtId="0" fontId="61" fillId="0" borderId="0" xfId="39" applyFont="1" applyAlignment="1">
      <alignment horizontal="center"/>
    </xf>
    <xf numFmtId="0" fontId="62" fillId="0" borderId="1" xfId="39" applyFont="1" applyBorder="1" applyAlignment="1">
      <alignment horizontal="center" vertical="center"/>
    </xf>
    <xf numFmtId="0" fontId="62" fillId="0" borderId="1" xfId="39" applyFont="1" applyFill="1" applyBorder="1" applyAlignment="1">
      <alignment horizontal="center" vertical="center"/>
    </xf>
    <xf numFmtId="0" fontId="62" fillId="5" borderId="1" xfId="39" applyFont="1" applyFill="1" applyBorder="1" applyAlignment="1">
      <alignment horizontal="center" vertical="center"/>
    </xf>
    <xf numFmtId="172" fontId="61" fillId="5" borderId="1" xfId="39" applyNumberFormat="1" applyFont="1" applyFill="1" applyBorder="1" applyAlignment="1">
      <alignment horizontal="center" vertical="center"/>
    </xf>
    <xf numFmtId="0" fontId="60" fillId="2" borderId="0" xfId="5" applyFill="1"/>
    <xf numFmtId="0" fontId="71" fillId="2" borderId="0" xfId="5" applyFont="1" applyFill="1"/>
    <xf numFmtId="0" fontId="61" fillId="0" borderId="0" xfId="5" applyFont="1"/>
    <xf numFmtId="0" fontId="61" fillId="0" borderId="1" xfId="5" applyFont="1" applyBorder="1" applyAlignment="1">
      <alignment vertical="center" wrapText="1"/>
    </xf>
    <xf numFmtId="0" fontId="62" fillId="0" borderId="1" xfId="5" applyFont="1" applyBorder="1" applyAlignment="1">
      <alignment vertical="center" wrapText="1"/>
    </xf>
    <xf numFmtId="0" fontId="62" fillId="0" borderId="0" xfId="5" applyFont="1"/>
    <xf numFmtId="0" fontId="61" fillId="2" borderId="0" xfId="5" applyFont="1" applyFill="1"/>
    <xf numFmtId="0" fontId="61" fillId="2" borderId="1" xfId="5" applyFont="1" applyFill="1" applyBorder="1" applyAlignment="1">
      <alignment vertical="center" wrapText="1"/>
    </xf>
    <xf numFmtId="4" fontId="61" fillId="2" borderId="1" xfId="5" applyNumberFormat="1" applyFont="1" applyFill="1" applyBorder="1" applyAlignment="1">
      <alignment horizontal="center" vertical="center" wrapText="1"/>
    </xf>
    <xf numFmtId="0" fontId="62" fillId="2" borderId="1" xfId="5" applyFont="1" applyFill="1" applyBorder="1" applyAlignment="1">
      <alignment vertical="center" wrapText="1"/>
    </xf>
    <xf numFmtId="0" fontId="62" fillId="2" borderId="1" xfId="5" applyFont="1" applyFill="1" applyBorder="1" applyAlignment="1">
      <alignment horizontal="center" vertical="center" wrapText="1"/>
    </xf>
    <xf numFmtId="4" fontId="62" fillId="2" borderId="1" xfId="5" applyNumberFormat="1" applyFont="1" applyFill="1" applyBorder="1" applyAlignment="1">
      <alignment horizontal="center" vertical="center" wrapText="1"/>
    </xf>
    <xf numFmtId="0" fontId="62" fillId="2" borderId="0" xfId="5" applyFont="1" applyFill="1"/>
    <xf numFmtId="2" fontId="61" fillId="2" borderId="0" xfId="5" applyNumberFormat="1" applyFont="1" applyFill="1"/>
    <xf numFmtId="0" fontId="61" fillId="6" borderId="0" xfId="5" applyFont="1" applyFill="1"/>
    <xf numFmtId="0" fontId="60" fillId="2" borderId="0" xfId="5" applyFill="1" applyAlignment="1">
      <alignment horizontal="center" vertical="center"/>
    </xf>
    <xf numFmtId="0" fontId="61" fillId="2" borderId="1" xfId="5" applyFont="1" applyFill="1" applyBorder="1" applyAlignment="1">
      <alignment horizontal="center" vertical="center" wrapText="1"/>
    </xf>
    <xf numFmtId="0" fontId="61" fillId="0" borderId="1" xfId="5" applyFont="1" applyBorder="1"/>
    <xf numFmtId="0" fontId="61" fillId="2" borderId="10" xfId="5" applyFont="1" applyFill="1" applyBorder="1" applyAlignment="1">
      <alignment horizontal="center" vertical="center" wrapText="1"/>
    </xf>
    <xf numFmtId="0" fontId="62" fillId="2" borderId="7" xfId="5" applyFont="1" applyFill="1" applyBorder="1" applyAlignment="1">
      <alignment horizontal="center" vertical="center" wrapText="1"/>
    </xf>
    <xf numFmtId="0" fontId="62" fillId="2" borderId="1" xfId="5" applyFont="1" applyFill="1" applyBorder="1" applyAlignment="1">
      <alignment horizontal="center" vertical="center"/>
    </xf>
    <xf numFmtId="14" fontId="61" fillId="2" borderId="0" xfId="5" applyNumberFormat="1" applyFont="1" applyFill="1"/>
    <xf numFmtId="0" fontId="61" fillId="0" borderId="0" xfId="0" applyFont="1"/>
    <xf numFmtId="0" fontId="61" fillId="0" borderId="0" xfId="0" applyFont="1" applyAlignment="1">
      <alignment horizontal="right"/>
    </xf>
    <xf numFmtId="0" fontId="61" fillId="0" borderId="0" xfId="0" applyFont="1" applyFill="1"/>
    <xf numFmtId="0" fontId="61" fillId="0" borderId="0" xfId="0" applyFont="1" applyAlignment="1">
      <alignment horizontal="center"/>
    </xf>
    <xf numFmtId="0" fontId="61" fillId="2" borderId="1" xfId="5" applyFont="1" applyFill="1" applyBorder="1" applyAlignment="1">
      <alignment horizontal="center" vertical="center" wrapText="1"/>
    </xf>
    <xf numFmtId="0" fontId="49" fillId="2" borderId="0" xfId="5" applyFont="1" applyFill="1" applyBorder="1" applyAlignment="1">
      <alignment vertical="center" wrapText="1"/>
    </xf>
    <xf numFmtId="0" fontId="49" fillId="2" borderId="0" xfId="5" applyFont="1" applyFill="1" applyBorder="1"/>
    <xf numFmtId="0" fontId="61" fillId="2" borderId="0" xfId="5" applyFont="1" applyFill="1" applyBorder="1" applyAlignment="1">
      <alignment horizontal="center" vertical="center" wrapText="1"/>
    </xf>
    <xf numFmtId="0" fontId="61" fillId="2" borderId="0" xfId="5" applyFont="1" applyFill="1" applyBorder="1"/>
    <xf numFmtId="0" fontId="61" fillId="2" borderId="0" xfId="5" applyFont="1" applyFill="1" applyBorder="1" applyAlignment="1">
      <alignment horizontal="center" vertical="center"/>
    </xf>
    <xf numFmtId="0" fontId="61" fillId="2" borderId="0" xfId="5" applyFont="1" applyFill="1" applyBorder="1" applyAlignment="1">
      <alignment vertical="center" wrapText="1"/>
    </xf>
    <xf numFmtId="0" fontId="67" fillId="2" borderId="0" xfId="5" applyFont="1" applyFill="1" applyBorder="1"/>
    <xf numFmtId="0" fontId="67" fillId="2" borderId="0" xfId="5" applyFont="1" applyFill="1" applyBorder="1" applyAlignment="1">
      <alignment vertical="center" wrapText="1"/>
    </xf>
    <xf numFmtId="0" fontId="62" fillId="2" borderId="0" xfId="5" applyFont="1" applyFill="1" applyBorder="1"/>
    <xf numFmtId="4" fontId="62" fillId="2" borderId="0" xfId="5" applyNumberFormat="1" applyFont="1" applyFill="1" applyBorder="1" applyAlignment="1">
      <alignment horizontal="center" vertical="center" wrapText="1"/>
    </xf>
    <xf numFmtId="0" fontId="81" fillId="0" borderId="1" xfId="0" applyFont="1" applyBorder="1" applyAlignment="1">
      <alignment horizontal="center" vertical="center" wrapText="1"/>
    </xf>
    <xf numFmtId="0" fontId="81" fillId="0" borderId="1" xfId="0" applyFont="1" applyBorder="1" applyAlignment="1">
      <alignment vertical="center" wrapText="1"/>
    </xf>
    <xf numFmtId="49" fontId="61" fillId="2" borderId="0" xfId="5" applyNumberFormat="1" applyFont="1" applyFill="1"/>
    <xf numFmtId="49" fontId="81" fillId="0" borderId="1" xfId="0" applyNumberFormat="1" applyFont="1" applyBorder="1" applyAlignment="1">
      <alignment horizontal="center" vertical="center" wrapText="1"/>
    </xf>
    <xf numFmtId="49" fontId="81" fillId="0" borderId="1" xfId="0" applyNumberFormat="1" applyFont="1" applyBorder="1" applyAlignment="1">
      <alignment vertical="center" wrapText="1"/>
    </xf>
    <xf numFmtId="0" fontId="76" fillId="2" borderId="0" xfId="5" applyFont="1" applyFill="1" applyAlignment="1">
      <alignment vertical="center" wrapText="1"/>
    </xf>
    <xf numFmtId="49" fontId="62" fillId="0" borderId="1" xfId="5" applyNumberFormat="1" applyFont="1" applyBorder="1" applyAlignment="1">
      <alignment horizontal="center" vertical="center" wrapText="1"/>
    </xf>
    <xf numFmtId="49" fontId="61" fillId="0" borderId="0" xfId="5" applyNumberFormat="1" applyFont="1"/>
    <xf numFmtId="49" fontId="61" fillId="2" borderId="1" xfId="5" applyNumberFormat="1" applyFont="1" applyFill="1" applyBorder="1" applyAlignment="1">
      <alignment horizontal="center" vertical="center" wrapText="1"/>
    </xf>
    <xf numFmtId="49" fontId="62" fillId="2" borderId="1" xfId="5" applyNumberFormat="1" applyFont="1" applyFill="1" applyBorder="1" applyAlignment="1">
      <alignment horizontal="center" vertical="center" wrapText="1"/>
    </xf>
    <xf numFmtId="49" fontId="61" fillId="2" borderId="1" xfId="5" applyNumberFormat="1" applyFont="1" applyFill="1" applyBorder="1" applyAlignment="1">
      <alignment horizontal="center" vertical="center" wrapText="1"/>
    </xf>
    <xf numFmtId="0" fontId="69" fillId="0" borderId="0" xfId="0" applyFont="1" applyFill="1"/>
    <xf numFmtId="0" fontId="61" fillId="0" borderId="0" xfId="5" applyFont="1" applyFill="1"/>
    <xf numFmtId="0" fontId="61" fillId="0" borderId="0" xfId="5" applyFont="1" applyFill="1" applyBorder="1" applyAlignment="1">
      <alignment horizontal="center" wrapText="1"/>
    </xf>
    <xf numFmtId="0" fontId="61" fillId="0" borderId="1" xfId="5" applyFont="1" applyFill="1" applyBorder="1" applyAlignment="1">
      <alignment vertical="center" wrapText="1"/>
    </xf>
    <xf numFmtId="0" fontId="62" fillId="0" borderId="0" xfId="5" applyFont="1" applyFill="1"/>
    <xf numFmtId="4" fontId="61" fillId="2" borderId="1" xfId="5" applyNumberFormat="1" applyFont="1" applyFill="1" applyBorder="1" applyAlignment="1">
      <alignment horizontal="center" vertical="center"/>
    </xf>
    <xf numFmtId="0" fontId="85" fillId="0" borderId="0" xfId="164"/>
    <xf numFmtId="0" fontId="49" fillId="0" borderId="0" xfId="5" applyFont="1" applyFill="1"/>
    <xf numFmtId="49" fontId="49" fillId="2" borderId="1" xfId="5" applyNumberFormat="1" applyFont="1" applyFill="1" applyBorder="1" applyAlignment="1">
      <alignment horizontal="center" vertical="center" wrapText="1"/>
    </xf>
    <xf numFmtId="4" fontId="49" fillId="2" borderId="1" xfId="5" applyNumberFormat="1" applyFont="1" applyFill="1" applyBorder="1" applyAlignment="1">
      <alignment horizontal="center" vertical="center" wrapText="1"/>
    </xf>
    <xf numFmtId="0" fontId="62" fillId="8" borderId="1" xfId="5" applyFont="1" applyFill="1" applyBorder="1" applyAlignment="1">
      <alignment vertical="center" wrapText="1"/>
    </xf>
    <xf numFmtId="0" fontId="62" fillId="6" borderId="1" xfId="5" applyFont="1" applyFill="1" applyBorder="1" applyAlignment="1">
      <alignment vertical="center" wrapText="1"/>
    </xf>
    <xf numFmtId="49" fontId="62" fillId="6" borderId="1" xfId="5" applyNumberFormat="1" applyFont="1" applyFill="1" applyBorder="1" applyAlignment="1">
      <alignment horizontal="center" vertical="center" wrapText="1"/>
    </xf>
    <xf numFmtId="4" fontId="62" fillId="6" borderId="1" xfId="5" applyNumberFormat="1" applyFont="1" applyFill="1" applyBorder="1" applyAlignment="1">
      <alignment horizontal="center" vertical="center" wrapText="1"/>
    </xf>
    <xf numFmtId="4" fontId="48" fillId="8" borderId="1" xfId="5" applyNumberFormat="1" applyFont="1" applyFill="1" applyBorder="1" applyAlignment="1">
      <alignment horizontal="center" vertical="center" wrapText="1"/>
    </xf>
    <xf numFmtId="0" fontId="86" fillId="0" borderId="1" xfId="5" applyFont="1" applyBorder="1" applyAlignment="1">
      <alignment vertical="center" wrapText="1"/>
    </xf>
    <xf numFmtId="4" fontId="61" fillId="2" borderId="1" xfId="5" applyNumberFormat="1" applyFont="1" applyFill="1" applyBorder="1" applyAlignment="1">
      <alignment horizontal="center" vertical="center" wrapText="1"/>
    </xf>
    <xf numFmtId="4" fontId="62" fillId="0" borderId="1" xfId="5" applyNumberFormat="1" applyFont="1" applyBorder="1" applyAlignment="1">
      <alignment horizontal="center" vertical="center" wrapText="1"/>
    </xf>
    <xf numFmtId="0" fontId="61" fillId="2" borderId="0" xfId="5" applyFont="1" applyFill="1"/>
    <xf numFmtId="0" fontId="87" fillId="2" borderId="0" xfId="164" applyFont="1" applyFill="1"/>
    <xf numFmtId="0" fontId="50" fillId="2" borderId="0" xfId="292" applyFont="1" applyFill="1" applyAlignment="1">
      <alignment vertical="center"/>
    </xf>
    <xf numFmtId="0" fontId="85" fillId="0" borderId="0" xfId="164" applyFont="1"/>
    <xf numFmtId="4" fontId="85" fillId="2" borderId="0" xfId="164" applyNumberFormat="1" applyFont="1" applyFill="1"/>
    <xf numFmtId="49" fontId="53" fillId="0" borderId="3" xfId="164" applyNumberFormat="1" applyFont="1" applyFill="1" applyBorder="1" applyAlignment="1">
      <alignment horizontal="center" vertical="top"/>
    </xf>
    <xf numFmtId="49" fontId="53" fillId="2" borderId="5" xfId="164" applyNumberFormat="1" applyFont="1" applyFill="1" applyBorder="1" applyAlignment="1">
      <alignment horizontal="center"/>
    </xf>
    <xf numFmtId="49" fontId="53" fillId="2" borderId="13" xfId="164" applyNumberFormat="1" applyFont="1" applyFill="1" applyBorder="1" applyAlignment="1">
      <alignment horizontal="center"/>
    </xf>
    <xf numFmtId="4" fontId="53" fillId="2" borderId="23" xfId="164" applyNumberFormat="1" applyFont="1" applyFill="1" applyBorder="1" applyAlignment="1">
      <alignment horizontal="right"/>
    </xf>
    <xf numFmtId="49" fontId="53" fillId="0" borderId="6" xfId="164" applyNumberFormat="1" applyFont="1" applyFill="1" applyBorder="1" applyAlignment="1">
      <alignment horizontal="center"/>
    </xf>
    <xf numFmtId="49" fontId="53" fillId="0" borderId="7" xfId="164" applyNumberFormat="1" applyFont="1" applyFill="1" applyBorder="1" applyAlignment="1">
      <alignment horizontal="center"/>
    </xf>
    <xf numFmtId="4" fontId="53" fillId="0" borderId="24" xfId="164" applyNumberFormat="1" applyFont="1" applyFill="1" applyBorder="1" applyAlignment="1">
      <alignment horizontal="right"/>
    </xf>
    <xf numFmtId="49" fontId="37" fillId="9" borderId="6" xfId="164" applyNumberFormat="1" applyFont="1" applyFill="1" applyBorder="1" applyAlignment="1">
      <alignment horizontal="center"/>
    </xf>
    <xf numFmtId="49" fontId="37" fillId="9" borderId="7" xfId="164" applyNumberFormat="1" applyFont="1" applyFill="1" applyBorder="1" applyAlignment="1">
      <alignment horizontal="center"/>
    </xf>
    <xf numFmtId="49" fontId="53" fillId="9" borderId="7" xfId="164" applyNumberFormat="1" applyFont="1" applyFill="1" applyBorder="1" applyAlignment="1">
      <alignment horizontal="center" wrapText="1"/>
    </xf>
    <xf numFmtId="4" fontId="53" fillId="9" borderId="24" xfId="164" applyNumberFormat="1" applyFont="1" applyFill="1" applyBorder="1" applyAlignment="1">
      <alignment horizontal="right"/>
    </xf>
    <xf numFmtId="49" fontId="53" fillId="8" borderId="6" xfId="164" applyNumberFormat="1" applyFont="1" applyFill="1" applyBorder="1" applyAlignment="1">
      <alignment horizontal="center"/>
    </xf>
    <xf numFmtId="49" fontId="53" fillId="8" borderId="7" xfId="164" applyNumberFormat="1" applyFont="1" applyFill="1" applyBorder="1" applyAlignment="1">
      <alignment horizontal="center"/>
    </xf>
    <xf numFmtId="49" fontId="53" fillId="8" borderId="7" xfId="164" applyNumberFormat="1" applyFont="1" applyFill="1" applyBorder="1" applyAlignment="1">
      <alignment horizontal="center" wrapText="1"/>
    </xf>
    <xf numFmtId="0" fontId="85" fillId="2" borderId="0" xfId="164" applyFont="1" applyFill="1"/>
    <xf numFmtId="49" fontId="53" fillId="0" borderId="18" xfId="164" applyNumberFormat="1" applyFont="1" applyFill="1" applyBorder="1" applyAlignment="1">
      <alignment horizontal="center"/>
    </xf>
    <xf numFmtId="49" fontId="53" fillId="0" borderId="3" xfId="164" applyNumberFormat="1" applyFont="1" applyFill="1" applyBorder="1" applyAlignment="1">
      <alignment horizontal="center"/>
    </xf>
    <xf numFmtId="49" fontId="53" fillId="0" borderId="3" xfId="164" applyNumberFormat="1" applyFont="1" applyFill="1" applyBorder="1" applyAlignment="1">
      <alignment horizontal="center" wrapText="1"/>
    </xf>
    <xf numFmtId="4" fontId="53" fillId="0" borderId="25" xfId="164" applyNumberFormat="1" applyFont="1" applyFill="1" applyBorder="1" applyAlignment="1">
      <alignment horizontal="right"/>
    </xf>
    <xf numFmtId="0" fontId="49" fillId="2" borderId="0" xfId="292" applyFont="1" applyFill="1" applyBorder="1" applyAlignment="1">
      <alignment vertical="center"/>
    </xf>
    <xf numFmtId="0" fontId="49" fillId="2" borderId="0" xfId="292" applyFont="1" applyFill="1" applyBorder="1" applyAlignment="1">
      <alignment horizontal="center" vertical="center"/>
    </xf>
    <xf numFmtId="0" fontId="85" fillId="0" borderId="0" xfId="164" applyFont="1" applyBorder="1"/>
    <xf numFmtId="49" fontId="53" fillId="0" borderId="19" xfId="164" applyNumberFormat="1" applyFont="1" applyFill="1" applyBorder="1" applyAlignment="1">
      <alignment horizontal="center"/>
    </xf>
    <xf numFmtId="49" fontId="53" fillId="0" borderId="15" xfId="164" applyNumberFormat="1" applyFont="1" applyFill="1" applyBorder="1" applyAlignment="1">
      <alignment horizontal="center"/>
    </xf>
    <xf numFmtId="49" fontId="53" fillId="0" borderId="15" xfId="164" applyNumberFormat="1" applyFont="1" applyFill="1" applyBorder="1" applyAlignment="1">
      <alignment horizontal="center" wrapText="1"/>
    </xf>
    <xf numFmtId="4" fontId="53" fillId="0" borderId="26" xfId="164" applyNumberFormat="1" applyFont="1" applyFill="1" applyBorder="1" applyAlignment="1">
      <alignment horizontal="right"/>
    </xf>
    <xf numFmtId="0" fontId="49" fillId="2" borderId="0" xfId="292" applyFont="1" applyFill="1" applyBorder="1" applyAlignment="1">
      <alignment horizontal="right" vertical="center"/>
    </xf>
    <xf numFmtId="49" fontId="53" fillId="8" borderId="19" xfId="164" applyNumberFormat="1" applyFont="1" applyFill="1" applyBorder="1" applyAlignment="1">
      <alignment horizontal="center"/>
    </xf>
    <xf numFmtId="49" fontId="53" fillId="8" borderId="15" xfId="164" applyNumberFormat="1" applyFont="1" applyFill="1" applyBorder="1" applyAlignment="1">
      <alignment horizontal="center"/>
    </xf>
    <xf numFmtId="49" fontId="53" fillId="8" borderId="15" xfId="164" applyNumberFormat="1" applyFont="1" applyFill="1" applyBorder="1" applyAlignment="1">
      <alignment horizontal="center" wrapText="1"/>
    </xf>
    <xf numFmtId="4" fontId="53" fillId="8" borderId="26" xfId="164" applyNumberFormat="1" applyFont="1" applyFill="1" applyBorder="1" applyAlignment="1">
      <alignment horizontal="right"/>
    </xf>
    <xf numFmtId="49" fontId="53" fillId="2" borderId="19" xfId="164" applyNumberFormat="1" applyFont="1" applyFill="1" applyBorder="1" applyAlignment="1">
      <alignment horizontal="center"/>
    </xf>
    <xf numFmtId="49" fontId="53" fillId="2" borderId="15" xfId="164" applyNumberFormat="1" applyFont="1" applyFill="1" applyBorder="1" applyAlignment="1">
      <alignment horizontal="center"/>
    </xf>
    <xf numFmtId="49" fontId="53" fillId="2" borderId="15" xfId="164" applyNumberFormat="1" applyFont="1" applyFill="1" applyBorder="1" applyAlignment="1">
      <alignment horizontal="center" wrapText="1"/>
    </xf>
    <xf numFmtId="4" fontId="53" fillId="2" borderId="26" xfId="164" applyNumberFormat="1" applyFont="1" applyFill="1" applyBorder="1" applyAlignment="1">
      <alignment horizontal="right"/>
    </xf>
    <xf numFmtId="166" fontId="49" fillId="2" borderId="0" xfId="292" applyNumberFormat="1" applyFont="1" applyFill="1" applyBorder="1" applyAlignment="1">
      <alignment vertical="center"/>
    </xf>
    <xf numFmtId="0" fontId="85" fillId="2" borderId="0" xfId="164" applyFont="1" applyFill="1" applyBorder="1"/>
    <xf numFmtId="49" fontId="53" fillId="0" borderId="7" xfId="164" applyNumberFormat="1" applyFont="1" applyFill="1" applyBorder="1" applyAlignment="1">
      <alignment horizontal="center" wrapText="1"/>
    </xf>
    <xf numFmtId="166" fontId="49" fillId="0" borderId="0" xfId="292" applyNumberFormat="1" applyFont="1" applyFill="1" applyBorder="1" applyAlignment="1">
      <alignment vertical="center"/>
    </xf>
    <xf numFmtId="0" fontId="49" fillId="0" borderId="0" xfId="292" applyFont="1" applyFill="1" applyBorder="1" applyAlignment="1">
      <alignment horizontal="right" vertical="center"/>
    </xf>
    <xf numFmtId="0" fontId="49" fillId="0" borderId="0" xfId="292" applyFont="1" applyFill="1" applyBorder="1" applyAlignment="1">
      <alignment horizontal="center" vertical="center"/>
    </xf>
    <xf numFmtId="49" fontId="53" fillId="2" borderId="6" xfId="164" applyNumberFormat="1" applyFont="1" applyFill="1" applyBorder="1" applyAlignment="1">
      <alignment horizontal="center"/>
    </xf>
    <xf numFmtId="49" fontId="53" fillId="2" borderId="7" xfId="164" applyNumberFormat="1" applyFont="1" applyFill="1" applyBorder="1" applyAlignment="1">
      <alignment horizontal="center"/>
    </xf>
    <xf numFmtId="49" fontId="53" fillId="2" borderId="7" xfId="164" applyNumberFormat="1" applyFont="1" applyFill="1" applyBorder="1" applyAlignment="1">
      <alignment horizontal="center" wrapText="1"/>
    </xf>
    <xf numFmtId="4" fontId="53" fillId="2" borderId="24" xfId="164" applyNumberFormat="1" applyFont="1" applyFill="1" applyBorder="1" applyAlignment="1">
      <alignment horizontal="right"/>
    </xf>
    <xf numFmtId="4" fontId="53" fillId="8" borderId="24" xfId="164" applyNumberFormat="1" applyFont="1" applyFill="1" applyBorder="1" applyAlignment="1">
      <alignment horizontal="right"/>
    </xf>
    <xf numFmtId="49" fontId="49" fillId="2" borderId="7" xfId="164" applyNumberFormat="1" applyFont="1" applyFill="1" applyBorder="1" applyAlignment="1">
      <alignment horizontal="center" wrapText="1"/>
    </xf>
    <xf numFmtId="4" fontId="49" fillId="2" borderId="7" xfId="164" applyNumberFormat="1" applyFont="1" applyFill="1" applyBorder="1" applyAlignment="1">
      <alignment horizontal="right"/>
    </xf>
    <xf numFmtId="4" fontId="49" fillId="2" borderId="1" xfId="164" applyNumberFormat="1" applyFont="1" applyFill="1" applyBorder="1" applyAlignment="1">
      <alignment horizontal="right"/>
    </xf>
    <xf numFmtId="4" fontId="49" fillId="2" borderId="24" xfId="164" applyNumberFormat="1" applyFont="1" applyFill="1" applyBorder="1" applyAlignment="1">
      <alignment horizontal="right"/>
    </xf>
    <xf numFmtId="49" fontId="53" fillId="0" borderId="6" xfId="0" applyNumberFormat="1" applyFont="1" applyFill="1" applyBorder="1" applyAlignment="1">
      <alignment horizontal="center"/>
    </xf>
    <xf numFmtId="49" fontId="53" fillId="0" borderId="7" xfId="0" applyNumberFormat="1" applyFont="1" applyFill="1" applyBorder="1" applyAlignment="1">
      <alignment horizontal="center"/>
    </xf>
    <xf numFmtId="49" fontId="53" fillId="0" borderId="7" xfId="0" applyNumberFormat="1" applyFont="1" applyFill="1" applyBorder="1" applyAlignment="1">
      <alignment horizontal="center" wrapText="1"/>
    </xf>
    <xf numFmtId="49" fontId="53" fillId="0" borderId="6" xfId="164" applyNumberFormat="1" applyFont="1" applyFill="1" applyBorder="1" applyAlignment="1">
      <alignment horizontal="center" wrapText="1"/>
    </xf>
    <xf numFmtId="49" fontId="53" fillId="6" borderId="6" xfId="164" applyNumberFormat="1" applyFont="1" applyFill="1" applyBorder="1" applyAlignment="1">
      <alignment horizontal="center"/>
    </xf>
    <xf numFmtId="49" fontId="53" fillId="6" borderId="7" xfId="164" applyNumberFormat="1" applyFont="1" applyFill="1" applyBorder="1" applyAlignment="1">
      <alignment horizontal="center"/>
    </xf>
    <xf numFmtId="49" fontId="53" fillId="6" borderId="7" xfId="164" applyNumberFormat="1" applyFont="1" applyFill="1" applyBorder="1" applyAlignment="1">
      <alignment horizontal="center" wrapText="1"/>
    </xf>
    <xf numFmtId="4" fontId="53" fillId="6" borderId="24" xfId="164" applyNumberFormat="1" applyFont="1" applyFill="1" applyBorder="1" applyAlignment="1">
      <alignment horizontal="right"/>
    </xf>
    <xf numFmtId="49" fontId="53" fillId="0" borderId="20" xfId="164" applyNumberFormat="1" applyFont="1" applyFill="1" applyBorder="1" applyAlignment="1">
      <alignment horizontal="center"/>
    </xf>
    <xf numFmtId="49" fontId="53" fillId="0" borderId="17" xfId="164" applyNumberFormat="1" applyFont="1" applyFill="1" applyBorder="1" applyAlignment="1">
      <alignment horizontal="center"/>
    </xf>
    <xf numFmtId="49" fontId="53" fillId="0" borderId="17" xfId="164" applyNumberFormat="1" applyFont="1" applyFill="1" applyBorder="1" applyAlignment="1">
      <alignment horizontal="center" wrapText="1"/>
    </xf>
    <xf numFmtId="4" fontId="53" fillId="0" borderId="27" xfId="164" applyNumberFormat="1" applyFont="1" applyFill="1" applyBorder="1" applyAlignment="1">
      <alignment horizontal="right"/>
    </xf>
    <xf numFmtId="0" fontId="85" fillId="2" borderId="0" xfId="164" applyFont="1" applyFill="1" applyAlignment="1">
      <alignment horizontal="left"/>
    </xf>
    <xf numFmtId="49" fontId="53" fillId="0" borderId="5" xfId="164" applyNumberFormat="1" applyFont="1" applyFill="1" applyBorder="1" applyAlignment="1">
      <alignment horizontal="center"/>
    </xf>
    <xf numFmtId="49" fontId="53" fillId="0" borderId="13" xfId="164" applyNumberFormat="1" applyFont="1" applyFill="1" applyBorder="1" applyAlignment="1">
      <alignment horizontal="center"/>
    </xf>
    <xf numFmtId="49" fontId="53" fillId="0" borderId="13" xfId="164" applyNumberFormat="1" applyFont="1" applyFill="1" applyBorder="1" applyAlignment="1">
      <alignment horizontal="center" wrapText="1"/>
    </xf>
    <xf numFmtId="4" fontId="53" fillId="0" borderId="23" xfId="164" applyNumberFormat="1" applyFont="1" applyFill="1" applyBorder="1" applyAlignment="1">
      <alignment horizontal="right"/>
    </xf>
    <xf numFmtId="49" fontId="37" fillId="8" borderId="6" xfId="164" applyNumberFormat="1" applyFont="1" applyFill="1" applyBorder="1" applyAlignment="1">
      <alignment horizontal="center"/>
    </xf>
    <xf numFmtId="49" fontId="37" fillId="8" borderId="7" xfId="164" applyNumberFormat="1" applyFont="1" applyFill="1" applyBorder="1" applyAlignment="1">
      <alignment horizontal="center"/>
    </xf>
    <xf numFmtId="49" fontId="53" fillId="0" borderId="21" xfId="164" applyNumberFormat="1" applyFont="1" applyFill="1" applyBorder="1" applyAlignment="1">
      <alignment horizontal="center" wrapText="1"/>
    </xf>
    <xf numFmtId="49" fontId="53" fillId="0" borderId="22" xfId="164" applyNumberFormat="1" applyFont="1" applyFill="1" applyBorder="1" applyAlignment="1">
      <alignment horizontal="center" wrapText="1"/>
    </xf>
    <xf numFmtId="0" fontId="49" fillId="2" borderId="0" xfId="292" applyFont="1" applyFill="1" applyAlignment="1">
      <alignment vertical="center"/>
    </xf>
    <xf numFmtId="0" fontId="49" fillId="2" borderId="0" xfId="292" applyFont="1" applyFill="1" applyAlignment="1">
      <alignment horizontal="center" vertical="center"/>
    </xf>
    <xf numFmtId="0" fontId="49" fillId="2" borderId="0" xfId="292" applyFont="1" applyFill="1" applyAlignment="1">
      <alignment horizontal="right" vertical="center"/>
    </xf>
    <xf numFmtId="0" fontId="49" fillId="2" borderId="0" xfId="292" applyFont="1" applyFill="1" applyBorder="1" applyAlignment="1">
      <alignment horizontal="left" vertical="center"/>
    </xf>
    <xf numFmtId="166" fontId="49" fillId="2" borderId="0" xfId="292" applyNumberFormat="1" applyFont="1" applyFill="1" applyAlignment="1">
      <alignment vertical="center"/>
    </xf>
    <xf numFmtId="166" fontId="49" fillId="0" borderId="0" xfId="292" applyNumberFormat="1" applyFont="1" applyFill="1" applyAlignment="1">
      <alignment vertical="center"/>
    </xf>
    <xf numFmtId="0" fontId="49" fillId="0" borderId="0" xfId="292" applyFont="1" applyFill="1" applyAlignment="1">
      <alignment horizontal="right" vertical="center"/>
    </xf>
    <xf numFmtId="0" fontId="49" fillId="2" borderId="10" xfId="292" applyFont="1" applyFill="1" applyBorder="1" applyAlignment="1">
      <alignment horizontal="center" vertical="center"/>
    </xf>
    <xf numFmtId="0" fontId="49" fillId="2" borderId="28" xfId="292" applyFont="1" applyFill="1" applyBorder="1" applyAlignment="1">
      <alignment vertical="center"/>
    </xf>
    <xf numFmtId="0" fontId="49" fillId="2" borderId="1" xfId="292" applyFont="1" applyFill="1" applyBorder="1" applyAlignment="1">
      <alignment vertical="center"/>
    </xf>
    <xf numFmtId="0" fontId="49" fillId="0" borderId="0" xfId="292" applyFont="1" applyFill="1" applyAlignment="1">
      <alignment vertical="center"/>
    </xf>
    <xf numFmtId="0" fontId="49" fillId="0" borderId="0" xfId="292" applyFont="1" applyFill="1" applyAlignment="1">
      <alignment horizontal="center" vertical="center"/>
    </xf>
    <xf numFmtId="0" fontId="49" fillId="0" borderId="1" xfId="292" applyFont="1" applyFill="1" applyBorder="1" applyAlignment="1">
      <alignment horizontal="center" vertical="center"/>
    </xf>
    <xf numFmtId="0" fontId="50" fillId="2" borderId="0" xfId="292" applyFont="1" applyFill="1" applyAlignment="1">
      <alignment horizontal="left" vertical="center"/>
    </xf>
    <xf numFmtId="0" fontId="50" fillId="2" borderId="4" xfId="292" applyFont="1" applyFill="1" applyBorder="1" applyAlignment="1">
      <alignment vertical="center"/>
    </xf>
    <xf numFmtId="0" fontId="50" fillId="2" borderId="2" xfId="292" applyFont="1" applyFill="1" applyBorder="1" applyAlignment="1">
      <alignment vertical="center"/>
    </xf>
    <xf numFmtId="0" fontId="50" fillId="2" borderId="0" xfId="292" applyFont="1" applyFill="1" applyBorder="1" applyAlignment="1">
      <alignment vertical="center"/>
    </xf>
    <xf numFmtId="0" fontId="50" fillId="2" borderId="0" xfId="292" applyFont="1" applyFill="1" applyBorder="1" applyAlignment="1">
      <alignment horizontal="center" vertical="center"/>
    </xf>
    <xf numFmtId="49" fontId="53" fillId="0" borderId="6" xfId="164" applyNumberFormat="1" applyFont="1" applyFill="1" applyBorder="1" applyAlignment="1">
      <alignment horizontal="center" vertical="top"/>
    </xf>
    <xf numFmtId="49" fontId="53" fillId="0" borderId="33" xfId="164" applyNumberFormat="1" applyFont="1" applyFill="1" applyBorder="1" applyAlignment="1">
      <alignment horizontal="center" vertical="top"/>
    </xf>
    <xf numFmtId="0" fontId="53" fillId="2" borderId="6" xfId="164" applyNumberFormat="1" applyFont="1" applyFill="1" applyBorder="1" applyAlignment="1">
      <alignment horizontal="left" wrapText="1"/>
    </xf>
    <xf numFmtId="0" fontId="53" fillId="0" borderId="6" xfId="164" applyNumberFormat="1" applyFont="1" applyFill="1" applyBorder="1" applyAlignment="1">
      <alignment horizontal="left" wrapText="1"/>
    </xf>
    <xf numFmtId="0" fontId="37" fillId="9" borderId="6" xfId="164" applyNumberFormat="1" applyFont="1" applyFill="1" applyBorder="1" applyAlignment="1">
      <alignment horizontal="left" wrapText="1"/>
    </xf>
    <xf numFmtId="0" fontId="53" fillId="8" borderId="6" xfId="164" applyNumberFormat="1" applyFont="1" applyFill="1" applyBorder="1" applyAlignment="1">
      <alignment horizontal="left" wrapText="1" indent="1"/>
    </xf>
    <xf numFmtId="4" fontId="53" fillId="8" borderId="36" xfId="164" applyNumberFormat="1" applyFont="1" applyFill="1" applyBorder="1" applyAlignment="1">
      <alignment horizontal="right"/>
    </xf>
    <xf numFmtId="0" fontId="53" fillId="0" borderId="18" xfId="164" applyNumberFormat="1" applyFont="1" applyFill="1" applyBorder="1" applyAlignment="1">
      <alignment horizontal="left" wrapText="1" indent="2"/>
    </xf>
    <xf numFmtId="0" fontId="53" fillId="0" borderId="19" xfId="164" applyNumberFormat="1" applyFont="1" applyFill="1" applyBorder="1" applyAlignment="1">
      <alignment horizontal="left" wrapText="1" indent="2"/>
    </xf>
    <xf numFmtId="0" fontId="53" fillId="8" borderId="19" xfId="164" applyNumberFormat="1" applyFont="1" applyFill="1" applyBorder="1" applyAlignment="1">
      <alignment horizontal="left" wrapText="1" indent="1"/>
    </xf>
    <xf numFmtId="0" fontId="53" fillId="0" borderId="18" xfId="164" applyNumberFormat="1" applyFont="1" applyFill="1" applyBorder="1" applyAlignment="1">
      <alignment horizontal="left" wrapText="1" indent="3"/>
    </xf>
    <xf numFmtId="0" fontId="53" fillId="2" borderId="19" xfId="164" applyNumberFormat="1" applyFont="1" applyFill="1" applyBorder="1" applyAlignment="1">
      <alignment horizontal="left" wrapText="1" indent="3"/>
    </xf>
    <xf numFmtId="0" fontId="53" fillId="0" borderId="6" xfId="164" applyNumberFormat="1" applyFont="1" applyFill="1" applyBorder="1" applyAlignment="1">
      <alignment horizontal="left" wrapText="1" indent="3"/>
    </xf>
    <xf numFmtId="0" fontId="53" fillId="2" borderId="6" xfId="164" applyNumberFormat="1" applyFont="1" applyFill="1" applyBorder="1" applyAlignment="1">
      <alignment horizontal="left" wrapText="1" indent="3"/>
    </xf>
    <xf numFmtId="0" fontId="53" fillId="0" borderId="19" xfId="0" applyNumberFormat="1" applyFont="1" applyFill="1" applyBorder="1" applyAlignment="1">
      <alignment horizontal="left" wrapText="1" indent="3"/>
    </xf>
    <xf numFmtId="0" fontId="53" fillId="0" borderId="19" xfId="164" applyNumberFormat="1" applyFont="1" applyFill="1" applyBorder="1" applyAlignment="1">
      <alignment horizontal="left" wrapText="1" indent="3"/>
    </xf>
    <xf numFmtId="0" fontId="53" fillId="8" borderId="19" xfId="164" applyNumberFormat="1" applyFont="1" applyFill="1" applyBorder="1" applyAlignment="1">
      <alignment horizontal="left" wrapText="1" indent="3"/>
    </xf>
    <xf numFmtId="49" fontId="53" fillId="0" borderId="6" xfId="164" applyNumberFormat="1" applyFont="1" applyFill="1" applyBorder="1" applyAlignment="1">
      <alignment horizontal="left" wrapText="1"/>
    </xf>
    <xf numFmtId="0" fontId="53" fillId="8" borderId="6" xfId="164" applyNumberFormat="1" applyFont="1" applyFill="1" applyBorder="1" applyAlignment="1">
      <alignment horizontal="left" wrapText="1" indent="2"/>
    </xf>
    <xf numFmtId="0" fontId="53" fillId="6" borderId="6" xfId="164" applyNumberFormat="1" applyFont="1" applyFill="1" applyBorder="1" applyAlignment="1">
      <alignment horizontal="left" wrapText="1" indent="3"/>
    </xf>
    <xf numFmtId="0" fontId="53" fillId="0" borderId="6" xfId="164" applyNumberFormat="1" applyFont="1" applyFill="1" applyBorder="1" applyAlignment="1">
      <alignment horizontal="left" wrapText="1" indent="4"/>
    </xf>
    <xf numFmtId="0" fontId="53" fillId="0" borderId="19" xfId="164" applyNumberFormat="1" applyFont="1" applyFill="1" applyBorder="1" applyAlignment="1">
      <alignment horizontal="left" wrapText="1" indent="4"/>
    </xf>
    <xf numFmtId="0" fontId="53" fillId="0" borderId="6" xfId="164" applyNumberFormat="1" applyFont="1" applyFill="1" applyBorder="1" applyAlignment="1">
      <alignment horizontal="left" wrapText="1" indent="1"/>
    </xf>
    <xf numFmtId="0" fontId="37" fillId="8" borderId="6" xfId="164" applyNumberFormat="1" applyFont="1" applyFill="1" applyBorder="1" applyAlignment="1">
      <alignment horizontal="left" wrapText="1"/>
    </xf>
    <xf numFmtId="0" fontId="53" fillId="0" borderId="6" xfId="164" applyNumberFormat="1" applyFont="1" applyFill="1" applyBorder="1" applyAlignment="1">
      <alignment horizontal="left" wrapText="1" indent="2"/>
    </xf>
    <xf numFmtId="49" fontId="53" fillId="0" borderId="20" xfId="164" applyNumberFormat="1" applyFont="1" applyFill="1" applyBorder="1" applyAlignment="1">
      <alignment horizontal="left" wrapText="1"/>
    </xf>
    <xf numFmtId="0" fontId="50" fillId="2" borderId="4" xfId="292" applyFont="1" applyFill="1" applyBorder="1" applyAlignment="1">
      <alignment horizontal="left" vertical="center"/>
    </xf>
    <xf numFmtId="0" fontId="49" fillId="2" borderId="19" xfId="164" applyNumberFormat="1" applyFont="1" applyFill="1" applyBorder="1" applyAlignment="1">
      <alignment horizontal="left" wrapText="1" indent="3"/>
    </xf>
    <xf numFmtId="49" fontId="49" fillId="2" borderId="6" xfId="164" applyNumberFormat="1" applyFont="1" applyFill="1" applyBorder="1" applyAlignment="1">
      <alignment horizontal="center"/>
    </xf>
    <xf numFmtId="49" fontId="49" fillId="2" borderId="7" xfId="164" applyNumberFormat="1" applyFont="1" applyFill="1" applyBorder="1" applyAlignment="1">
      <alignment horizontal="center"/>
    </xf>
    <xf numFmtId="0" fontId="37" fillId="0" borderId="0" xfId="164" applyNumberFormat="1" applyFont="1" applyFill="1" applyBorder="1" applyAlignment="1">
      <alignment horizontal="center"/>
    </xf>
    <xf numFmtId="4" fontId="53" fillId="0" borderId="0" xfId="164" applyNumberFormat="1" applyFont="1" applyAlignment="1">
      <alignment horizontal="center"/>
    </xf>
    <xf numFmtId="4" fontId="53" fillId="0" borderId="0" xfId="164" applyNumberFormat="1" applyFont="1" applyFill="1" applyBorder="1" applyAlignment="1">
      <alignment horizontal="center"/>
    </xf>
    <xf numFmtId="0" fontId="49" fillId="2" borderId="0" xfId="292" applyFont="1" applyFill="1" applyAlignment="1">
      <alignment horizontal="right" vertical="center"/>
    </xf>
    <xf numFmtId="0" fontId="48" fillId="2" borderId="0" xfId="292" applyFont="1" applyFill="1" applyAlignment="1">
      <alignment horizontal="center" vertical="center"/>
    </xf>
    <xf numFmtId="0" fontId="88" fillId="2" borderId="0" xfId="292" applyFont="1" applyFill="1" applyBorder="1" applyAlignment="1">
      <alignment horizontal="center" vertical="center"/>
    </xf>
    <xf numFmtId="0" fontId="0" fillId="0" borderId="0" xfId="0" applyAlignment="1">
      <alignment horizontal="center" vertical="center"/>
    </xf>
    <xf numFmtId="0" fontId="61" fillId="0" borderId="0" xfId="5" applyFont="1" applyFill="1" applyAlignment="1">
      <alignment horizontal="center" vertical="center"/>
    </xf>
    <xf numFmtId="4" fontId="61" fillId="0" borderId="1" xfId="5" applyNumberFormat="1" applyFont="1" applyFill="1" applyBorder="1" applyAlignment="1">
      <alignment horizontal="center" vertical="center"/>
    </xf>
    <xf numFmtId="0" fontId="27" fillId="0" borderId="8" xfId="0" applyFont="1" applyFill="1" applyBorder="1" applyAlignment="1">
      <alignment vertical="center" wrapText="1"/>
    </xf>
    <xf numFmtId="4" fontId="49" fillId="0" borderId="1" xfId="5" applyNumberFormat="1" applyFont="1" applyFill="1" applyBorder="1" applyAlignment="1">
      <alignment horizontal="center" vertical="center" wrapText="1"/>
    </xf>
    <xf numFmtId="0" fontId="62" fillId="0" borderId="0" xfId="5" applyFont="1" applyFill="1" applyAlignment="1">
      <alignment horizontal="left" vertical="center"/>
    </xf>
    <xf numFmtId="4" fontId="62" fillId="0" borderId="1" xfId="5" applyNumberFormat="1" applyFont="1" applyFill="1" applyBorder="1" applyAlignment="1">
      <alignment horizontal="center" vertical="center" wrapText="1"/>
    </xf>
    <xf numFmtId="0" fontId="49" fillId="2" borderId="1" xfId="5" applyFont="1" applyFill="1" applyBorder="1" applyAlignment="1">
      <alignment horizontal="center" vertical="center" wrapText="1"/>
    </xf>
    <xf numFmtId="4" fontId="48" fillId="6" borderId="1" xfId="5" applyNumberFormat="1" applyFont="1" applyFill="1" applyBorder="1" applyAlignment="1">
      <alignment horizontal="center" vertical="center" wrapText="1"/>
    </xf>
    <xf numFmtId="49" fontId="49" fillId="0" borderId="0" xfId="5" applyNumberFormat="1" applyFont="1" applyFill="1" applyBorder="1" applyAlignment="1">
      <alignment horizontal="center" wrapText="1"/>
    </xf>
    <xf numFmtId="49" fontId="49" fillId="0" borderId="0" xfId="5" applyNumberFormat="1" applyFont="1" applyFill="1"/>
    <xf numFmtId="0" fontId="0" fillId="0" borderId="0" xfId="0" applyAlignment="1">
      <alignment horizontal="center" vertical="center" wrapText="1"/>
    </xf>
    <xf numFmtId="0" fontId="74" fillId="0" borderId="4" xfId="0" applyFont="1" applyBorder="1" applyAlignment="1">
      <alignment horizontal="center" vertical="center" wrapText="1"/>
    </xf>
    <xf numFmtId="0" fontId="74" fillId="0" borderId="0" xfId="0" applyFont="1" applyBorder="1" applyAlignment="1">
      <alignment horizontal="center" vertical="center" wrapText="1"/>
    </xf>
    <xf numFmtId="0" fontId="0" fillId="0" borderId="0" xfId="0" applyFill="1"/>
    <xf numFmtId="0" fontId="0" fillId="0" borderId="0" xfId="0" applyFill="1" applyAlignment="1">
      <alignment horizontal="center" vertical="center"/>
    </xf>
    <xf numFmtId="0" fontId="0" fillId="0" borderId="0" xfId="0" applyFill="1" applyAlignment="1">
      <alignment horizontal="center" vertical="center" wrapText="1"/>
    </xf>
    <xf numFmtId="4" fontId="0" fillId="0" borderId="0" xfId="0" applyNumberFormat="1"/>
    <xf numFmtId="4" fontId="0" fillId="0" borderId="0" xfId="0" applyNumberFormat="1" applyFill="1"/>
    <xf numFmtId="4" fontId="0" fillId="0" borderId="0" xfId="0" applyNumberFormat="1" applyFill="1" applyAlignment="1">
      <alignment horizontal="center" vertical="center"/>
    </xf>
    <xf numFmtId="0" fontId="61" fillId="0" borderId="1" xfId="0" applyFont="1" applyBorder="1"/>
    <xf numFmtId="0" fontId="61" fillId="0" borderId="0" xfId="0" applyFont="1" applyFill="1" applyBorder="1"/>
    <xf numFmtId="0" fontId="62" fillId="0" borderId="0" xfId="0" applyFont="1" applyFill="1" applyBorder="1" applyAlignment="1">
      <alignment horizontal="center"/>
    </xf>
    <xf numFmtId="4" fontId="72" fillId="0" borderId="0" xfId="0" applyNumberFormat="1" applyFont="1" applyFill="1" applyBorder="1" applyAlignment="1">
      <alignment horizontal="center" wrapText="1"/>
    </xf>
    <xf numFmtId="4" fontId="62" fillId="0" borderId="0" xfId="0" applyNumberFormat="1" applyFont="1" applyFill="1" applyBorder="1" applyAlignment="1">
      <alignment horizontal="center"/>
    </xf>
    <xf numFmtId="0" fontId="92" fillId="0" borderId="0" xfId="0" applyFont="1" applyAlignment="1">
      <alignment horizontal="center" vertical="center" wrapText="1"/>
    </xf>
    <xf numFmtId="0" fontId="92" fillId="0" borderId="0" xfId="0" applyFont="1" applyAlignment="1">
      <alignment horizontal="center" vertical="center"/>
    </xf>
    <xf numFmtId="0" fontId="61" fillId="0" borderId="4" xfId="5" applyFont="1" applyBorder="1" applyAlignment="1">
      <alignment horizontal="center"/>
    </xf>
    <xf numFmtId="0" fontId="61" fillId="0" borderId="0" xfId="0" applyFont="1" applyAlignment="1">
      <alignment horizontal="center"/>
    </xf>
    <xf numFmtId="0" fontId="61" fillId="0" borderId="1" xfId="0" applyFont="1" applyBorder="1" applyAlignment="1">
      <alignment horizontal="center" vertical="center" wrapText="1"/>
    </xf>
    <xf numFmtId="4" fontId="61" fillId="0" borderId="1" xfId="5" applyNumberFormat="1" applyFont="1" applyBorder="1" applyAlignment="1">
      <alignment horizontal="center" vertical="center" wrapText="1"/>
    </xf>
    <xf numFmtId="49" fontId="61" fillId="0" borderId="1" xfId="5" applyNumberFormat="1" applyFont="1" applyFill="1" applyBorder="1" applyAlignment="1">
      <alignment horizontal="center" vertical="center" wrapText="1"/>
    </xf>
    <xf numFmtId="0" fontId="61" fillId="0" borderId="1" xfId="5" applyFont="1" applyFill="1" applyBorder="1" applyAlignment="1">
      <alignment horizontal="left" vertical="center" wrapText="1"/>
    </xf>
    <xf numFmtId="0" fontId="62" fillId="0" borderId="1" xfId="5" applyFont="1" applyFill="1" applyBorder="1" applyAlignment="1">
      <alignment vertical="center" wrapText="1"/>
    </xf>
    <xf numFmtId="0" fontId="61" fillId="8" borderId="1" xfId="5" applyFont="1" applyFill="1" applyBorder="1" applyAlignment="1">
      <alignment vertical="center" wrapText="1"/>
    </xf>
    <xf numFmtId="0" fontId="61" fillId="8" borderId="1" xfId="5" applyFont="1" applyFill="1" applyBorder="1" applyAlignment="1">
      <alignment horizontal="center" vertical="center" wrapText="1"/>
    </xf>
    <xf numFmtId="4" fontId="61" fillId="8" borderId="1" xfId="5" applyNumberFormat="1" applyFont="1" applyFill="1" applyBorder="1" applyAlignment="1">
      <alignment horizontal="center" vertical="center" wrapText="1"/>
    </xf>
    <xf numFmtId="0" fontId="61" fillId="8" borderId="1" xfId="5" applyFont="1" applyFill="1" applyBorder="1"/>
    <xf numFmtId="0" fontId="61" fillId="2" borderId="1" xfId="5" applyFont="1" applyFill="1" applyBorder="1"/>
    <xf numFmtId="0" fontId="49" fillId="2" borderId="1" xfId="5" applyFont="1" applyFill="1" applyBorder="1" applyAlignment="1">
      <alignment vertical="center" wrapText="1"/>
    </xf>
    <xf numFmtId="0" fontId="73" fillId="2" borderId="1" xfId="5" applyFont="1" applyFill="1" applyBorder="1"/>
    <xf numFmtId="0" fontId="62" fillId="2" borderId="1" xfId="5" applyFont="1" applyFill="1" applyBorder="1"/>
    <xf numFmtId="0" fontId="49" fillId="0" borderId="0" xfId="0" applyFont="1" applyFill="1" applyBorder="1" applyAlignment="1">
      <alignment vertical="center" wrapText="1"/>
    </xf>
    <xf numFmtId="0" fontId="61" fillId="0" borderId="0" xfId="0" applyFont="1" applyFill="1" applyBorder="1" applyAlignment="1">
      <alignment horizontal="left"/>
    </xf>
    <xf numFmtId="0" fontId="49" fillId="0" borderId="1" xfId="0" applyFont="1" applyBorder="1" applyAlignment="1">
      <alignment horizontal="center" vertical="center" wrapText="1"/>
    </xf>
    <xf numFmtId="0" fontId="49" fillId="0" borderId="1" xfId="0" applyFont="1" applyFill="1" applyBorder="1" applyAlignment="1">
      <alignment horizontal="center" vertical="center" wrapText="1"/>
    </xf>
    <xf numFmtId="4" fontId="61" fillId="2" borderId="7" xfId="5" applyNumberFormat="1" applyFont="1" applyFill="1" applyBorder="1" applyAlignment="1">
      <alignment horizontal="center" vertical="center" wrapText="1"/>
    </xf>
    <xf numFmtId="0" fontId="60" fillId="0" borderId="0" xfId="5" applyFill="1"/>
    <xf numFmtId="0" fontId="61" fillId="0" borderId="0" xfId="5" applyFont="1" applyFill="1" applyBorder="1" applyAlignment="1">
      <alignment horizontal="center"/>
    </xf>
    <xf numFmtId="4" fontId="60" fillId="0" borderId="0" xfId="5" applyNumberFormat="1" applyFill="1" applyBorder="1" applyAlignment="1">
      <alignment wrapText="1"/>
    </xf>
    <xf numFmtId="49" fontId="61" fillId="0" borderId="4" xfId="5" applyNumberFormat="1" applyFont="1" applyBorder="1" applyAlignment="1">
      <alignment horizontal="center"/>
    </xf>
    <xf numFmtId="14" fontId="61" fillId="0" borderId="0" xfId="5" applyNumberFormat="1" applyFont="1" applyBorder="1" applyAlignment="1">
      <alignment horizontal="center"/>
    </xf>
    <xf numFmtId="0" fontId="61" fillId="0" borderId="1" xfId="5" applyFont="1" applyBorder="1" applyAlignment="1">
      <alignment horizontal="center" vertical="center"/>
    </xf>
    <xf numFmtId="4" fontId="61" fillId="0" borderId="1" xfId="5" applyNumberFormat="1" applyFont="1" applyBorder="1" applyAlignment="1">
      <alignment horizontal="center" vertical="center"/>
    </xf>
    <xf numFmtId="0" fontId="61" fillId="2" borderId="1" xfId="5" applyFont="1" applyFill="1" applyBorder="1" applyAlignment="1">
      <alignment horizontal="center"/>
    </xf>
    <xf numFmtId="4" fontId="60" fillId="0" borderId="0" xfId="5" applyNumberFormat="1" applyFill="1"/>
    <xf numFmtId="0" fontId="61" fillId="0" borderId="4" xfId="5" applyFont="1" applyFill="1" applyBorder="1" applyAlignment="1"/>
    <xf numFmtId="4" fontId="84" fillId="0" borderId="0" xfId="5" applyNumberFormat="1" applyFont="1" applyFill="1" applyBorder="1"/>
    <xf numFmtId="4" fontId="60" fillId="0" borderId="0" xfId="5" applyNumberFormat="1" applyFill="1" applyBorder="1"/>
    <xf numFmtId="4" fontId="61" fillId="0" borderId="1" xfId="5" applyNumberFormat="1" applyFont="1" applyFill="1" applyBorder="1" applyAlignment="1">
      <alignment horizontal="right" vertical="center" wrapText="1"/>
    </xf>
    <xf numFmtId="4" fontId="61" fillId="0" borderId="1" xfId="5" applyNumberFormat="1" applyFont="1" applyBorder="1"/>
    <xf numFmtId="4" fontId="62" fillId="0" borderId="1" xfId="5" applyNumberFormat="1" applyFont="1" applyBorder="1" applyAlignment="1">
      <alignment vertical="center"/>
    </xf>
    <xf numFmtId="0" fontId="61" fillId="0" borderId="1" xfId="0" applyFont="1" applyBorder="1" applyAlignment="1">
      <alignment horizontal="center" vertical="center"/>
    </xf>
    <xf numFmtId="0" fontId="62" fillId="0" borderId="1" xfId="5" applyFont="1" applyFill="1" applyBorder="1" applyAlignment="1">
      <alignment horizontal="center" vertical="center" wrapText="1"/>
    </xf>
    <xf numFmtId="0" fontId="62" fillId="2" borderId="0" xfId="5" applyFont="1" applyFill="1" applyAlignment="1">
      <alignment horizontal="left" vertical="center"/>
    </xf>
    <xf numFmtId="4" fontId="27" fillId="0" borderId="0" xfId="0" applyNumberFormat="1" applyFont="1"/>
    <xf numFmtId="0" fontId="27" fillId="0" borderId="0" xfId="0" applyFont="1"/>
    <xf numFmtId="4" fontId="65" fillId="0" borderId="0" xfId="0" applyNumberFormat="1" applyFont="1" applyFill="1"/>
    <xf numFmtId="0" fontId="65" fillId="0" borderId="0" xfId="0" applyFont="1" applyFill="1"/>
    <xf numFmtId="0" fontId="27" fillId="0" borderId="0" xfId="0" applyFont="1" applyFill="1" applyBorder="1" applyAlignment="1">
      <alignment horizontal="center" vertical="center"/>
    </xf>
    <xf numFmtId="0" fontId="27" fillId="0" borderId="0" xfId="0" applyFont="1" applyFill="1" applyBorder="1" applyAlignment="1">
      <alignment horizontal="center" vertical="center" wrapText="1"/>
    </xf>
    <xf numFmtId="0" fontId="27" fillId="0" borderId="2" xfId="0" applyFont="1" applyFill="1" applyBorder="1" applyAlignment="1">
      <alignment horizontal="center" vertical="center" wrapText="1"/>
    </xf>
    <xf numFmtId="0" fontId="27" fillId="0" borderId="4" xfId="0" applyFont="1" applyFill="1" applyBorder="1" applyAlignment="1">
      <alignment horizontal="center" vertical="center"/>
    </xf>
    <xf numFmtId="0" fontId="27" fillId="0" borderId="4" xfId="0" applyFont="1" applyFill="1" applyBorder="1" applyAlignment="1">
      <alignment horizontal="center" vertical="center" wrapText="1"/>
    </xf>
    <xf numFmtId="0" fontId="27" fillId="0" borderId="9" xfId="0" applyFont="1" applyFill="1" applyBorder="1" applyAlignment="1">
      <alignment horizontal="center" vertical="center"/>
    </xf>
    <xf numFmtId="0" fontId="27" fillId="0" borderId="8" xfId="0" applyFont="1" applyFill="1" applyBorder="1" applyAlignment="1">
      <alignment horizontal="center" vertical="center"/>
    </xf>
    <xf numFmtId="0" fontId="28" fillId="0" borderId="0" xfId="0" applyFont="1" applyFill="1" applyBorder="1" applyAlignment="1">
      <alignment horizontal="center" vertical="center" wrapText="1"/>
    </xf>
    <xf numFmtId="0" fontId="28" fillId="0" borderId="2" xfId="0" applyFont="1" applyFill="1" applyBorder="1" applyAlignment="1">
      <alignment horizontal="center" vertical="center" wrapText="1"/>
    </xf>
    <xf numFmtId="4" fontId="69" fillId="0" borderId="0" xfId="0" applyNumberFormat="1" applyFont="1" applyFill="1"/>
    <xf numFmtId="0" fontId="28" fillId="0" borderId="10" xfId="0" applyFont="1" applyFill="1" applyBorder="1" applyAlignment="1">
      <alignment horizontal="left" vertical="center" wrapText="1"/>
    </xf>
    <xf numFmtId="0" fontId="28" fillId="0" borderId="1" xfId="0" applyFont="1" applyBorder="1" applyAlignment="1">
      <alignment horizontal="center" vertical="center" wrapText="1"/>
    </xf>
    <xf numFmtId="4" fontId="0" fillId="0" borderId="0" xfId="0" applyNumberFormat="1" applyFill="1" applyAlignment="1">
      <alignment horizontal="right" vertical="center"/>
    </xf>
    <xf numFmtId="4" fontId="28" fillId="5" borderId="10" xfId="0" applyNumberFormat="1" applyFont="1" applyFill="1" applyBorder="1" applyAlignment="1">
      <alignment horizontal="right" vertical="center" wrapText="1"/>
    </xf>
    <xf numFmtId="4" fontId="28" fillId="0" borderId="2" xfId="0" applyNumberFormat="1" applyFont="1" applyFill="1" applyBorder="1" applyAlignment="1">
      <alignment horizontal="right" vertical="center"/>
    </xf>
    <xf numFmtId="4" fontId="28" fillId="0" borderId="10" xfId="0" applyNumberFormat="1" applyFont="1" applyFill="1" applyBorder="1" applyAlignment="1">
      <alignment horizontal="right" vertical="center"/>
    </xf>
    <xf numFmtId="4" fontId="27" fillId="0" borderId="0" xfId="0" applyNumberFormat="1" applyFont="1" applyFill="1" applyBorder="1" applyAlignment="1">
      <alignment horizontal="right" vertical="center"/>
    </xf>
    <xf numFmtId="4" fontId="27" fillId="0" borderId="9" xfId="0" applyNumberFormat="1" applyFont="1" applyFill="1" applyBorder="1" applyAlignment="1">
      <alignment horizontal="right" vertical="center"/>
    </xf>
    <xf numFmtId="4" fontId="27" fillId="0" borderId="4" xfId="0" applyNumberFormat="1" applyFont="1" applyFill="1" applyBorder="1" applyAlignment="1">
      <alignment horizontal="right" vertical="center"/>
    </xf>
    <xf numFmtId="4" fontId="27" fillId="0" borderId="8" xfId="0" applyNumberFormat="1" applyFont="1" applyFill="1" applyBorder="1" applyAlignment="1">
      <alignment horizontal="right" vertical="center"/>
    </xf>
    <xf numFmtId="4" fontId="28" fillId="5" borderId="8" xfId="0" applyNumberFormat="1" applyFont="1" applyFill="1" applyBorder="1" applyAlignment="1">
      <alignment horizontal="right" vertical="center" wrapText="1"/>
    </xf>
    <xf numFmtId="4" fontId="0" fillId="0" borderId="0" xfId="0" applyNumberFormat="1" applyAlignment="1">
      <alignment horizontal="right" vertical="center"/>
    </xf>
    <xf numFmtId="0" fontId="0" fillId="0" borderId="0" xfId="0" applyFill="1" applyAlignment="1">
      <alignment vertical="center" wrapText="1"/>
    </xf>
    <xf numFmtId="0" fontId="28" fillId="0" borderId="10" xfId="0" applyFont="1" applyFill="1" applyBorder="1" applyAlignment="1">
      <alignment vertical="center" wrapText="1"/>
    </xf>
    <xf numFmtId="0" fontId="27" fillId="0" borderId="9" xfId="0" applyFont="1" applyFill="1" applyBorder="1" applyAlignment="1">
      <alignment vertical="center" wrapText="1"/>
    </xf>
    <xf numFmtId="0" fontId="0" fillId="0" borderId="0" xfId="0" applyAlignment="1">
      <alignment vertical="center" wrapText="1"/>
    </xf>
    <xf numFmtId="0" fontId="28" fillId="0" borderId="1" xfId="0" applyFont="1" applyFill="1" applyBorder="1" applyAlignment="1">
      <alignment vertical="center" wrapText="1"/>
    </xf>
    <xf numFmtId="0" fontId="27" fillId="0" borderId="0" xfId="0" applyFont="1" applyFill="1" applyBorder="1" applyAlignment="1">
      <alignment vertical="center" wrapText="1"/>
    </xf>
    <xf numFmtId="0" fontId="28" fillId="0" borderId="2" xfId="0" applyFont="1" applyFill="1" applyBorder="1" applyAlignment="1">
      <alignment vertical="center" wrapText="1"/>
    </xf>
    <xf numFmtId="0" fontId="27" fillId="0" borderId="4" xfId="0" applyFont="1" applyFill="1" applyBorder="1" applyAlignment="1">
      <alignment vertical="center" wrapText="1"/>
    </xf>
    <xf numFmtId="0" fontId="28" fillId="0" borderId="0" xfId="0" applyFont="1" applyFill="1" applyBorder="1" applyAlignment="1">
      <alignment horizontal="left" vertical="center" wrapText="1"/>
    </xf>
    <xf numFmtId="0" fontId="28" fillId="0" borderId="10" xfId="0" applyFont="1" applyFill="1" applyBorder="1" applyAlignment="1">
      <alignment horizontal="center" vertical="center" wrapText="1"/>
    </xf>
    <xf numFmtId="4" fontId="0" fillId="0" borderId="0" xfId="0" applyNumberFormat="1" applyFill="1" applyAlignment="1">
      <alignment horizontal="right" vertical="center" wrapText="1"/>
    </xf>
    <xf numFmtId="4" fontId="28" fillId="0" borderId="10" xfId="0" applyNumberFormat="1" applyFont="1" applyFill="1" applyBorder="1" applyAlignment="1">
      <alignment horizontal="right" vertical="center" wrapText="1"/>
    </xf>
    <xf numFmtId="4" fontId="27" fillId="0" borderId="9" xfId="0" applyNumberFormat="1" applyFont="1" applyFill="1" applyBorder="1" applyAlignment="1">
      <alignment horizontal="right" vertical="center" wrapText="1"/>
    </xf>
    <xf numFmtId="4" fontId="27" fillId="0" borderId="8" xfId="0" applyNumberFormat="1" applyFont="1" applyFill="1" applyBorder="1" applyAlignment="1">
      <alignment horizontal="right" vertical="center" wrapText="1"/>
    </xf>
    <xf numFmtId="4" fontId="28" fillId="0" borderId="1" xfId="0" applyNumberFormat="1" applyFont="1" applyFill="1" applyBorder="1" applyAlignment="1">
      <alignment horizontal="right" vertical="center" wrapText="1"/>
    </xf>
    <xf numFmtId="4" fontId="28" fillId="5" borderId="1" xfId="0" applyNumberFormat="1" applyFont="1" applyFill="1" applyBorder="1" applyAlignment="1">
      <alignment horizontal="right" vertical="center" wrapText="1"/>
    </xf>
    <xf numFmtId="4" fontId="28" fillId="0" borderId="0" xfId="0" applyNumberFormat="1" applyFont="1" applyFill="1" applyBorder="1" applyAlignment="1">
      <alignment horizontal="right" vertical="center" wrapText="1"/>
    </xf>
    <xf numFmtId="4" fontId="0" fillId="0" borderId="0" xfId="0" applyNumberFormat="1" applyAlignment="1">
      <alignment horizontal="right" vertical="center" wrapText="1"/>
    </xf>
    <xf numFmtId="4" fontId="28" fillId="0" borderId="9" xfId="0" applyNumberFormat="1" applyFont="1" applyFill="1" applyBorder="1" applyAlignment="1">
      <alignment horizontal="right" vertical="center" wrapText="1"/>
    </xf>
    <xf numFmtId="4" fontId="28" fillId="0" borderId="2" xfId="0" applyNumberFormat="1" applyFont="1" applyFill="1" applyBorder="1" applyAlignment="1">
      <alignment horizontal="right" vertical="center" wrapText="1"/>
    </xf>
    <xf numFmtId="4" fontId="27" fillId="0" borderId="0" xfId="0" applyNumberFormat="1" applyFont="1" applyFill="1"/>
    <xf numFmtId="0" fontId="27" fillId="0" borderId="0" xfId="0" applyFont="1" applyFill="1"/>
    <xf numFmtId="0" fontId="27" fillId="0" borderId="8" xfId="0" applyFont="1" applyFill="1" applyBorder="1" applyAlignment="1">
      <alignment horizontal="center" vertical="center" wrapText="1"/>
    </xf>
    <xf numFmtId="4" fontId="27" fillId="0" borderId="4" xfId="0" applyNumberFormat="1" applyFont="1" applyFill="1" applyBorder="1" applyAlignment="1">
      <alignment horizontal="right" vertical="center" wrapText="1"/>
    </xf>
    <xf numFmtId="4" fontId="28" fillId="0" borderId="8" xfId="0" applyNumberFormat="1" applyFont="1" applyFill="1" applyBorder="1" applyAlignment="1">
      <alignment horizontal="right" vertical="center"/>
    </xf>
    <xf numFmtId="0" fontId="28" fillId="0" borderId="8" xfId="0" applyFont="1" applyFill="1" applyBorder="1" applyAlignment="1">
      <alignment horizontal="center" vertical="center" wrapText="1"/>
    </xf>
    <xf numFmtId="4" fontId="28" fillId="0" borderId="8" xfId="0" applyNumberFormat="1" applyFont="1" applyFill="1" applyBorder="1" applyAlignment="1">
      <alignment horizontal="right" vertical="center" wrapText="1"/>
    </xf>
    <xf numFmtId="0" fontId="28" fillId="0" borderId="9" xfId="0" applyFont="1" applyFill="1" applyBorder="1" applyAlignment="1">
      <alignment horizontal="center" vertical="center" wrapText="1"/>
    </xf>
    <xf numFmtId="4" fontId="28" fillId="0" borderId="9" xfId="0" applyNumberFormat="1" applyFont="1" applyFill="1" applyBorder="1" applyAlignment="1">
      <alignment horizontal="right" vertical="center"/>
    </xf>
    <xf numFmtId="0" fontId="27" fillId="0" borderId="9" xfId="0" applyFont="1" applyFill="1" applyBorder="1" applyAlignment="1">
      <alignment horizontal="center" vertical="center" wrapText="1"/>
    </xf>
    <xf numFmtId="4" fontId="27" fillId="0" borderId="0" xfId="0" applyNumberFormat="1" applyFont="1" applyFill="1" applyBorder="1" applyAlignment="1">
      <alignment horizontal="right" vertical="center" wrapText="1"/>
    </xf>
    <xf numFmtId="0" fontId="27" fillId="0" borderId="10" xfId="0" applyFont="1" applyFill="1" applyBorder="1" applyAlignment="1">
      <alignment horizontal="center" vertical="center" wrapText="1"/>
    </xf>
    <xf numFmtId="4" fontId="27" fillId="0" borderId="2" xfId="0" applyNumberFormat="1" applyFont="1" applyFill="1" applyBorder="1" applyAlignment="1">
      <alignment horizontal="right" vertical="center" wrapText="1"/>
    </xf>
    <xf numFmtId="4" fontId="27" fillId="0" borderId="10" xfId="0" applyNumberFormat="1" applyFont="1" applyFill="1" applyBorder="1" applyAlignment="1">
      <alignment horizontal="right" vertical="center"/>
    </xf>
    <xf numFmtId="0" fontId="28" fillId="0" borderId="9" xfId="0" applyFont="1" applyFill="1" applyBorder="1" applyAlignment="1">
      <alignment vertical="center" wrapText="1"/>
    </xf>
    <xf numFmtId="0" fontId="28" fillId="0" borderId="3" xfId="0" applyFont="1" applyFill="1" applyBorder="1" applyAlignment="1">
      <alignment horizontal="center" vertical="center" wrapText="1"/>
    </xf>
    <xf numFmtId="4" fontId="27" fillId="0" borderId="10" xfId="0" applyNumberFormat="1" applyFont="1" applyFill="1" applyBorder="1" applyAlignment="1">
      <alignment horizontal="right" vertical="center" wrapText="1"/>
    </xf>
    <xf numFmtId="4" fontId="27" fillId="0" borderId="2" xfId="0" applyNumberFormat="1" applyFont="1" applyFill="1" applyBorder="1" applyAlignment="1">
      <alignment horizontal="right" vertical="center"/>
    </xf>
    <xf numFmtId="0" fontId="27" fillId="0" borderId="15" xfId="0" applyFont="1" applyFill="1" applyBorder="1" applyAlignment="1">
      <alignment horizontal="center" vertical="center" wrapText="1"/>
    </xf>
    <xf numFmtId="0" fontId="27" fillId="0" borderId="38" xfId="0" applyFont="1" applyFill="1" applyBorder="1" applyAlignment="1">
      <alignment horizontal="center" vertical="center" wrapText="1"/>
    </xf>
    <xf numFmtId="0" fontId="28" fillId="0" borderId="10" xfId="0" applyFont="1" applyFill="1" applyBorder="1" applyAlignment="1">
      <alignment vertical="top" wrapText="1"/>
    </xf>
    <xf numFmtId="0" fontId="28" fillId="0" borderId="11" xfId="0" applyFont="1" applyFill="1" applyBorder="1" applyAlignment="1">
      <alignment horizontal="center" vertical="center" wrapText="1"/>
    </xf>
    <xf numFmtId="4" fontId="28" fillId="0" borderId="11" xfId="0" applyNumberFormat="1" applyFont="1" applyFill="1" applyBorder="1" applyAlignment="1">
      <alignment horizontal="right" vertical="center"/>
    </xf>
    <xf numFmtId="0" fontId="28" fillId="0" borderId="1" xfId="0" applyFont="1" applyFill="1" applyBorder="1" applyAlignment="1">
      <alignment horizontal="center" vertical="center" wrapText="1"/>
    </xf>
    <xf numFmtId="0" fontId="73" fillId="0" borderId="0" xfId="5" applyFont="1"/>
    <xf numFmtId="0" fontId="48" fillId="2" borderId="0" xfId="292" applyFont="1" applyFill="1" applyAlignment="1">
      <alignment horizontal="center" vertical="center"/>
    </xf>
    <xf numFmtId="0" fontId="49" fillId="0" borderId="0" xfId="292" applyFont="1" applyFill="1" applyBorder="1" applyAlignment="1">
      <alignment horizontal="center" vertical="center"/>
    </xf>
    <xf numFmtId="0" fontId="88" fillId="2" borderId="0" xfId="292" applyFont="1" applyFill="1" applyBorder="1" applyAlignment="1">
      <alignment horizontal="center" vertical="center"/>
    </xf>
    <xf numFmtId="0" fontId="49" fillId="2" borderId="0" xfId="292" applyFont="1" applyFill="1" applyBorder="1" applyAlignment="1">
      <alignment horizontal="center" vertical="center"/>
    </xf>
    <xf numFmtId="0" fontId="0" fillId="0" borderId="0" xfId="0" applyAlignment="1">
      <alignment horizontal="center" vertical="center" wrapText="1"/>
    </xf>
    <xf numFmtId="0" fontId="61" fillId="2" borderId="0" xfId="0" applyFont="1" applyFill="1"/>
    <xf numFmtId="0" fontId="0" fillId="0" borderId="0" xfId="0" applyAlignment="1">
      <alignment horizontal="center" vertical="center" wrapText="1"/>
    </xf>
    <xf numFmtId="0" fontId="46" fillId="0" borderId="0" xfId="0" applyFont="1" applyAlignment="1">
      <alignment horizontal="center" vertical="center"/>
    </xf>
    <xf numFmtId="0" fontId="48" fillId="0" borderId="0" xfId="164" applyNumberFormat="1" applyFont="1" applyFill="1" applyBorder="1" applyAlignment="1">
      <alignment horizontal="center"/>
    </xf>
    <xf numFmtId="0" fontId="87" fillId="0" borderId="0" xfId="164" applyFont="1"/>
    <xf numFmtId="49" fontId="49" fillId="0" borderId="3" xfId="164" applyNumberFormat="1" applyFont="1" applyFill="1" applyBorder="1" applyAlignment="1">
      <alignment horizontal="center" vertical="top"/>
    </xf>
    <xf numFmtId="49" fontId="49" fillId="2" borderId="13" xfId="164" applyNumberFormat="1" applyFont="1" applyFill="1" applyBorder="1" applyAlignment="1">
      <alignment horizontal="center"/>
    </xf>
    <xf numFmtId="49" fontId="49" fillId="0" borderId="7" xfId="164" applyNumberFormat="1" applyFont="1" applyFill="1" applyBorder="1" applyAlignment="1">
      <alignment horizontal="center"/>
    </xf>
    <xf numFmtId="49" fontId="49" fillId="9" borderId="7" xfId="164" applyNumberFormat="1" applyFont="1" applyFill="1" applyBorder="1" applyAlignment="1">
      <alignment horizontal="center" wrapText="1"/>
    </xf>
    <xf numFmtId="49" fontId="49" fillId="8" borderId="7" xfId="164" applyNumberFormat="1" applyFont="1" applyFill="1" applyBorder="1" applyAlignment="1">
      <alignment horizontal="center" wrapText="1"/>
    </xf>
    <xf numFmtId="49" fontId="49" fillId="0" borderId="3" xfId="164" applyNumberFormat="1" applyFont="1" applyFill="1" applyBorder="1" applyAlignment="1">
      <alignment horizontal="center" wrapText="1"/>
    </xf>
    <xf numFmtId="49" fontId="49" fillId="0" borderId="15" xfId="164" applyNumberFormat="1" applyFont="1" applyFill="1" applyBorder="1" applyAlignment="1">
      <alignment horizontal="center" wrapText="1"/>
    </xf>
    <xf numFmtId="49" fontId="49" fillId="8" borderId="15" xfId="164" applyNumberFormat="1" applyFont="1" applyFill="1" applyBorder="1" applyAlignment="1">
      <alignment horizontal="center" wrapText="1"/>
    </xf>
    <xf numFmtId="49" fontId="49" fillId="2" borderId="15" xfId="164" applyNumberFormat="1" applyFont="1" applyFill="1" applyBorder="1" applyAlignment="1">
      <alignment horizontal="center" wrapText="1"/>
    </xf>
    <xf numFmtId="49" fontId="49" fillId="0" borderId="7" xfId="164" applyNumberFormat="1" applyFont="1" applyFill="1" applyBorder="1" applyAlignment="1">
      <alignment horizontal="center" wrapText="1"/>
    </xf>
    <xf numFmtId="49" fontId="49" fillId="0" borderId="7" xfId="0" applyNumberFormat="1" applyFont="1" applyFill="1" applyBorder="1" applyAlignment="1">
      <alignment horizontal="center" wrapText="1"/>
    </xf>
    <xf numFmtId="49" fontId="49" fillId="6" borderId="7" xfId="164" applyNumberFormat="1" applyFont="1" applyFill="1" applyBorder="1" applyAlignment="1">
      <alignment horizontal="center" wrapText="1"/>
    </xf>
    <xf numFmtId="49" fontId="49" fillId="0" borderId="17" xfId="164" applyNumberFormat="1" applyFont="1" applyFill="1" applyBorder="1" applyAlignment="1">
      <alignment horizontal="center" wrapText="1"/>
    </xf>
    <xf numFmtId="49" fontId="49" fillId="0" borderId="13" xfId="164" applyNumberFormat="1" applyFont="1" applyFill="1" applyBorder="1" applyAlignment="1">
      <alignment horizontal="center" wrapText="1"/>
    </xf>
    <xf numFmtId="49" fontId="49" fillId="0" borderId="22" xfId="164" applyNumberFormat="1" applyFont="1" applyFill="1" applyBorder="1" applyAlignment="1">
      <alignment horizontal="center" wrapText="1"/>
    </xf>
    <xf numFmtId="4" fontId="28" fillId="2" borderId="1" xfId="0" applyNumberFormat="1" applyFont="1" applyFill="1" applyBorder="1" applyAlignment="1">
      <alignment horizontal="right" vertical="center" wrapText="1"/>
    </xf>
    <xf numFmtId="4" fontId="28" fillId="0" borderId="1" xfId="0" applyNumberFormat="1" applyFont="1" applyBorder="1" applyAlignment="1">
      <alignment horizontal="right" vertical="center" wrapText="1"/>
    </xf>
    <xf numFmtId="4" fontId="33" fillId="0" borderId="0" xfId="0" applyNumberFormat="1" applyFont="1" applyFill="1" applyAlignment="1">
      <alignment horizontal="right" vertical="center"/>
    </xf>
    <xf numFmtId="4" fontId="52" fillId="0" borderId="2" xfId="0" applyNumberFormat="1" applyFont="1" applyFill="1" applyBorder="1" applyAlignment="1">
      <alignment horizontal="right" vertical="center"/>
    </xf>
    <xf numFmtId="4" fontId="52" fillId="0" borderId="10" xfId="0" applyNumberFormat="1" applyFont="1" applyFill="1" applyBorder="1" applyAlignment="1">
      <alignment horizontal="right" vertical="center"/>
    </xf>
    <xf numFmtId="4" fontId="33" fillId="0" borderId="0" xfId="0" applyNumberFormat="1" applyFont="1" applyFill="1" applyBorder="1" applyAlignment="1">
      <alignment horizontal="right" vertical="center"/>
    </xf>
    <xf numFmtId="4" fontId="33" fillId="0" borderId="9" xfId="0" applyNumberFormat="1" applyFont="1" applyFill="1" applyBorder="1" applyAlignment="1">
      <alignment horizontal="right" vertical="center"/>
    </xf>
    <xf numFmtId="4" fontId="33" fillId="0" borderId="4" xfId="0" applyNumberFormat="1" applyFont="1" applyFill="1" applyBorder="1" applyAlignment="1">
      <alignment horizontal="right" vertical="center"/>
    </xf>
    <xf numFmtId="4" fontId="33" fillId="0" borderId="8" xfId="0" applyNumberFormat="1" applyFont="1" applyFill="1" applyBorder="1" applyAlignment="1">
      <alignment horizontal="right" vertical="center"/>
    </xf>
    <xf numFmtId="4" fontId="52" fillId="0" borderId="10" xfId="0" applyNumberFormat="1" applyFont="1" applyFill="1" applyBorder="1" applyAlignment="1">
      <alignment horizontal="right" vertical="center" wrapText="1"/>
    </xf>
    <xf numFmtId="4" fontId="33" fillId="0" borderId="0" xfId="0" applyNumberFormat="1" applyFont="1" applyAlignment="1">
      <alignment horizontal="right" vertical="center"/>
    </xf>
    <xf numFmtId="4" fontId="28" fillId="2" borderId="1" xfId="0" applyNumberFormat="1" applyFont="1" applyFill="1" applyBorder="1" applyAlignment="1">
      <alignment horizontal="right" vertical="center"/>
    </xf>
    <xf numFmtId="4" fontId="28" fillId="5" borderId="10" xfId="0" applyNumberFormat="1" applyFont="1" applyFill="1" applyBorder="1" applyAlignment="1">
      <alignment horizontal="right" vertical="center"/>
    </xf>
    <xf numFmtId="4" fontId="28" fillId="5" borderId="8" xfId="0" applyNumberFormat="1" applyFont="1" applyFill="1" applyBorder="1" applyAlignment="1">
      <alignment horizontal="right" vertical="center"/>
    </xf>
    <xf numFmtId="4" fontId="0" fillId="0" borderId="0" xfId="0" applyNumberFormat="1" applyAlignment="1">
      <alignment horizontal="center"/>
    </xf>
    <xf numFmtId="4" fontId="52" fillId="2" borderId="10" xfId="0" applyNumberFormat="1" applyFont="1" applyFill="1" applyBorder="1" applyAlignment="1">
      <alignment horizontal="right" vertical="center"/>
    </xf>
    <xf numFmtId="4" fontId="33" fillId="2" borderId="1" xfId="0" applyNumberFormat="1" applyFont="1" applyFill="1" applyBorder="1" applyAlignment="1">
      <alignment horizontal="right" vertical="center"/>
    </xf>
    <xf numFmtId="4" fontId="52" fillId="2" borderId="10" xfId="0" applyNumberFormat="1" applyFont="1" applyFill="1" applyBorder="1" applyAlignment="1">
      <alignment horizontal="right" vertical="center" wrapText="1"/>
    </xf>
    <xf numFmtId="0" fontId="28" fillId="0" borderId="38" xfId="0" applyFont="1" applyFill="1" applyBorder="1" applyAlignment="1">
      <alignment horizontal="center" vertical="center" wrapText="1"/>
    </xf>
    <xf numFmtId="4" fontId="49" fillId="2" borderId="1" xfId="5" applyNumberFormat="1" applyFont="1" applyFill="1" applyBorder="1" applyAlignment="1">
      <alignment horizontal="center"/>
    </xf>
    <xf numFmtId="4" fontId="48" fillId="2" borderId="1" xfId="5" applyNumberFormat="1" applyFont="1" applyFill="1" applyBorder="1" applyAlignment="1">
      <alignment horizontal="center" vertical="center" wrapText="1"/>
    </xf>
    <xf numFmtId="4" fontId="52" fillId="2" borderId="7" xfId="0" applyNumberFormat="1" applyFont="1" applyFill="1" applyBorder="1" applyAlignment="1">
      <alignment horizontal="right" vertical="center"/>
    </xf>
    <xf numFmtId="0" fontId="0" fillId="0" borderId="0" xfId="0" applyAlignment="1">
      <alignment horizontal="center" vertical="center" wrapText="1"/>
    </xf>
    <xf numFmtId="4" fontId="61" fillId="0" borderId="0" xfId="5" applyNumberFormat="1" applyFont="1" applyAlignment="1">
      <alignment horizontal="center"/>
    </xf>
    <xf numFmtId="0" fontId="49" fillId="2" borderId="0" xfId="292" applyFont="1" applyFill="1" applyBorder="1" applyAlignment="1">
      <alignment horizontal="right" vertical="center"/>
    </xf>
    <xf numFmtId="0" fontId="49" fillId="2" borderId="0" xfId="292" applyFont="1" applyFill="1" applyAlignment="1">
      <alignment horizontal="right" vertical="center"/>
    </xf>
    <xf numFmtId="0" fontId="48" fillId="2" borderId="0" xfId="292" applyFont="1" applyFill="1" applyAlignment="1">
      <alignment horizontal="center" vertical="center"/>
    </xf>
    <xf numFmtId="0" fontId="49" fillId="2" borderId="0" xfId="292" applyFont="1" applyFill="1" applyBorder="1" applyAlignment="1">
      <alignment horizontal="center" vertical="center"/>
    </xf>
    <xf numFmtId="0" fontId="0" fillId="0" borderId="0" xfId="0" applyAlignment="1">
      <alignment horizontal="center" vertical="center" wrapText="1"/>
    </xf>
    <xf numFmtId="4" fontId="33" fillId="0" borderId="0" xfId="0" applyNumberFormat="1" applyFont="1"/>
    <xf numFmtId="4" fontId="33" fillId="0" borderId="0" xfId="0" applyNumberFormat="1" applyFont="1" applyFill="1"/>
    <xf numFmtId="49" fontId="48" fillId="8" borderId="1" xfId="5" applyNumberFormat="1" applyFont="1" applyFill="1" applyBorder="1" applyAlignment="1">
      <alignment horizontal="center" vertical="center" wrapText="1"/>
    </xf>
    <xf numFmtId="49" fontId="48" fillId="2" borderId="1" xfId="5" applyNumberFormat="1" applyFont="1" applyFill="1" applyBorder="1" applyAlignment="1">
      <alignment horizontal="center" vertical="center" wrapText="1"/>
    </xf>
    <xf numFmtId="49" fontId="48" fillId="6" borderId="1" xfId="5" applyNumberFormat="1" applyFont="1" applyFill="1" applyBorder="1" applyAlignment="1">
      <alignment horizontal="center" vertical="center" wrapText="1"/>
    </xf>
    <xf numFmtId="49" fontId="49" fillId="0" borderId="1" xfId="5" applyNumberFormat="1" applyFont="1" applyBorder="1" applyAlignment="1">
      <alignment horizontal="center" vertical="center" wrapText="1"/>
    </xf>
    <xf numFmtId="49" fontId="49" fillId="2" borderId="1" xfId="5" applyNumberFormat="1" applyFont="1" applyFill="1" applyBorder="1" applyAlignment="1">
      <alignment vertical="center" wrapText="1"/>
    </xf>
    <xf numFmtId="49" fontId="48" fillId="0" borderId="1" xfId="5" applyNumberFormat="1" applyFont="1" applyBorder="1" applyAlignment="1">
      <alignment horizontal="center" vertical="center" wrapText="1"/>
    </xf>
    <xf numFmtId="171" fontId="49" fillId="0" borderId="0" xfId="5" applyNumberFormat="1" applyFont="1" applyFill="1"/>
    <xf numFmtId="171" fontId="49" fillId="0" borderId="0" xfId="5" applyNumberFormat="1" applyFont="1" applyFill="1" applyAlignment="1">
      <alignment horizontal="center"/>
    </xf>
    <xf numFmtId="0" fontId="62" fillId="0" borderId="0" xfId="5" applyFont="1" applyFill="1" applyAlignment="1">
      <alignment horizontal="center" vertical="center"/>
    </xf>
    <xf numFmtId="4" fontId="33" fillId="0" borderId="0" xfId="0" applyNumberFormat="1" applyFont="1" applyAlignment="1">
      <alignment horizontal="center" vertical="center"/>
    </xf>
    <xf numFmtId="4" fontId="33" fillId="0" borderId="0" xfId="0" applyNumberFormat="1" applyFont="1" applyFill="1" applyAlignment="1">
      <alignment horizontal="right" vertical="center" wrapText="1"/>
    </xf>
    <xf numFmtId="4" fontId="52" fillId="0" borderId="1" xfId="0" applyNumberFormat="1" applyFont="1" applyFill="1" applyBorder="1" applyAlignment="1">
      <alignment horizontal="right" vertical="center" wrapText="1"/>
    </xf>
    <xf numFmtId="4" fontId="33" fillId="0" borderId="1" xfId="0" applyNumberFormat="1" applyFont="1" applyFill="1" applyBorder="1" applyAlignment="1">
      <alignment horizontal="right" vertical="center"/>
    </xf>
    <xf numFmtId="4" fontId="52" fillId="0" borderId="9" xfId="0" applyNumberFormat="1" applyFont="1" applyFill="1" applyBorder="1" applyAlignment="1">
      <alignment horizontal="right" vertical="center"/>
    </xf>
    <xf numFmtId="4" fontId="52" fillId="0" borderId="1" xfId="0" applyNumberFormat="1" applyFont="1" applyFill="1" applyBorder="1" applyAlignment="1">
      <alignment horizontal="right" vertical="center"/>
    </xf>
    <xf numFmtId="4" fontId="33" fillId="0" borderId="0" xfId="0" applyNumberFormat="1" applyFont="1" applyAlignment="1">
      <alignment horizontal="right" vertical="center" wrapText="1"/>
    </xf>
    <xf numFmtId="4" fontId="28" fillId="2" borderId="10" xfId="0" applyNumberFormat="1" applyFont="1" applyFill="1" applyBorder="1" applyAlignment="1">
      <alignment horizontal="right" vertical="center"/>
    </xf>
    <xf numFmtId="171" fontId="0" fillId="0" borderId="0" xfId="0" applyNumberFormat="1" applyAlignment="1">
      <alignment vertical="center"/>
    </xf>
    <xf numFmtId="171" fontId="0" fillId="0" borderId="0" xfId="0" applyNumberFormat="1" applyAlignment="1">
      <alignment vertical="center" wrapText="1"/>
    </xf>
    <xf numFmtId="171" fontId="33" fillId="0" borderId="0" xfId="0" applyNumberFormat="1" applyFont="1" applyAlignment="1">
      <alignment vertical="center" wrapText="1"/>
    </xf>
    <xf numFmtId="171" fontId="33" fillId="0" borderId="0" xfId="0" applyNumberFormat="1" applyFont="1" applyAlignment="1">
      <alignment vertical="center"/>
    </xf>
    <xf numFmtId="171" fontId="0" fillId="0" borderId="0" xfId="0" applyNumberFormat="1" applyAlignment="1"/>
    <xf numFmtId="4" fontId="28" fillId="2" borderId="10" xfId="0" applyNumberFormat="1" applyFont="1" applyFill="1" applyBorder="1" applyAlignment="1">
      <alignment horizontal="right" vertical="center" wrapText="1"/>
    </xf>
    <xf numFmtId="0" fontId="61" fillId="2" borderId="1" xfId="5" applyFont="1" applyFill="1" applyBorder="1" applyAlignment="1">
      <alignment horizontal="center" vertical="center"/>
    </xf>
    <xf numFmtId="4" fontId="61" fillId="2" borderId="1" xfId="5" applyNumberFormat="1" applyFont="1" applyFill="1" applyBorder="1" applyAlignment="1">
      <alignment horizontal="right" vertical="center" wrapText="1"/>
    </xf>
    <xf numFmtId="4" fontId="60" fillId="0" borderId="0" xfId="5" applyNumberFormat="1" applyFill="1" applyAlignment="1">
      <alignment horizontal="center"/>
    </xf>
    <xf numFmtId="0" fontId="77" fillId="2" borderId="0" xfId="0" applyFont="1" applyFill="1" applyBorder="1" applyAlignment="1">
      <alignment vertical="center" wrapText="1"/>
    </xf>
    <xf numFmtId="0" fontId="61" fillId="2" borderId="0" xfId="0" applyFont="1" applyFill="1" applyAlignment="1">
      <alignment horizontal="center"/>
    </xf>
    <xf numFmtId="4" fontId="33" fillId="0" borderId="0" xfId="0" applyNumberFormat="1" applyFont="1" applyAlignment="1">
      <alignment horizontal="center"/>
    </xf>
    <xf numFmtId="4" fontId="49" fillId="0" borderId="0" xfId="164" applyNumberFormat="1" applyFont="1" applyFill="1" applyBorder="1" applyAlignment="1">
      <alignment horizontal="center"/>
    </xf>
    <xf numFmtId="4" fontId="49" fillId="0" borderId="0" xfId="164" applyNumberFormat="1" applyFont="1" applyAlignment="1">
      <alignment horizontal="center"/>
    </xf>
    <xf numFmtId="0" fontId="49" fillId="0" borderId="3" xfId="164" applyNumberFormat="1" applyFont="1" applyFill="1" applyBorder="1" applyAlignment="1">
      <alignment horizontal="center"/>
    </xf>
    <xf numFmtId="0" fontId="49" fillId="0" borderId="15" xfId="164" applyNumberFormat="1" applyFont="1" applyFill="1" applyBorder="1" applyAlignment="1">
      <alignment horizontal="center" vertical="top" wrapText="1"/>
    </xf>
    <xf numFmtId="4" fontId="49" fillId="2" borderId="13" xfId="164" applyNumberFormat="1" applyFont="1" applyFill="1" applyBorder="1" applyAlignment="1">
      <alignment horizontal="right"/>
    </xf>
    <xf numFmtId="4" fontId="49" fillId="0" borderId="7" xfId="164" applyNumberFormat="1" applyFont="1" applyFill="1" applyBorder="1" applyAlignment="1">
      <alignment horizontal="right"/>
    </xf>
    <xf numFmtId="4" fontId="49" fillId="9" borderId="7" xfId="164" applyNumberFormat="1" applyFont="1" applyFill="1" applyBorder="1" applyAlignment="1">
      <alignment horizontal="right"/>
    </xf>
    <xf numFmtId="4" fontId="49" fillId="8" borderId="7" xfId="164" applyNumberFormat="1" applyFont="1" applyFill="1" applyBorder="1" applyAlignment="1">
      <alignment horizontal="right"/>
    </xf>
    <xf numFmtId="4" fontId="49" fillId="0" borderId="3" xfId="164" applyNumberFormat="1" applyFont="1" applyFill="1" applyBorder="1" applyAlignment="1">
      <alignment horizontal="right"/>
    </xf>
    <xf numFmtId="4" fontId="49" fillId="0" borderId="15" xfId="164" applyNumberFormat="1" applyFont="1" applyFill="1" applyBorder="1" applyAlignment="1">
      <alignment horizontal="right"/>
    </xf>
    <xf numFmtId="4" fontId="49" fillId="8" borderId="15" xfId="164" applyNumberFormat="1" applyFont="1" applyFill="1" applyBorder="1" applyAlignment="1">
      <alignment horizontal="right"/>
    </xf>
    <xf numFmtId="4" fontId="49" fillId="0" borderId="7" xfId="164" applyNumberFormat="1" applyFont="1" applyFill="1" applyBorder="1" applyAlignment="1">
      <alignment horizontal="right" wrapText="1"/>
    </xf>
    <xf numFmtId="4" fontId="49" fillId="6" borderId="7" xfId="164" applyNumberFormat="1" applyFont="1" applyFill="1" applyBorder="1" applyAlignment="1">
      <alignment horizontal="right"/>
    </xf>
    <xf numFmtId="4" fontId="49" fillId="0" borderId="17" xfId="164" applyNumberFormat="1" applyFont="1" applyFill="1" applyBorder="1" applyAlignment="1">
      <alignment horizontal="right"/>
    </xf>
    <xf numFmtId="4" fontId="49" fillId="0" borderId="13" xfId="164" applyNumberFormat="1" applyFont="1" applyFill="1" applyBorder="1" applyAlignment="1">
      <alignment horizontal="right"/>
    </xf>
    <xf numFmtId="4" fontId="49" fillId="0" borderId="22" xfId="164" applyNumberFormat="1" applyFont="1" applyFill="1" applyBorder="1" applyAlignment="1">
      <alignment horizontal="right" wrapText="1"/>
    </xf>
    <xf numFmtId="0" fontId="33" fillId="0" borderId="0" xfId="0" applyFont="1" applyAlignment="1">
      <alignment horizontal="center" vertical="center"/>
    </xf>
    <xf numFmtId="4" fontId="49" fillId="0" borderId="1" xfId="164" applyNumberFormat="1" applyFont="1" applyFill="1" applyBorder="1" applyAlignment="1">
      <alignment horizontal="right"/>
    </xf>
    <xf numFmtId="4" fontId="49" fillId="0" borderId="10" xfId="164" applyNumberFormat="1" applyFont="1" applyFill="1" applyBorder="1" applyAlignment="1">
      <alignment horizontal="right"/>
    </xf>
    <xf numFmtId="4" fontId="49" fillId="0" borderId="8" xfId="164" applyNumberFormat="1" applyFont="1" applyFill="1" applyBorder="1" applyAlignment="1">
      <alignment horizontal="right"/>
    </xf>
    <xf numFmtId="4" fontId="49" fillId="8" borderId="1" xfId="164" applyNumberFormat="1" applyFont="1" applyFill="1" applyBorder="1" applyAlignment="1">
      <alignment horizontal="right"/>
    </xf>
    <xf numFmtId="4" fontId="49" fillId="8" borderId="8" xfId="164" applyNumberFormat="1" applyFont="1" applyFill="1" applyBorder="1" applyAlignment="1">
      <alignment horizontal="right"/>
    </xf>
    <xf numFmtId="4" fontId="49" fillId="0" borderId="1" xfId="164" applyNumberFormat="1" applyFont="1" applyFill="1" applyBorder="1" applyAlignment="1">
      <alignment horizontal="right" wrapText="1"/>
    </xf>
    <xf numFmtId="4" fontId="49" fillId="9" borderId="1" xfId="164" applyNumberFormat="1" applyFont="1" applyFill="1" applyBorder="1" applyAlignment="1">
      <alignment horizontal="right"/>
    </xf>
    <xf numFmtId="4" fontId="49" fillId="6" borderId="1" xfId="164" applyNumberFormat="1" applyFont="1" applyFill="1" applyBorder="1" applyAlignment="1">
      <alignment horizontal="right"/>
    </xf>
    <xf numFmtId="4" fontId="49" fillId="0" borderId="22" xfId="164" applyNumberFormat="1" applyFont="1" applyFill="1" applyBorder="1" applyAlignment="1">
      <alignment horizontal="right"/>
    </xf>
    <xf numFmtId="4" fontId="49" fillId="0" borderId="28" xfId="164" applyNumberFormat="1" applyFont="1" applyFill="1" applyBorder="1" applyAlignment="1">
      <alignment horizontal="right"/>
    </xf>
    <xf numFmtId="4" fontId="61" fillId="0" borderId="0" xfId="5" applyNumberFormat="1" applyFont="1"/>
    <xf numFmtId="4" fontId="49" fillId="2" borderId="1" xfId="5" applyNumberFormat="1" applyFont="1" applyFill="1" applyBorder="1" applyAlignment="1">
      <alignment vertical="center" wrapText="1"/>
    </xf>
    <xf numFmtId="0" fontId="49" fillId="2" borderId="0" xfId="5" applyFont="1" applyFill="1"/>
    <xf numFmtId="0" fontId="46" fillId="2" borderId="0" xfId="5" applyFont="1" applyFill="1"/>
    <xf numFmtId="0" fontId="46" fillId="2" borderId="1" xfId="5" applyFont="1" applyFill="1" applyBorder="1" applyAlignment="1">
      <alignment horizontal="center" vertical="center" wrapText="1"/>
    </xf>
    <xf numFmtId="4" fontId="46" fillId="2" borderId="1" xfId="5" applyNumberFormat="1" applyFont="1" applyFill="1" applyBorder="1" applyAlignment="1">
      <alignment horizontal="center" vertical="center" wrapText="1"/>
    </xf>
    <xf numFmtId="4" fontId="46" fillId="2" borderId="1" xfId="5" applyNumberFormat="1" applyFont="1" applyFill="1" applyBorder="1" applyAlignment="1">
      <alignment vertical="center" wrapText="1"/>
    </xf>
    <xf numFmtId="4" fontId="45" fillId="2" borderId="1" xfId="5" applyNumberFormat="1" applyFont="1" applyFill="1" applyBorder="1" applyAlignment="1">
      <alignment horizontal="center" vertical="center" wrapText="1"/>
    </xf>
    <xf numFmtId="0" fontId="61" fillId="0" borderId="1" xfId="0" applyFont="1" applyBorder="1" applyAlignment="1">
      <alignment horizontal="center" vertical="center" wrapText="1"/>
    </xf>
    <xf numFmtId="0" fontId="61" fillId="0" borderId="1" xfId="5" applyFont="1" applyFill="1" applyBorder="1" applyAlignment="1">
      <alignment horizontal="center" vertical="center" wrapText="1"/>
    </xf>
    <xf numFmtId="4" fontId="61" fillId="0" borderId="1" xfId="5" applyNumberFormat="1" applyFont="1" applyFill="1" applyBorder="1" applyAlignment="1">
      <alignment horizontal="center" vertical="center" wrapText="1"/>
    </xf>
    <xf numFmtId="0" fontId="61" fillId="0" borderId="1" xfId="5" applyFont="1" applyFill="1" applyBorder="1" applyAlignment="1">
      <alignment horizontal="center" vertical="center"/>
    </xf>
    <xf numFmtId="0" fontId="61" fillId="0" borderId="1" xfId="5" applyFont="1" applyFill="1" applyBorder="1"/>
    <xf numFmtId="49" fontId="61" fillId="7" borderId="1" xfId="5" applyNumberFormat="1" applyFont="1" applyFill="1" applyBorder="1"/>
    <xf numFmtId="4" fontId="62" fillId="7" borderId="1" xfId="5" applyNumberFormat="1" applyFont="1" applyFill="1" applyBorder="1"/>
    <xf numFmtId="0" fontId="61" fillId="7" borderId="1" xfId="5" applyFont="1" applyFill="1" applyBorder="1"/>
    <xf numFmtId="49" fontId="61" fillId="0" borderId="1" xfId="5" applyNumberFormat="1" applyFont="1" applyFill="1" applyBorder="1" applyAlignment="1">
      <alignment vertical="center" wrapText="1"/>
    </xf>
    <xf numFmtId="0" fontId="65" fillId="0" borderId="0" xfId="0" applyFont="1" applyFill="1" applyBorder="1" applyAlignment="1">
      <alignment vertical="center" wrapText="1"/>
    </xf>
    <xf numFmtId="0" fontId="67" fillId="0" borderId="0" xfId="5" applyFont="1" applyFill="1"/>
    <xf numFmtId="0" fontId="75" fillId="0" borderId="0" xfId="5" applyFont="1" applyFill="1" applyAlignment="1">
      <alignment horizontal="center" wrapText="1"/>
    </xf>
    <xf numFmtId="0" fontId="83" fillId="0" borderId="0" xfId="0" applyFont="1" applyFill="1" applyAlignment="1">
      <alignment horizontal="justify" vertical="center"/>
    </xf>
    <xf numFmtId="4" fontId="61" fillId="0" borderId="0" xfId="5" applyNumberFormat="1" applyFont="1" applyFill="1" applyBorder="1" applyAlignment="1">
      <alignment horizontal="center"/>
    </xf>
    <xf numFmtId="4" fontId="61" fillId="0" borderId="0" xfId="5" applyNumberFormat="1" applyFont="1" applyFill="1" applyBorder="1" applyAlignment="1">
      <alignment vertical="center" wrapText="1"/>
    </xf>
    <xf numFmtId="4" fontId="61" fillId="0" borderId="0" xfId="5" applyNumberFormat="1" applyFont="1" applyFill="1" applyBorder="1" applyAlignment="1"/>
    <xf numFmtId="4" fontId="62" fillId="0" borderId="1" xfId="5" applyNumberFormat="1" applyFont="1" applyFill="1" applyBorder="1" applyAlignment="1">
      <alignment horizontal="right" vertical="center" wrapText="1"/>
    </xf>
    <xf numFmtId="0" fontId="28" fillId="0" borderId="0" xfId="0" applyFont="1" applyFill="1" applyBorder="1" applyAlignment="1">
      <alignment vertical="center" wrapText="1"/>
    </xf>
    <xf numFmtId="4" fontId="27" fillId="0" borderId="14" xfId="0" applyNumberFormat="1" applyFont="1" applyFill="1" applyBorder="1" applyAlignment="1">
      <alignment horizontal="right" vertical="center"/>
    </xf>
    <xf numFmtId="0" fontId="27" fillId="0" borderId="1" xfId="0" applyFont="1" applyFill="1" applyBorder="1" applyAlignment="1">
      <alignment horizontal="center" vertical="center" wrapText="1"/>
    </xf>
    <xf numFmtId="0" fontId="62" fillId="7" borderId="1" xfId="5" applyFont="1" applyFill="1" applyBorder="1"/>
    <xf numFmtId="0" fontId="61" fillId="2" borderId="1" xfId="5" applyFont="1" applyFill="1" applyBorder="1" applyAlignment="1">
      <alignment horizontal="center" vertical="center" wrapText="1"/>
    </xf>
    <xf numFmtId="4" fontId="67" fillId="0" borderId="0" xfId="5" applyNumberFormat="1" applyFont="1" applyFill="1" applyAlignment="1">
      <alignment horizontal="center"/>
    </xf>
    <xf numFmtId="0" fontId="49" fillId="0" borderId="0" xfId="5" applyFont="1" applyFill="1" applyBorder="1" applyAlignment="1">
      <alignment horizontal="center" wrapText="1"/>
    </xf>
    <xf numFmtId="14" fontId="49" fillId="0" borderId="0" xfId="5" applyNumberFormat="1" applyFont="1" applyFill="1" applyBorder="1" applyAlignment="1">
      <alignment horizontal="center" wrapText="1"/>
    </xf>
    <xf numFmtId="0" fontId="0" fillId="0" borderId="0" xfId="0" applyAlignment="1">
      <alignment horizontal="center" vertical="center" wrapText="1"/>
    </xf>
    <xf numFmtId="0" fontId="28" fillId="0" borderId="16" xfId="0" applyFont="1" applyFill="1" applyBorder="1" applyAlignment="1">
      <alignment horizontal="center" vertical="center"/>
    </xf>
    <xf numFmtId="4" fontId="28" fillId="0" borderId="1" xfId="0" applyNumberFormat="1" applyFont="1" applyFill="1" applyBorder="1" applyAlignment="1">
      <alignment horizontal="right" vertical="center"/>
    </xf>
    <xf numFmtId="4" fontId="27" fillId="0" borderId="39" xfId="0" applyNumberFormat="1" applyFont="1" applyFill="1" applyBorder="1" applyAlignment="1">
      <alignment horizontal="right" vertical="center" wrapText="1"/>
    </xf>
    <xf numFmtId="0" fontId="0" fillId="0" borderId="0" xfId="0" applyFont="1" applyFill="1" applyAlignment="1">
      <alignment vertical="center" wrapText="1"/>
    </xf>
    <xf numFmtId="0" fontId="0" fillId="0" borderId="0" xfId="0" applyFont="1" applyAlignment="1">
      <alignment vertical="center" wrapText="1"/>
    </xf>
    <xf numFmtId="0" fontId="28" fillId="0" borderId="14" xfId="0" applyFont="1" applyFill="1" applyBorder="1" applyAlignment="1">
      <alignment horizontal="center" vertical="center"/>
    </xf>
    <xf numFmtId="4" fontId="33" fillId="0" borderId="0" xfId="0" applyNumberFormat="1" applyFont="1" applyFill="1" applyAlignment="1">
      <alignment horizontal="center" vertical="center"/>
    </xf>
    <xf numFmtId="171" fontId="33" fillId="0" borderId="0" xfId="0" applyNumberFormat="1" applyFont="1" applyAlignment="1"/>
    <xf numFmtId="0" fontId="28" fillId="0" borderId="4" xfId="0" applyFont="1" applyFill="1" applyBorder="1" applyAlignment="1">
      <alignment horizontal="center" vertical="center" wrapText="1"/>
    </xf>
    <xf numFmtId="4" fontId="28" fillId="0" borderId="10" xfId="0" applyNumberFormat="1" applyFont="1" applyFill="1" applyBorder="1"/>
    <xf numFmtId="4" fontId="49" fillId="2" borderId="15" xfId="164" applyNumberFormat="1" applyFont="1" applyFill="1" applyBorder="1" applyAlignment="1">
      <alignment horizontal="right"/>
    </xf>
    <xf numFmtId="4" fontId="53" fillId="8" borderId="1" xfId="164" applyNumberFormat="1" applyFont="1" applyFill="1" applyBorder="1" applyAlignment="1">
      <alignment horizontal="right"/>
    </xf>
    <xf numFmtId="4" fontId="53" fillId="0" borderId="1" xfId="164" applyNumberFormat="1" applyFont="1" applyFill="1" applyBorder="1" applyAlignment="1">
      <alignment horizontal="right"/>
    </xf>
    <xf numFmtId="4" fontId="53" fillId="2" borderId="1" xfId="164" applyNumberFormat="1" applyFont="1" applyFill="1" applyBorder="1" applyAlignment="1">
      <alignment horizontal="right"/>
    </xf>
    <xf numFmtId="4" fontId="49" fillId="2" borderId="8" xfId="164" applyNumberFormat="1" applyFont="1" applyFill="1" applyBorder="1" applyAlignment="1">
      <alignment horizontal="right"/>
    </xf>
    <xf numFmtId="0" fontId="53" fillId="2" borderId="19" xfId="164" applyNumberFormat="1" applyFont="1" applyFill="1" applyBorder="1" applyAlignment="1">
      <alignment horizontal="left" wrapText="1" indent="1"/>
    </xf>
    <xf numFmtId="0" fontId="53" fillId="2" borderId="18" xfId="164" applyNumberFormat="1" applyFont="1" applyFill="1" applyBorder="1" applyAlignment="1">
      <alignment horizontal="left" wrapText="1" indent="3"/>
    </xf>
    <xf numFmtId="49" fontId="53" fillId="2" borderId="18" xfId="164" applyNumberFormat="1" applyFont="1" applyFill="1" applyBorder="1" applyAlignment="1">
      <alignment horizontal="center"/>
    </xf>
    <xf numFmtId="0" fontId="48" fillId="2" borderId="0" xfId="292" applyFont="1" applyFill="1" applyAlignment="1">
      <alignment horizontal="center" vertical="center"/>
    </xf>
    <xf numFmtId="0" fontId="53" fillId="0" borderId="19" xfId="164" applyNumberFormat="1" applyFont="1" applyFill="1" applyBorder="1" applyAlignment="1">
      <alignment wrapText="1"/>
    </xf>
    <xf numFmtId="0" fontId="85" fillId="0" borderId="0" xfId="164" applyFont="1" applyFill="1"/>
    <xf numFmtId="0" fontId="27" fillId="0" borderId="9" xfId="0" applyFont="1" applyFill="1" applyBorder="1" applyAlignment="1">
      <alignment horizontal="left" vertical="center" wrapText="1"/>
    </xf>
    <xf numFmtId="0" fontId="27" fillId="0" borderId="8" xfId="0" applyFont="1" applyFill="1" applyBorder="1" applyAlignment="1">
      <alignment horizontal="left" vertical="center" wrapText="1"/>
    </xf>
    <xf numFmtId="4" fontId="28" fillId="0" borderId="0" xfId="0" applyNumberFormat="1" applyFont="1" applyFill="1" applyBorder="1" applyAlignment="1">
      <alignment horizontal="right" vertical="center"/>
    </xf>
    <xf numFmtId="4" fontId="52" fillId="0" borderId="7" xfId="0" applyNumberFormat="1" applyFont="1" applyFill="1" applyBorder="1" applyAlignment="1">
      <alignment horizontal="right" vertical="center"/>
    </xf>
    <xf numFmtId="4" fontId="27" fillId="0" borderId="14" xfId="0" applyNumberFormat="1" applyFont="1" applyFill="1" applyBorder="1" applyAlignment="1">
      <alignment horizontal="right" vertical="center" wrapText="1"/>
    </xf>
    <xf numFmtId="0" fontId="72" fillId="0" borderId="0" xfId="0" applyFont="1" applyAlignment="1">
      <alignment horizontal="left" vertical="center"/>
    </xf>
    <xf numFmtId="4" fontId="28" fillId="3" borderId="10" xfId="0" applyNumberFormat="1" applyFont="1" applyFill="1" applyBorder="1" applyAlignment="1">
      <alignment horizontal="right" vertical="center" wrapText="1"/>
    </xf>
    <xf numFmtId="4" fontId="52" fillId="3" borderId="3" xfId="0" applyNumberFormat="1" applyFont="1" applyFill="1" applyBorder="1" applyAlignment="1">
      <alignment horizontal="right" vertical="center" wrapText="1"/>
    </xf>
    <xf numFmtId="4" fontId="52" fillId="3" borderId="10" xfId="0" applyNumberFormat="1" applyFont="1" applyFill="1" applyBorder="1" applyAlignment="1">
      <alignment horizontal="right" vertical="center" wrapText="1"/>
    </xf>
    <xf numFmtId="4" fontId="95" fillId="3" borderId="8" xfId="0" applyNumberFormat="1" applyFont="1" applyFill="1" applyBorder="1" applyAlignment="1">
      <alignment horizontal="right" vertical="center" wrapText="1"/>
    </xf>
    <xf numFmtId="4" fontId="95" fillId="3" borderId="1" xfId="0" applyNumberFormat="1" applyFont="1" applyFill="1" applyBorder="1" applyAlignment="1">
      <alignment horizontal="right" vertical="center" wrapText="1"/>
    </xf>
    <xf numFmtId="4" fontId="52" fillId="3" borderId="15" xfId="0" applyNumberFormat="1" applyFont="1" applyFill="1" applyBorder="1" applyAlignment="1">
      <alignment horizontal="right" vertical="center" wrapText="1"/>
    </xf>
    <xf numFmtId="4" fontId="28" fillId="3" borderId="8" xfId="0" applyNumberFormat="1" applyFont="1" applyFill="1" applyBorder="1" applyAlignment="1">
      <alignment horizontal="right" vertical="center" wrapText="1"/>
    </xf>
    <xf numFmtId="4" fontId="52" fillId="3" borderId="8" xfId="0" applyNumberFormat="1" applyFont="1" applyFill="1" applyBorder="1" applyAlignment="1">
      <alignment horizontal="right" vertical="center" wrapText="1"/>
    </xf>
    <xf numFmtId="4" fontId="52" fillId="3" borderId="1" xfId="0" applyNumberFormat="1" applyFont="1" applyFill="1" applyBorder="1" applyAlignment="1">
      <alignment horizontal="right" vertical="center" wrapText="1"/>
    </xf>
    <xf numFmtId="0" fontId="28" fillId="0" borderId="1" xfId="0" applyFont="1" applyFill="1" applyBorder="1" applyAlignment="1">
      <alignment horizontal="left" vertical="center" wrapText="1"/>
    </xf>
    <xf numFmtId="4" fontId="95" fillId="0" borderId="1" xfId="0" applyNumberFormat="1" applyFont="1" applyFill="1" applyBorder="1" applyAlignment="1">
      <alignment horizontal="right" vertical="center" wrapText="1"/>
    </xf>
    <xf numFmtId="0" fontId="28" fillId="11" borderId="10" xfId="0" applyFont="1" applyFill="1" applyBorder="1" applyAlignment="1">
      <alignment vertical="center" wrapText="1"/>
    </xf>
    <xf numFmtId="4" fontId="28" fillId="0" borderId="8" xfId="0" applyNumberFormat="1" applyFont="1" applyFill="1" applyBorder="1"/>
    <xf numFmtId="4" fontId="28" fillId="0" borderId="16" xfId="0" applyNumberFormat="1" applyFont="1" applyFill="1" applyBorder="1" applyAlignment="1">
      <alignment horizontal="right" vertical="center"/>
    </xf>
    <xf numFmtId="0" fontId="69" fillId="12" borderId="1" xfId="0" applyFont="1" applyFill="1" applyBorder="1" applyAlignment="1">
      <alignment horizontal="center" vertical="center"/>
    </xf>
    <xf numFmtId="0" fontId="69" fillId="12" borderId="1" xfId="0" applyFont="1" applyFill="1" applyBorder="1" applyAlignment="1">
      <alignment horizontal="center" vertical="center" wrapText="1"/>
    </xf>
    <xf numFmtId="4" fontId="69" fillId="12" borderId="1" xfId="0" applyNumberFormat="1" applyFont="1" applyFill="1" applyBorder="1" applyAlignment="1">
      <alignment horizontal="right" vertical="center" wrapText="1"/>
    </xf>
    <xf numFmtId="4" fontId="52" fillId="12" borderId="1" xfId="0" applyNumberFormat="1" applyFont="1" applyFill="1" applyBorder="1" applyAlignment="1">
      <alignment horizontal="center" vertical="center"/>
    </xf>
    <xf numFmtId="0" fontId="69" fillId="12" borderId="1" xfId="0" applyFont="1" applyFill="1" applyBorder="1" applyAlignment="1">
      <alignment vertical="center" wrapText="1"/>
    </xf>
    <xf numFmtId="4" fontId="69" fillId="12" borderId="1" xfId="0" applyNumberFormat="1" applyFont="1" applyFill="1" applyBorder="1" applyAlignment="1">
      <alignment horizontal="center" vertical="center" wrapText="1"/>
    </xf>
    <xf numFmtId="0" fontId="49" fillId="0" borderId="1" xfId="5" applyFont="1" applyFill="1" applyBorder="1" applyAlignment="1">
      <alignment horizontal="center" vertical="center" wrapText="1"/>
    </xf>
    <xf numFmtId="49" fontId="61" fillId="0" borderId="1" xfId="5" applyNumberFormat="1" applyFont="1" applyFill="1" applyBorder="1" applyAlignment="1">
      <alignment horizontal="center" vertical="center" wrapText="1"/>
    </xf>
    <xf numFmtId="0" fontId="61" fillId="0" borderId="1" xfId="5" applyFont="1" applyFill="1" applyBorder="1" applyAlignment="1">
      <alignment horizontal="center" vertical="center" wrapText="1"/>
    </xf>
    <xf numFmtId="0" fontId="61" fillId="2" borderId="1" xfId="5" applyFont="1" applyFill="1" applyBorder="1" applyAlignment="1">
      <alignment horizontal="center" vertical="center" wrapText="1"/>
    </xf>
    <xf numFmtId="0" fontId="49" fillId="2" borderId="1" xfId="5" applyFont="1" applyFill="1" applyBorder="1" applyAlignment="1">
      <alignment horizontal="center" vertical="center" wrapText="1"/>
    </xf>
    <xf numFmtId="0" fontId="61" fillId="0" borderId="1" xfId="5" applyFont="1" applyFill="1" applyBorder="1" applyAlignment="1">
      <alignment horizontal="center" vertical="center"/>
    </xf>
    <xf numFmtId="49" fontId="49" fillId="0" borderId="1" xfId="5" applyNumberFormat="1" applyFont="1" applyFill="1" applyBorder="1" applyAlignment="1">
      <alignment horizontal="center" vertical="center" wrapText="1"/>
    </xf>
    <xf numFmtId="0" fontId="67" fillId="0" borderId="0" xfId="5" applyFont="1" applyFill="1" applyAlignment="1">
      <alignment vertical="center"/>
    </xf>
    <xf numFmtId="49" fontId="62" fillId="2" borderId="1" xfId="5" applyNumberFormat="1" applyFont="1" applyFill="1" applyBorder="1" applyAlignment="1">
      <alignment horizontal="center" vertical="center"/>
    </xf>
    <xf numFmtId="0" fontId="62" fillId="0" borderId="1" xfId="5" applyFont="1" applyFill="1" applyBorder="1" applyAlignment="1">
      <alignment horizontal="left" vertical="center"/>
    </xf>
    <xf numFmtId="0" fontId="60" fillId="0" borderId="0" xfId="5" applyFill="1" applyAlignment="1">
      <alignment vertical="center"/>
    </xf>
    <xf numFmtId="0" fontId="60" fillId="0" borderId="1" xfId="5" applyFill="1" applyBorder="1" applyAlignment="1">
      <alignment vertical="center"/>
    </xf>
    <xf numFmtId="0" fontId="62" fillId="0" borderId="1" xfId="5" applyFont="1" applyFill="1" applyBorder="1" applyAlignment="1">
      <alignment horizontal="center" vertical="center"/>
    </xf>
    <xf numFmtId="49" fontId="48" fillId="0" borderId="1" xfId="5" applyNumberFormat="1" applyFont="1" applyFill="1" applyBorder="1" applyAlignment="1">
      <alignment horizontal="center" vertical="center"/>
    </xf>
    <xf numFmtId="4" fontId="48" fillId="0" borderId="1" xfId="5" applyNumberFormat="1" applyFont="1" applyFill="1" applyBorder="1" applyAlignment="1">
      <alignment horizontal="center" vertical="center"/>
    </xf>
    <xf numFmtId="4" fontId="48" fillId="5" borderId="1" xfId="0" applyNumberFormat="1" applyFont="1" applyFill="1" applyBorder="1" applyAlignment="1">
      <alignment horizontal="right" vertical="center" wrapText="1"/>
    </xf>
    <xf numFmtId="4" fontId="69" fillId="0" borderId="10" xfId="0" applyNumberFormat="1" applyFont="1" applyFill="1" applyBorder="1" applyAlignment="1">
      <alignment horizontal="right" vertical="center"/>
    </xf>
    <xf numFmtId="4" fontId="65" fillId="0" borderId="9" xfId="0" applyNumberFormat="1" applyFont="1" applyFill="1" applyBorder="1" applyAlignment="1">
      <alignment horizontal="right" vertical="center"/>
    </xf>
    <xf numFmtId="4" fontId="65" fillId="0" borderId="8" xfId="0" applyNumberFormat="1" applyFont="1" applyFill="1" applyBorder="1" applyAlignment="1">
      <alignment horizontal="right" vertical="center"/>
    </xf>
    <xf numFmtId="4" fontId="69" fillId="0" borderId="0" xfId="0" applyNumberFormat="1" applyFont="1" applyFill="1" applyBorder="1" applyAlignment="1">
      <alignment horizontal="right" vertical="center" wrapText="1"/>
    </xf>
    <xf numFmtId="4" fontId="69" fillId="0" borderId="9" xfId="0" applyNumberFormat="1" applyFont="1" applyFill="1" applyBorder="1" applyAlignment="1">
      <alignment horizontal="right" vertical="center"/>
    </xf>
    <xf numFmtId="4" fontId="65" fillId="0" borderId="0" xfId="0" applyNumberFormat="1" applyFont="1" applyFill="1" applyBorder="1" applyAlignment="1">
      <alignment horizontal="right" vertical="center" wrapText="1"/>
    </xf>
    <xf numFmtId="4" fontId="65" fillId="0" borderId="4" xfId="0" applyNumberFormat="1" applyFont="1" applyFill="1" applyBorder="1" applyAlignment="1">
      <alignment horizontal="right" vertical="center" wrapText="1"/>
    </xf>
    <xf numFmtId="4" fontId="69" fillId="0" borderId="2" xfId="0" applyNumberFormat="1" applyFont="1" applyFill="1" applyBorder="1" applyAlignment="1">
      <alignment horizontal="right" vertical="center" wrapText="1"/>
    </xf>
    <xf numFmtId="4" fontId="65" fillId="0" borderId="10" xfId="0" applyNumberFormat="1" applyFont="1" applyFill="1" applyBorder="1" applyAlignment="1">
      <alignment horizontal="right" vertical="center" wrapText="1"/>
    </xf>
    <xf numFmtId="4" fontId="69" fillId="0" borderId="9" xfId="0" applyNumberFormat="1" applyFont="1" applyFill="1" applyBorder="1" applyAlignment="1">
      <alignment horizontal="right" vertical="center" wrapText="1"/>
    </xf>
    <xf numFmtId="4" fontId="69" fillId="0" borderId="8" xfId="0" applyNumberFormat="1" applyFont="1" applyFill="1" applyBorder="1" applyAlignment="1">
      <alignment horizontal="right" vertical="center" wrapText="1"/>
    </xf>
    <xf numFmtId="4" fontId="69" fillId="0" borderId="8" xfId="0" applyNumberFormat="1" applyFont="1" applyFill="1" applyBorder="1" applyAlignment="1">
      <alignment horizontal="right" vertical="center"/>
    </xf>
    <xf numFmtId="4" fontId="65" fillId="0" borderId="2" xfId="0" applyNumberFormat="1" applyFont="1" applyFill="1" applyBorder="1" applyAlignment="1">
      <alignment horizontal="right" vertical="center" wrapText="1"/>
    </xf>
    <xf numFmtId="4" fontId="65" fillId="0" borderId="10" xfId="0" applyNumberFormat="1" applyFont="1" applyFill="1" applyBorder="1" applyAlignment="1">
      <alignment horizontal="right" vertical="center"/>
    </xf>
    <xf numFmtId="4" fontId="69" fillId="0" borderId="1" xfId="0" applyNumberFormat="1" applyFont="1" applyFill="1" applyBorder="1" applyAlignment="1">
      <alignment horizontal="right" vertical="center"/>
    </xf>
    <xf numFmtId="4" fontId="69" fillId="5" borderId="1" xfId="0" applyNumberFormat="1" applyFont="1" applyFill="1" applyBorder="1" applyAlignment="1">
      <alignment horizontal="right" vertical="center" wrapText="1"/>
    </xf>
    <xf numFmtId="4" fontId="96" fillId="0" borderId="0" xfId="0" applyNumberFormat="1" applyFont="1" applyAlignment="1">
      <alignment horizontal="right" vertical="center" wrapText="1"/>
    </xf>
    <xf numFmtId="4" fontId="96" fillId="0" borderId="0" xfId="0" applyNumberFormat="1" applyFont="1" applyAlignment="1">
      <alignment horizontal="right" vertical="center"/>
    </xf>
    <xf numFmtId="4" fontId="27" fillId="0" borderId="0" xfId="0" applyNumberFormat="1" applyFont="1" applyFill="1" applyAlignment="1">
      <alignment horizontal="center" vertical="center"/>
    </xf>
    <xf numFmtId="0" fontId="27" fillId="0" borderId="0" xfId="0" applyFont="1" applyFill="1" applyAlignment="1">
      <alignment horizontal="center" vertical="center"/>
    </xf>
    <xf numFmtId="0" fontId="69" fillId="0" borderId="9" xfId="0" applyFont="1" applyFill="1" applyBorder="1" applyAlignment="1">
      <alignment horizontal="center" vertical="center"/>
    </xf>
    <xf numFmtId="0" fontId="69" fillId="0" borderId="0" xfId="0" applyFont="1" applyFill="1" applyBorder="1" applyAlignment="1">
      <alignment horizontal="center" vertical="center"/>
    </xf>
    <xf numFmtId="0" fontId="69" fillId="0" borderId="9" xfId="0" applyFont="1" applyFill="1" applyBorder="1" applyAlignment="1">
      <alignment horizontal="center" vertical="center" wrapText="1"/>
    </xf>
    <xf numFmtId="0" fontId="65" fillId="0" borderId="8" xfId="0" applyFont="1" applyFill="1" applyBorder="1" applyAlignment="1">
      <alignment horizontal="center" vertical="center"/>
    </xf>
    <xf numFmtId="0" fontId="65" fillId="0" borderId="4" xfId="0" applyFont="1" applyFill="1" applyBorder="1" applyAlignment="1">
      <alignment horizontal="center" vertical="center"/>
    </xf>
    <xf numFmtId="0" fontId="65" fillId="0" borderId="4" xfId="0" applyFont="1" applyFill="1" applyBorder="1" applyAlignment="1">
      <alignment vertical="center" wrapText="1"/>
    </xf>
    <xf numFmtId="0" fontId="65" fillId="0" borderId="8" xfId="0" applyFont="1" applyFill="1" applyBorder="1" applyAlignment="1">
      <alignment horizontal="center" vertical="center" wrapText="1"/>
    </xf>
    <xf numFmtId="0" fontId="69" fillId="0" borderId="10" xfId="0" applyFont="1" applyFill="1" applyBorder="1" applyAlignment="1">
      <alignment horizontal="center" vertical="center"/>
    </xf>
    <xf numFmtId="0" fontId="69" fillId="0" borderId="2" xfId="0" applyFont="1" applyFill="1" applyBorder="1" applyAlignment="1">
      <alignment horizontal="center" vertical="center"/>
    </xf>
    <xf numFmtId="0" fontId="69" fillId="0" borderId="2" xfId="0" applyFont="1" applyFill="1" applyBorder="1" applyAlignment="1">
      <alignment vertical="center" wrapText="1"/>
    </xf>
    <xf numFmtId="0" fontId="69" fillId="0" borderId="10" xfId="0" applyFont="1" applyFill="1" applyBorder="1" applyAlignment="1">
      <alignment horizontal="center" vertical="center" wrapText="1"/>
    </xf>
    <xf numFmtId="0" fontId="65" fillId="0" borderId="9" xfId="0" applyFont="1" applyFill="1" applyBorder="1" applyAlignment="1">
      <alignment horizontal="center" vertical="center"/>
    </xf>
    <xf numFmtId="0" fontId="65" fillId="0" borderId="0" xfId="0" applyFont="1" applyFill="1" applyBorder="1" applyAlignment="1">
      <alignment horizontal="center" vertical="center"/>
    </xf>
    <xf numFmtId="0" fontId="65" fillId="0" borderId="9" xfId="0" applyFont="1" applyFill="1" applyBorder="1" applyAlignment="1">
      <alignment horizontal="center" vertical="center" wrapText="1"/>
    </xf>
    <xf numFmtId="0" fontId="69" fillId="0" borderId="8" xfId="0" applyFont="1" applyFill="1" applyBorder="1" applyAlignment="1">
      <alignment horizontal="center" vertical="center"/>
    </xf>
    <xf numFmtId="0" fontId="69" fillId="0" borderId="8" xfId="0" applyFont="1" applyFill="1" applyBorder="1" applyAlignment="1">
      <alignment wrapText="1"/>
    </xf>
    <xf numFmtId="0" fontId="69" fillId="0" borderId="8" xfId="0" applyFont="1" applyFill="1" applyBorder="1" applyAlignment="1">
      <alignment horizontal="center" vertical="center" wrapText="1"/>
    </xf>
    <xf numFmtId="0" fontId="69" fillId="0" borderId="2" xfId="0" applyFont="1" applyFill="1" applyBorder="1" applyAlignment="1">
      <alignment horizontal="center" vertical="center" wrapText="1"/>
    </xf>
    <xf numFmtId="0" fontId="65" fillId="0" borderId="10" xfId="0" applyFont="1" applyFill="1" applyBorder="1" applyAlignment="1">
      <alignment horizontal="center" vertical="center" wrapText="1"/>
    </xf>
    <xf numFmtId="0" fontId="65" fillId="0" borderId="0" xfId="0" applyFont="1" applyFill="1" applyBorder="1" applyAlignment="1">
      <alignment horizontal="center" vertical="center" wrapText="1"/>
    </xf>
    <xf numFmtId="0" fontId="65" fillId="0" borderId="4" xfId="0" applyFont="1" applyFill="1" applyBorder="1" applyAlignment="1">
      <alignment horizontal="center" vertical="center" wrapText="1"/>
    </xf>
    <xf numFmtId="0" fontId="69" fillId="0" borderId="9" xfId="0" applyFont="1" applyFill="1" applyBorder="1" applyAlignment="1">
      <alignment vertical="center" wrapText="1"/>
    </xf>
    <xf numFmtId="0" fontId="69" fillId="0" borderId="9" xfId="0" applyFont="1" applyFill="1" applyBorder="1" applyAlignment="1">
      <alignment wrapText="1"/>
    </xf>
    <xf numFmtId="0" fontId="69" fillId="0" borderId="9" xfId="0" applyFont="1" applyFill="1" applyBorder="1" applyAlignment="1">
      <alignment horizontal="left" vertical="center" wrapText="1"/>
    </xf>
    <xf numFmtId="0" fontId="65" fillId="0" borderId="0" xfId="0" applyFont="1" applyFill="1" applyBorder="1" applyAlignment="1">
      <alignment wrapText="1"/>
    </xf>
    <xf numFmtId="4" fontId="28" fillId="0" borderId="0" xfId="0" applyNumberFormat="1" applyFont="1" applyFill="1"/>
    <xf numFmtId="0" fontId="28" fillId="0" borderId="0" xfId="0" applyFont="1" applyFill="1"/>
    <xf numFmtId="4" fontId="27" fillId="0" borderId="0" xfId="0" applyNumberFormat="1" applyFont="1" applyAlignment="1">
      <alignment horizontal="center"/>
    </xf>
    <xf numFmtId="4" fontId="28" fillId="5" borderId="7" xfId="0" applyNumberFormat="1" applyFont="1" applyFill="1" applyBorder="1" applyAlignment="1">
      <alignment horizontal="right" vertical="center" wrapText="1"/>
    </xf>
    <xf numFmtId="4" fontId="27" fillId="5" borderId="1" xfId="0" applyNumberFormat="1" applyFont="1" applyFill="1" applyBorder="1" applyAlignment="1">
      <alignment horizontal="right" vertical="center"/>
    </xf>
    <xf numFmtId="4" fontId="28" fillId="5" borderId="12" xfId="0" applyNumberFormat="1" applyFont="1" applyFill="1" applyBorder="1" applyAlignment="1">
      <alignment horizontal="right" vertical="center" wrapText="1"/>
    </xf>
    <xf numFmtId="0" fontId="69" fillId="0" borderId="1" xfId="0" applyFont="1" applyFill="1" applyBorder="1" applyAlignment="1">
      <alignment vertical="center" wrapText="1"/>
    </xf>
    <xf numFmtId="0" fontId="69" fillId="0" borderId="1" xfId="0" applyFont="1" applyFill="1" applyBorder="1" applyAlignment="1">
      <alignment horizontal="center" vertical="center" wrapText="1"/>
    </xf>
    <xf numFmtId="0" fontId="69" fillId="0" borderId="3" xfId="0" applyFont="1" applyFill="1" applyBorder="1" applyAlignment="1">
      <alignment horizontal="center" vertical="center"/>
    </xf>
    <xf numFmtId="0" fontId="65" fillId="0" borderId="2" xfId="0" applyFont="1" applyFill="1" applyBorder="1" applyAlignment="1">
      <alignment horizontal="center" vertical="center" wrapText="1"/>
    </xf>
    <xf numFmtId="0" fontId="27" fillId="0" borderId="0" xfId="33" applyFont="1" applyFill="1" applyBorder="1" applyAlignment="1">
      <alignment horizontal="left"/>
    </xf>
    <xf numFmtId="4" fontId="27" fillId="0" borderId="2" xfId="0" applyNumberFormat="1" applyFont="1" applyFill="1" applyBorder="1"/>
    <xf numFmtId="4" fontId="27" fillId="0" borderId="10" xfId="0" applyNumberFormat="1" applyFont="1" applyFill="1" applyBorder="1"/>
    <xf numFmtId="4" fontId="27" fillId="0" borderId="9" xfId="0" applyNumberFormat="1" applyFont="1" applyFill="1" applyBorder="1"/>
    <xf numFmtId="4" fontId="27" fillId="0" borderId="0" xfId="0" applyNumberFormat="1" applyFont="1" applyFill="1" applyBorder="1"/>
    <xf numFmtId="4" fontId="27" fillId="0" borderId="8" xfId="0" applyNumberFormat="1" applyFont="1" applyFill="1" applyBorder="1"/>
    <xf numFmtId="4" fontId="28" fillId="11" borderId="10" xfId="0" applyNumberFormat="1" applyFont="1" applyFill="1" applyBorder="1" applyAlignment="1">
      <alignment vertical="center" wrapText="1"/>
    </xf>
    <xf numFmtId="49" fontId="61" fillId="0" borderId="1" xfId="5" applyNumberFormat="1" applyFont="1" applyFill="1" applyBorder="1" applyAlignment="1">
      <alignment horizontal="center" vertical="center" wrapText="1"/>
    </xf>
    <xf numFmtId="0" fontId="61" fillId="0" borderId="1" xfId="5" applyFont="1" applyFill="1" applyBorder="1" applyAlignment="1">
      <alignment horizontal="center" vertical="center"/>
    </xf>
    <xf numFmtId="49" fontId="49" fillId="0" borderId="1" xfId="5" applyNumberFormat="1" applyFont="1" applyFill="1" applyBorder="1" applyAlignment="1">
      <alignment horizontal="center" vertical="center" wrapText="1"/>
    </xf>
    <xf numFmtId="0" fontId="60" fillId="0" borderId="0" xfId="5" applyFont="1" applyFill="1" applyAlignment="1">
      <alignment vertical="center"/>
    </xf>
    <xf numFmtId="0" fontId="49" fillId="0" borderId="0" xfId="0" applyFont="1" applyFill="1" applyBorder="1"/>
    <xf numFmtId="0" fontId="27" fillId="0" borderId="0" xfId="0" applyFont="1" applyAlignment="1">
      <alignment horizontal="center"/>
    </xf>
    <xf numFmtId="0" fontId="27" fillId="0" borderId="0" xfId="0" applyFont="1" applyFill="1" applyBorder="1"/>
    <xf numFmtId="4" fontId="28" fillId="0" borderId="14" xfId="0" applyNumberFormat="1" applyFont="1" applyFill="1" applyBorder="1" applyAlignment="1">
      <alignment horizontal="right" vertical="center"/>
    </xf>
    <xf numFmtId="4" fontId="27" fillId="0" borderId="0" xfId="0" applyNumberFormat="1" applyFont="1" applyFill="1" applyAlignment="1">
      <alignment horizontal="right" vertical="center"/>
    </xf>
    <xf numFmtId="4" fontId="27" fillId="0" borderId="0" xfId="0" applyNumberFormat="1" applyFont="1" applyAlignment="1">
      <alignment horizontal="right" vertical="center"/>
    </xf>
    <xf numFmtId="4" fontId="27" fillId="0" borderId="0" xfId="0" applyNumberFormat="1" applyFont="1" applyAlignment="1">
      <alignment horizontal="center" vertical="center"/>
    </xf>
    <xf numFmtId="4" fontId="97" fillId="0" borderId="1" xfId="0" applyNumberFormat="1" applyFont="1" applyFill="1" applyBorder="1" applyAlignment="1">
      <alignment horizontal="center" vertical="center" wrapText="1"/>
    </xf>
    <xf numFmtId="4" fontId="27" fillId="0" borderId="1" xfId="0" applyNumberFormat="1" applyFont="1" applyFill="1" applyBorder="1" applyAlignment="1">
      <alignment horizontal="center" vertical="center" wrapText="1"/>
    </xf>
    <xf numFmtId="4" fontId="28" fillId="0" borderId="4" xfId="0" applyNumberFormat="1" applyFont="1" applyFill="1" applyBorder="1" applyAlignment="1">
      <alignment horizontal="right" vertical="center"/>
    </xf>
    <xf numFmtId="171" fontId="27" fillId="0" borderId="0" xfId="0" applyNumberFormat="1" applyFont="1" applyAlignment="1">
      <alignment horizontal="center" vertical="center"/>
    </xf>
    <xf numFmtId="0" fontId="92" fillId="0" borderId="0" xfId="0" applyFont="1" applyAlignment="1">
      <alignment vertical="center"/>
    </xf>
    <xf numFmtId="4" fontId="48" fillId="5" borderId="12" xfId="0" applyNumberFormat="1" applyFont="1" applyFill="1" applyBorder="1" applyAlignment="1">
      <alignment horizontal="right" vertical="center" wrapText="1"/>
    </xf>
    <xf numFmtId="4" fontId="27" fillId="0" borderId="0" xfId="0" applyNumberFormat="1" applyFont="1" applyFill="1" applyAlignment="1">
      <alignment horizontal="right" vertical="center" wrapText="1"/>
    </xf>
    <xf numFmtId="4" fontId="27" fillId="0" borderId="0" xfId="0" applyNumberFormat="1" applyFont="1" applyAlignment="1">
      <alignment horizontal="right" vertical="center" wrapText="1"/>
    </xf>
    <xf numFmtId="171" fontId="27" fillId="0" borderId="0" xfId="0" applyNumberFormat="1" applyFont="1" applyAlignment="1">
      <alignment horizontal="center" vertical="center" wrapText="1"/>
    </xf>
    <xf numFmtId="4" fontId="27" fillId="0" borderId="0" xfId="0" applyNumberFormat="1" applyFont="1" applyAlignment="1">
      <alignment horizontal="center" vertical="center" wrapText="1"/>
    </xf>
    <xf numFmtId="4" fontId="27" fillId="2" borderId="7" xfId="15" applyNumberFormat="1" applyFont="1" applyFill="1" applyBorder="1" applyAlignment="1">
      <alignment horizontal="center" vertical="center" wrapText="1"/>
    </xf>
    <xf numFmtId="0" fontId="0" fillId="0" borderId="0" xfId="0" applyAlignment="1">
      <alignment horizontal="left" vertical="center"/>
    </xf>
    <xf numFmtId="4" fontId="27" fillId="0" borderId="1" xfId="0" applyNumberFormat="1" applyFont="1" applyFill="1" applyBorder="1" applyAlignment="1">
      <alignment vertical="center" wrapText="1"/>
    </xf>
    <xf numFmtId="4" fontId="27" fillId="0" borderId="28" xfId="0" applyNumberFormat="1" applyFont="1" applyFill="1" applyBorder="1" applyAlignment="1">
      <alignment vertical="center" wrapText="1"/>
    </xf>
    <xf numFmtId="4" fontId="27" fillId="0" borderId="10" xfId="0" applyNumberFormat="1" applyFont="1" applyFill="1" applyBorder="1" applyAlignment="1">
      <alignment vertical="center" wrapText="1"/>
    </xf>
    <xf numFmtId="4" fontId="85" fillId="0" borderId="0" xfId="164" applyNumberFormat="1" applyFont="1"/>
    <xf numFmtId="4" fontId="49" fillId="2" borderId="0" xfId="292" applyNumberFormat="1" applyFont="1" applyFill="1" applyBorder="1" applyAlignment="1">
      <alignment vertical="center"/>
    </xf>
    <xf numFmtId="0" fontId="0" fillId="0" borderId="0" xfId="0" applyAlignment="1">
      <alignment horizontal="left" vertical="center"/>
    </xf>
    <xf numFmtId="0" fontId="0" fillId="0" borderId="0" xfId="0" applyAlignment="1">
      <alignment horizontal="left" vertical="center"/>
    </xf>
    <xf numFmtId="0" fontId="0" fillId="0" borderId="0" xfId="0" applyAlignment="1">
      <alignment horizontal="left" vertical="center"/>
    </xf>
    <xf numFmtId="0" fontId="0" fillId="0" borderId="0" xfId="0" applyAlignment="1">
      <alignment horizontal="left" vertical="top"/>
    </xf>
    <xf numFmtId="0" fontId="75" fillId="0" borderId="0" xfId="0" applyFont="1" applyAlignment="1">
      <alignment horizontal="center" vertical="center"/>
    </xf>
    <xf numFmtId="0" fontId="72" fillId="0" borderId="0" xfId="0" applyFont="1" applyAlignment="1">
      <alignment horizontal="left" vertical="center"/>
    </xf>
    <xf numFmtId="0" fontId="61" fillId="2" borderId="1" xfId="0" applyFont="1" applyFill="1" applyBorder="1" applyAlignment="1">
      <alignment horizontal="center" vertical="center"/>
    </xf>
    <xf numFmtId="0" fontId="27" fillId="0" borderId="0" xfId="0" applyFont="1" applyAlignment="1">
      <alignment horizontal="left" vertical="center"/>
    </xf>
    <xf numFmtId="49" fontId="61" fillId="2" borderId="1" xfId="0" applyNumberFormat="1" applyFont="1" applyFill="1" applyBorder="1" applyAlignment="1">
      <alignment horizontal="center" vertical="center"/>
    </xf>
    <xf numFmtId="0" fontId="0" fillId="0" borderId="0" xfId="0" applyAlignment="1">
      <alignment horizontal="left" vertical="center"/>
    </xf>
    <xf numFmtId="0" fontId="0" fillId="0" borderId="0" xfId="0" applyAlignment="1">
      <alignment horizontal="left" vertical="center"/>
    </xf>
    <xf numFmtId="0" fontId="0" fillId="0" borderId="0" xfId="0" applyAlignment="1">
      <alignment horizontal="left" vertical="center"/>
    </xf>
    <xf numFmtId="4" fontId="0" fillId="0" borderId="8" xfId="0" applyNumberFormat="1" applyFill="1" applyBorder="1" applyAlignment="1">
      <alignment horizontal="center" vertical="center"/>
    </xf>
    <xf numFmtId="4" fontId="0" fillId="0" borderId="1" xfId="0" applyNumberFormat="1" applyFill="1" applyBorder="1" applyAlignment="1">
      <alignment horizontal="center" vertical="center" wrapText="1"/>
    </xf>
    <xf numFmtId="4" fontId="0" fillId="0" borderId="1" xfId="0" applyNumberFormat="1" applyFill="1" applyBorder="1" applyAlignment="1">
      <alignment horizontal="center" vertical="center"/>
    </xf>
    <xf numFmtId="4" fontId="69" fillId="0" borderId="1" xfId="0" applyNumberFormat="1" applyFont="1" applyFill="1" applyBorder="1"/>
    <xf numFmtId="4" fontId="0" fillId="0" borderId="1" xfId="0" applyNumberFormat="1" applyFill="1" applyBorder="1"/>
    <xf numFmtId="4" fontId="0" fillId="0" borderId="1" xfId="0" applyNumberFormat="1" applyBorder="1"/>
    <xf numFmtId="4" fontId="27" fillId="0" borderId="1" xfId="0" applyNumberFormat="1" applyFont="1" applyFill="1" applyBorder="1"/>
    <xf numFmtId="4" fontId="27" fillId="0" borderId="1" xfId="0" applyNumberFormat="1" applyFont="1" applyBorder="1"/>
    <xf numFmtId="4" fontId="0" fillId="0" borderId="1" xfId="0" applyNumberFormat="1" applyFill="1" applyBorder="1" applyAlignment="1">
      <alignment wrapText="1"/>
    </xf>
    <xf numFmtId="4" fontId="0" fillId="0" borderId="0" xfId="0" applyNumberFormat="1" applyAlignment="1">
      <alignment wrapText="1"/>
    </xf>
    <xf numFmtId="4" fontId="0" fillId="0" borderId="0" xfId="0" applyNumberFormat="1" applyFill="1" applyAlignment="1">
      <alignment wrapText="1"/>
    </xf>
    <xf numFmtId="4" fontId="69" fillId="0" borderId="1" xfId="0" applyNumberFormat="1" applyFont="1" applyFill="1" applyBorder="1" applyAlignment="1">
      <alignment wrapText="1"/>
    </xf>
    <xf numFmtId="4" fontId="0" fillId="0" borderId="1" xfId="0" applyNumberFormat="1" applyBorder="1" applyAlignment="1">
      <alignment wrapText="1"/>
    </xf>
    <xf numFmtId="4" fontId="27" fillId="0" borderId="1" xfId="0" applyNumberFormat="1" applyFont="1" applyFill="1" applyBorder="1" applyAlignment="1">
      <alignment wrapText="1"/>
    </xf>
    <xf numFmtId="4" fontId="27" fillId="0" borderId="1" xfId="0" applyNumberFormat="1" applyFont="1" applyBorder="1" applyAlignment="1">
      <alignment wrapText="1"/>
    </xf>
    <xf numFmtId="0" fontId="0" fillId="0" borderId="0" xfId="0" applyAlignment="1">
      <alignment horizontal="left" vertical="center"/>
    </xf>
    <xf numFmtId="4" fontId="0" fillId="0" borderId="8" xfId="0" applyNumberFormat="1" applyFill="1" applyBorder="1" applyAlignment="1">
      <alignment horizontal="left" vertical="center" wrapText="1"/>
    </xf>
    <xf numFmtId="0" fontId="0" fillId="0" borderId="1" xfId="0" applyFill="1" applyBorder="1" applyAlignment="1">
      <alignment wrapText="1"/>
    </xf>
    <xf numFmtId="0" fontId="0" fillId="0" borderId="0" xfId="0" applyFont="1" applyAlignment="1">
      <alignment horizontal="left" vertical="center" wrapText="1"/>
    </xf>
    <xf numFmtId="0" fontId="28" fillId="0" borderId="8" xfId="0" applyFont="1" applyFill="1" applyBorder="1" applyAlignment="1">
      <alignment vertical="center" wrapText="1"/>
    </xf>
    <xf numFmtId="0" fontId="0" fillId="0" borderId="0" xfId="0" applyAlignment="1">
      <alignment horizontal="left" vertical="center" wrapText="1"/>
    </xf>
    <xf numFmtId="0" fontId="0" fillId="0" borderId="0" xfId="0" applyAlignment="1">
      <alignment horizontal="left" vertical="center"/>
    </xf>
    <xf numFmtId="4" fontId="27" fillId="0" borderId="0" xfId="0" applyNumberFormat="1" applyFont="1" applyFill="1" applyBorder="1" applyAlignment="1">
      <alignment horizontal="center" vertical="center"/>
    </xf>
    <xf numFmtId="4" fontId="27" fillId="0" borderId="0" xfId="0" applyNumberFormat="1" applyFont="1" applyBorder="1" applyAlignment="1">
      <alignment horizontal="center"/>
    </xf>
    <xf numFmtId="0" fontId="0" fillId="0" borderId="0" xfId="0" applyAlignment="1">
      <alignment horizontal="left" vertical="center"/>
    </xf>
    <xf numFmtId="0" fontId="77" fillId="0" borderId="0" xfId="0" applyFont="1" applyAlignment="1">
      <alignment horizontal="center" vertical="center"/>
    </xf>
    <xf numFmtId="4" fontId="33" fillId="0" borderId="0" xfId="0" applyNumberFormat="1" applyFont="1" applyFill="1" applyBorder="1" applyAlignment="1">
      <alignment horizontal="center" vertical="center"/>
    </xf>
    <xf numFmtId="4" fontId="33" fillId="0" borderId="10" xfId="0" applyNumberFormat="1" applyFont="1" applyFill="1" applyBorder="1" applyAlignment="1">
      <alignment horizontal="center" vertical="center"/>
    </xf>
    <xf numFmtId="4" fontId="33" fillId="0" borderId="9" xfId="0" applyNumberFormat="1" applyFont="1" applyFill="1" applyBorder="1" applyAlignment="1">
      <alignment horizontal="center" vertical="center"/>
    </xf>
    <xf numFmtId="4" fontId="33" fillId="0" borderId="28" xfId="0" applyNumberFormat="1" applyFont="1" applyFill="1" applyBorder="1" applyAlignment="1">
      <alignment horizontal="left" vertical="top" wrapText="1"/>
    </xf>
    <xf numFmtId="4" fontId="33" fillId="0" borderId="22"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4" fontId="33" fillId="0" borderId="9" xfId="0" applyNumberFormat="1" applyFont="1" applyFill="1" applyBorder="1" applyAlignment="1">
      <alignment horizontal="left" vertical="top" wrapText="1"/>
    </xf>
    <xf numFmtId="4" fontId="0" fillId="0" borderId="0" xfId="0" applyNumberFormat="1" applyAlignment="1">
      <alignment horizontal="left" vertical="center" wrapText="1"/>
    </xf>
    <xf numFmtId="4" fontId="27" fillId="0" borderId="10" xfId="0" applyNumberFormat="1" applyFont="1" applyFill="1" applyBorder="1" applyAlignment="1">
      <alignment horizontal="center" vertical="center" wrapText="1"/>
    </xf>
    <xf numFmtId="4" fontId="27" fillId="0" borderId="10" xfId="0" applyNumberFormat="1" applyFont="1" applyFill="1" applyBorder="1" applyAlignment="1">
      <alignment horizontal="left" vertical="top" wrapText="1"/>
    </xf>
    <xf numFmtId="176" fontId="27" fillId="0" borderId="33" xfId="0" applyNumberFormat="1" applyFont="1" applyFill="1" applyBorder="1" applyAlignment="1">
      <alignment horizontal="center" vertical="center" wrapText="1"/>
    </xf>
    <xf numFmtId="4" fontId="27" fillId="0" borderId="46" xfId="0" applyNumberFormat="1" applyFont="1" applyFill="1" applyBorder="1" applyAlignment="1">
      <alignment horizontal="left" vertical="top" wrapText="1"/>
    </xf>
    <xf numFmtId="4" fontId="27" fillId="0" borderId="28" xfId="0" applyNumberFormat="1" applyFont="1" applyFill="1" applyBorder="1" applyAlignment="1">
      <alignment horizontal="center" vertical="center" wrapText="1"/>
    </xf>
    <xf numFmtId="4" fontId="27" fillId="0" borderId="1" xfId="0" applyNumberFormat="1" applyFont="1" applyFill="1" applyBorder="1" applyAlignment="1">
      <alignment horizontal="left" vertical="top" wrapText="1"/>
    </xf>
    <xf numFmtId="4" fontId="27" fillId="0" borderId="22" xfId="0" applyNumberFormat="1" applyFont="1" applyFill="1" applyBorder="1" applyAlignment="1">
      <alignment horizontal="left" vertical="top" wrapText="1"/>
    </xf>
    <xf numFmtId="4" fontId="27" fillId="0" borderId="28" xfId="0" applyNumberFormat="1" applyFont="1" applyFill="1" applyBorder="1" applyAlignment="1">
      <alignment horizontal="left" vertical="top" wrapText="1"/>
    </xf>
    <xf numFmtId="4" fontId="33" fillId="0" borderId="50" xfId="0" applyNumberFormat="1" applyFont="1" applyFill="1" applyBorder="1" applyAlignment="1">
      <alignment horizontal="left" vertical="top" wrapText="1"/>
    </xf>
    <xf numFmtId="4" fontId="0" fillId="0" borderId="0" xfId="0" applyNumberFormat="1" applyAlignment="1">
      <alignment horizontal="center" vertical="center"/>
    </xf>
    <xf numFmtId="176" fontId="0" fillId="0" borderId="0" xfId="0" applyNumberFormat="1" applyAlignment="1">
      <alignment horizontal="center" vertical="center"/>
    </xf>
    <xf numFmtId="0" fontId="76" fillId="0" borderId="0" xfId="0" applyFont="1" applyAlignment="1">
      <alignment horizontal="center" vertical="center"/>
    </xf>
    <xf numFmtId="176" fontId="0" fillId="0" borderId="0" xfId="0" applyNumberFormat="1" applyFill="1" applyAlignment="1">
      <alignment horizontal="center" vertical="center"/>
    </xf>
    <xf numFmtId="176" fontId="27" fillId="0" borderId="36" xfId="0" applyNumberFormat="1" applyFont="1" applyFill="1" applyBorder="1" applyAlignment="1">
      <alignment horizontal="center" vertical="center" wrapText="1"/>
    </xf>
    <xf numFmtId="176" fontId="27" fillId="0" borderId="49" xfId="0" applyNumberFormat="1" applyFont="1" applyFill="1" applyBorder="1" applyAlignment="1">
      <alignment horizontal="center" vertical="center" wrapText="1"/>
    </xf>
    <xf numFmtId="176" fontId="27" fillId="0" borderId="0" xfId="0" applyNumberFormat="1" applyFont="1" applyFill="1" applyAlignment="1">
      <alignment horizontal="center" vertical="center"/>
    </xf>
    <xf numFmtId="4" fontId="27" fillId="0" borderId="37" xfId="0" applyNumberFormat="1" applyFont="1" applyBorder="1" applyAlignment="1">
      <alignment vertical="center" wrapText="1"/>
    </xf>
    <xf numFmtId="4" fontId="27" fillId="0" borderId="28" xfId="0" applyNumberFormat="1" applyFont="1" applyBorder="1" applyAlignment="1">
      <alignment vertical="center" wrapText="1"/>
    </xf>
    <xf numFmtId="4" fontId="27" fillId="0" borderId="49" xfId="0" applyNumberFormat="1" applyFont="1" applyBorder="1" applyAlignment="1">
      <alignment vertical="center" wrapText="1"/>
    </xf>
    <xf numFmtId="4" fontId="27" fillId="0" borderId="49" xfId="0" applyNumberFormat="1" applyFont="1" applyFill="1" applyBorder="1" applyAlignment="1">
      <alignment vertical="center" wrapText="1"/>
    </xf>
    <xf numFmtId="4" fontId="27" fillId="0" borderId="36" xfId="0" applyNumberFormat="1" applyFont="1" applyFill="1" applyBorder="1" applyAlignment="1">
      <alignment horizontal="center" vertical="center" wrapText="1"/>
    </xf>
    <xf numFmtId="4" fontId="27" fillId="0" borderId="36" xfId="0" applyNumberFormat="1" applyFont="1" applyFill="1" applyBorder="1" applyAlignment="1">
      <alignment vertical="center" wrapText="1"/>
    </xf>
    <xf numFmtId="4" fontId="27" fillId="0" borderId="33" xfId="0" applyNumberFormat="1" applyFont="1" applyFill="1" applyBorder="1" applyAlignment="1">
      <alignment vertical="center" wrapText="1"/>
    </xf>
    <xf numFmtId="4" fontId="27" fillId="0" borderId="28" xfId="0" applyNumberFormat="1" applyFont="1" applyFill="1" applyBorder="1" applyAlignment="1">
      <alignment horizontal="center" vertical="center"/>
    </xf>
    <xf numFmtId="176" fontId="27" fillId="0" borderId="49" xfId="0" applyNumberFormat="1" applyFont="1" applyFill="1" applyBorder="1" applyAlignment="1">
      <alignment horizontal="center" vertical="center"/>
    </xf>
    <xf numFmtId="4" fontId="27" fillId="0" borderId="22" xfId="0" applyNumberFormat="1" applyFont="1" applyFill="1" applyBorder="1" applyAlignment="1">
      <alignment horizontal="center" vertical="center"/>
    </xf>
    <xf numFmtId="176" fontId="27" fillId="0" borderId="44" xfId="0" applyNumberFormat="1" applyFont="1" applyFill="1" applyBorder="1" applyAlignment="1">
      <alignment horizontal="center" vertical="center"/>
    </xf>
    <xf numFmtId="4" fontId="27" fillId="0" borderId="46" xfId="0" applyNumberFormat="1" applyFont="1" applyFill="1" applyBorder="1" applyAlignment="1">
      <alignment horizontal="center" vertical="center"/>
    </xf>
    <xf numFmtId="176" fontId="27" fillId="0" borderId="47" xfId="0" applyNumberFormat="1" applyFont="1" applyFill="1" applyBorder="1" applyAlignment="1">
      <alignment horizontal="center" vertical="center"/>
    </xf>
    <xf numFmtId="4" fontId="0" fillId="0" borderId="0" xfId="0" applyNumberFormat="1" applyAlignment="1">
      <alignment horizontal="left" vertical="top" wrapText="1"/>
    </xf>
    <xf numFmtId="0" fontId="77" fillId="0" borderId="0" xfId="0" applyFont="1" applyAlignment="1">
      <alignment horizontal="left" vertical="top" wrapText="1"/>
    </xf>
    <xf numFmtId="0" fontId="76" fillId="0" borderId="0" xfId="0" applyFont="1" applyAlignment="1">
      <alignment horizontal="left" vertical="top" wrapText="1"/>
    </xf>
    <xf numFmtId="4" fontId="0" fillId="0" borderId="0" xfId="0" applyNumberFormat="1" applyFill="1" applyAlignment="1">
      <alignment horizontal="left" vertical="top" wrapText="1"/>
    </xf>
    <xf numFmtId="4" fontId="27" fillId="0" borderId="0" xfId="0" applyNumberFormat="1" applyFont="1" applyFill="1" applyAlignment="1">
      <alignment horizontal="left" vertical="top" wrapText="1"/>
    </xf>
    <xf numFmtId="4" fontId="0" fillId="0" borderId="0" xfId="0" applyNumberFormat="1" applyBorder="1" applyAlignment="1">
      <alignment horizontal="left" vertical="top" wrapText="1"/>
    </xf>
    <xf numFmtId="4" fontId="0" fillId="0" borderId="0" xfId="0" applyNumberFormat="1" applyBorder="1" applyAlignment="1">
      <alignment horizontal="center" vertical="center"/>
    </xf>
    <xf numFmtId="176" fontId="0" fillId="0" borderId="0" xfId="0" applyNumberFormat="1" applyBorder="1" applyAlignment="1">
      <alignment horizontal="center" vertical="center"/>
    </xf>
    <xf numFmtId="0" fontId="0" fillId="0" borderId="50" xfId="0" applyFill="1" applyBorder="1" applyAlignment="1">
      <alignment horizontal="left" vertical="top" wrapText="1"/>
    </xf>
    <xf numFmtId="4" fontId="0" fillId="0" borderId="50" xfId="0" applyNumberFormat="1" applyFill="1" applyBorder="1" applyAlignment="1">
      <alignment horizontal="center" vertical="center"/>
    </xf>
    <xf numFmtId="176" fontId="0" fillId="0" borderId="51" xfId="0" applyNumberFormat="1" applyFill="1" applyBorder="1" applyAlignment="1">
      <alignment horizontal="center" vertical="center"/>
    </xf>
    <xf numFmtId="4" fontId="0" fillId="0" borderId="0" xfId="0" applyNumberFormat="1" applyFill="1" applyAlignment="1">
      <alignment horizontal="left" vertical="center" wrapText="1"/>
    </xf>
    <xf numFmtId="4" fontId="0" fillId="0" borderId="0" xfId="0" applyNumberFormat="1" applyBorder="1" applyAlignment="1">
      <alignment horizontal="left" vertical="center" wrapText="1"/>
    </xf>
    <xf numFmtId="4" fontId="65" fillId="0" borderId="0" xfId="0" applyNumberFormat="1" applyFont="1" applyFill="1" applyAlignment="1">
      <alignment horizontal="left" vertical="center" wrapText="1"/>
    </xf>
    <xf numFmtId="4" fontId="27" fillId="0" borderId="0" xfId="0" applyNumberFormat="1" applyFont="1" applyFill="1" applyAlignment="1">
      <alignment horizontal="left" vertical="center" wrapText="1"/>
    </xf>
    <xf numFmtId="4" fontId="27" fillId="0" borderId="0" xfId="0" applyNumberFormat="1" applyFont="1" applyBorder="1" applyAlignment="1">
      <alignment horizontal="left" vertical="center" wrapText="1"/>
    </xf>
    <xf numFmtId="4" fontId="27" fillId="0" borderId="0" xfId="0" applyNumberFormat="1" applyFont="1" applyFill="1" applyBorder="1" applyAlignment="1">
      <alignment horizontal="left" vertical="center" wrapText="1"/>
    </xf>
    <xf numFmtId="4" fontId="33" fillId="0" borderId="1" xfId="0" applyNumberFormat="1" applyFont="1" applyFill="1" applyBorder="1" applyAlignment="1">
      <alignment horizontal="center" vertical="center"/>
    </xf>
    <xf numFmtId="4" fontId="33" fillId="0" borderId="50" xfId="0" applyNumberFormat="1" applyFont="1" applyFill="1" applyBorder="1" applyAlignment="1">
      <alignment horizontal="center" vertical="center"/>
    </xf>
    <xf numFmtId="4" fontId="33" fillId="0" borderId="51" xfId="0" applyNumberFormat="1" applyFont="1" applyFill="1" applyBorder="1" applyAlignment="1">
      <alignment horizontal="left" vertical="top" wrapText="1"/>
    </xf>
    <xf numFmtId="4" fontId="33" fillId="0" borderId="0" xfId="0" applyNumberFormat="1" applyFont="1" applyAlignment="1">
      <alignment horizontal="left" vertical="top" wrapText="1"/>
    </xf>
    <xf numFmtId="4" fontId="33" fillId="0" borderId="0" xfId="0" applyNumberFormat="1" applyFont="1" applyFill="1" applyAlignment="1">
      <alignment horizontal="left" vertical="top" wrapText="1"/>
    </xf>
    <xf numFmtId="4" fontId="33" fillId="0" borderId="0" xfId="0" applyNumberFormat="1" applyFont="1" applyFill="1" applyBorder="1" applyAlignment="1">
      <alignment horizontal="left" vertical="top"/>
    </xf>
    <xf numFmtId="4" fontId="33" fillId="0" borderId="28" xfId="0" applyNumberFormat="1" applyFont="1" applyFill="1" applyBorder="1" applyAlignment="1">
      <alignment horizontal="left" vertical="top"/>
    </xf>
    <xf numFmtId="4" fontId="33" fillId="0" borderId="1" xfId="0" applyNumberFormat="1" applyFont="1" applyFill="1" applyBorder="1" applyAlignment="1">
      <alignment horizontal="left" vertical="top"/>
    </xf>
    <xf numFmtId="4" fontId="33" fillId="0" borderId="22" xfId="0" applyNumberFormat="1" applyFont="1" applyFill="1" applyBorder="1" applyAlignment="1">
      <alignment horizontal="left" vertical="top"/>
    </xf>
    <xf numFmtId="4" fontId="33" fillId="0" borderId="0" xfId="0" applyNumberFormat="1" applyFont="1" applyFill="1" applyBorder="1" applyAlignment="1">
      <alignment horizontal="left" vertical="top" wrapText="1"/>
    </xf>
    <xf numFmtId="4" fontId="33" fillId="0" borderId="10" xfId="0" applyNumberFormat="1" applyFont="1" applyFill="1" applyBorder="1" applyAlignment="1">
      <alignment horizontal="left" vertical="top"/>
    </xf>
    <xf numFmtId="4" fontId="33" fillId="0" borderId="28" xfId="0" applyNumberFormat="1" applyFont="1" applyFill="1" applyBorder="1" applyAlignment="1">
      <alignment horizontal="center" vertical="center"/>
    </xf>
    <xf numFmtId="4" fontId="33" fillId="0" borderId="22" xfId="0" applyNumberFormat="1" applyFont="1" applyFill="1" applyBorder="1" applyAlignment="1">
      <alignment horizontal="center" vertical="center"/>
    </xf>
    <xf numFmtId="4" fontId="33" fillId="0" borderId="50" xfId="0" applyNumberFormat="1" applyFont="1" applyFill="1" applyBorder="1" applyAlignment="1">
      <alignment horizontal="center" vertical="center" wrapText="1"/>
    </xf>
    <xf numFmtId="4" fontId="33" fillId="0" borderId="28" xfId="0" applyNumberFormat="1" applyFont="1" applyFill="1" applyBorder="1" applyAlignment="1">
      <alignment horizontal="center" vertical="center" wrapText="1"/>
    </xf>
    <xf numFmtId="4" fontId="33" fillId="0" borderId="17" xfId="0" applyNumberFormat="1" applyFont="1" applyFill="1" applyBorder="1" applyAlignment="1">
      <alignment horizontal="center" vertical="center"/>
    </xf>
    <xf numFmtId="4" fontId="33" fillId="0" borderId="49" xfId="0" applyNumberFormat="1" applyFont="1" applyFill="1" applyBorder="1" applyAlignment="1">
      <alignment horizontal="left" vertical="top"/>
    </xf>
    <xf numFmtId="4" fontId="33" fillId="0" borderId="36" xfId="0" applyNumberFormat="1" applyFont="1" applyFill="1" applyBorder="1" applyAlignment="1">
      <alignment horizontal="left" vertical="top"/>
    </xf>
    <xf numFmtId="4" fontId="33" fillId="0" borderId="44" xfId="0" applyNumberFormat="1" applyFont="1" applyFill="1" applyBorder="1" applyAlignment="1">
      <alignment horizontal="left" vertical="top"/>
    </xf>
    <xf numFmtId="4" fontId="33" fillId="0" borderId="42" xfId="0" applyNumberFormat="1" applyFont="1" applyFill="1" applyBorder="1" applyAlignment="1">
      <alignment horizontal="left" vertical="top" wrapText="1"/>
    </xf>
    <xf numFmtId="4" fontId="33" fillId="0" borderId="49" xfId="0" applyNumberFormat="1" applyFont="1" applyFill="1" applyBorder="1" applyAlignment="1">
      <alignment horizontal="left" vertical="top" wrapText="1"/>
    </xf>
    <xf numFmtId="4" fontId="33" fillId="0" borderId="36" xfId="0" applyNumberFormat="1" applyFont="1" applyFill="1" applyBorder="1" applyAlignment="1">
      <alignment horizontal="left" vertical="top" wrapText="1"/>
    </xf>
    <xf numFmtId="4" fontId="33" fillId="0" borderId="44" xfId="0" applyNumberFormat="1" applyFont="1" applyFill="1" applyBorder="1" applyAlignment="1">
      <alignment horizontal="left" vertical="top" wrapText="1"/>
    </xf>
    <xf numFmtId="4" fontId="33" fillId="0" borderId="33" xfId="0" applyNumberFormat="1" applyFont="1" applyFill="1" applyBorder="1" applyAlignment="1">
      <alignment horizontal="left" vertical="top"/>
    </xf>
    <xf numFmtId="4" fontId="28" fillId="0" borderId="28" xfId="0" applyNumberFormat="1" applyFont="1" applyFill="1" applyBorder="1" applyAlignment="1">
      <alignment vertical="center" wrapText="1"/>
    </xf>
    <xf numFmtId="0" fontId="0" fillId="0" borderId="0" xfId="0" applyAlignment="1">
      <alignment horizontal="left" vertical="center"/>
    </xf>
    <xf numFmtId="176" fontId="27" fillId="0" borderId="33" xfId="0" applyNumberFormat="1" applyFont="1" applyFill="1" applyBorder="1" applyAlignment="1">
      <alignment horizontal="center" vertical="center" wrapText="1"/>
    </xf>
    <xf numFmtId="4" fontId="27" fillId="0" borderId="10" xfId="0" applyNumberFormat="1" applyFont="1" applyFill="1" applyBorder="1" applyAlignment="1">
      <alignment horizontal="center" vertical="center" wrapText="1"/>
    </xf>
    <xf numFmtId="4" fontId="27" fillId="0" borderId="10" xfId="0" applyNumberFormat="1" applyFont="1" applyFill="1" applyBorder="1" applyAlignment="1">
      <alignment horizontal="left" vertical="top" wrapText="1"/>
    </xf>
    <xf numFmtId="4" fontId="33" fillId="0" borderId="57" xfId="0" applyNumberFormat="1" applyFont="1" applyFill="1" applyBorder="1" applyAlignment="1">
      <alignment horizontal="left" vertical="top" wrapText="1"/>
    </xf>
    <xf numFmtId="4" fontId="33" fillId="0" borderId="12" xfId="0" applyNumberFormat="1" applyFont="1" applyFill="1" applyBorder="1" applyAlignment="1">
      <alignment horizontal="left" vertical="top" wrapText="1"/>
    </xf>
    <xf numFmtId="4" fontId="33" fillId="0" borderId="58" xfId="0" applyNumberFormat="1" applyFont="1" applyFill="1" applyBorder="1" applyAlignment="1">
      <alignment horizontal="left" vertical="top" wrapText="1"/>
    </xf>
    <xf numFmtId="4" fontId="33" fillId="0" borderId="59" xfId="0" applyNumberFormat="1" applyFont="1" applyFill="1" applyBorder="1" applyAlignment="1">
      <alignment horizontal="left" vertical="top" wrapText="1"/>
    </xf>
    <xf numFmtId="4" fontId="33" fillId="0" borderId="39" xfId="0" applyNumberFormat="1" applyFont="1" applyFill="1" applyBorder="1" applyAlignment="1">
      <alignment horizontal="left" vertical="top" wrapText="1"/>
    </xf>
    <xf numFmtId="4" fontId="33" fillId="0" borderId="16" xfId="0" applyNumberFormat="1" applyFont="1" applyFill="1" applyBorder="1" applyAlignment="1">
      <alignment horizontal="left" vertical="top" wrapText="1"/>
    </xf>
    <xf numFmtId="4" fontId="28" fillId="5" borderId="33" xfId="0" applyNumberFormat="1" applyFont="1" applyFill="1" applyBorder="1" applyAlignment="1">
      <alignment horizontal="right" vertical="center" wrapText="1"/>
    </xf>
    <xf numFmtId="4" fontId="28" fillId="0" borderId="33" xfId="0" applyNumberFormat="1" applyFont="1" applyFill="1" applyBorder="1" applyAlignment="1">
      <alignment horizontal="right" vertical="center"/>
    </xf>
    <xf numFmtId="0" fontId="27" fillId="0" borderId="32" xfId="0" applyFont="1" applyFill="1" applyBorder="1" applyAlignment="1">
      <alignment horizontal="center" vertical="center"/>
    </xf>
    <xf numFmtId="4" fontId="27" fillId="0" borderId="42" xfId="0" applyNumberFormat="1" applyFont="1" applyFill="1" applyBorder="1" applyAlignment="1">
      <alignment horizontal="right" vertical="center"/>
    </xf>
    <xf numFmtId="0" fontId="27" fillId="0" borderId="34" xfId="0" applyFont="1" applyFill="1" applyBorder="1" applyAlignment="1">
      <alignment horizontal="center" vertical="center"/>
    </xf>
    <xf numFmtId="4" fontId="27" fillId="0" borderId="35" xfId="0" applyNumberFormat="1" applyFont="1" applyFill="1" applyBorder="1" applyAlignment="1">
      <alignment horizontal="right" vertical="center"/>
    </xf>
    <xf numFmtId="4" fontId="28" fillId="5" borderId="35" xfId="0" applyNumberFormat="1" applyFont="1" applyFill="1" applyBorder="1" applyAlignment="1">
      <alignment horizontal="right" vertical="center" wrapText="1"/>
    </xf>
    <xf numFmtId="4" fontId="28" fillId="0" borderId="25" xfId="0" applyNumberFormat="1" applyFont="1" applyFill="1" applyBorder="1" applyAlignment="1">
      <alignment horizontal="right" vertical="center"/>
    </xf>
    <xf numFmtId="0" fontId="28" fillId="0" borderId="41" xfId="0" applyFont="1" applyFill="1" applyBorder="1" applyAlignment="1">
      <alignment horizontal="center" vertical="center" wrapText="1"/>
    </xf>
    <xf numFmtId="4" fontId="27" fillId="0" borderId="61" xfId="0" applyNumberFormat="1" applyFont="1" applyFill="1" applyBorder="1" applyAlignment="1">
      <alignment horizontal="right" vertical="center"/>
    </xf>
    <xf numFmtId="0" fontId="69" fillId="0" borderId="32" xfId="0" applyFont="1" applyFill="1" applyBorder="1" applyAlignment="1">
      <alignment horizontal="center" vertical="center"/>
    </xf>
    <xf numFmtId="4" fontId="28" fillId="0" borderId="42" xfId="0" applyNumberFormat="1" applyFont="1" applyFill="1" applyBorder="1" applyAlignment="1">
      <alignment horizontal="right" vertical="center"/>
    </xf>
    <xf numFmtId="0" fontId="65" fillId="0" borderId="34" xfId="0" applyFont="1" applyFill="1" applyBorder="1" applyAlignment="1">
      <alignment horizontal="center" vertical="center"/>
    </xf>
    <xf numFmtId="4" fontId="28" fillId="0" borderId="35" xfId="0" applyNumberFormat="1" applyFont="1" applyFill="1" applyBorder="1" applyAlignment="1">
      <alignment horizontal="right" vertical="center"/>
    </xf>
    <xf numFmtId="0" fontId="65" fillId="0" borderId="32" xfId="0" applyFont="1" applyFill="1" applyBorder="1" applyAlignment="1">
      <alignment horizontal="center" vertical="center"/>
    </xf>
    <xf numFmtId="0" fontId="69" fillId="0" borderId="41" xfId="0" applyFont="1" applyFill="1" applyBorder="1" applyAlignment="1">
      <alignment horizontal="center" vertical="center" wrapText="1"/>
    </xf>
    <xf numFmtId="0" fontId="65" fillId="0" borderId="32" xfId="0" applyFont="1" applyFill="1" applyBorder="1" applyAlignment="1">
      <alignment horizontal="center" vertical="center" wrapText="1"/>
    </xf>
    <xf numFmtId="0" fontId="65" fillId="0" borderId="34" xfId="0" applyFont="1" applyFill="1" applyBorder="1" applyAlignment="1">
      <alignment horizontal="center" vertical="center" wrapText="1"/>
    </xf>
    <xf numFmtId="4" fontId="27" fillId="0" borderId="26" xfId="0" applyNumberFormat="1" applyFont="1" applyFill="1" applyBorder="1" applyAlignment="1">
      <alignment horizontal="right" vertical="center"/>
    </xf>
    <xf numFmtId="0" fontId="69" fillId="0" borderId="32" xfId="0" applyFont="1" applyFill="1" applyBorder="1" applyAlignment="1">
      <alignment horizontal="center" vertical="center" wrapText="1"/>
    </xf>
    <xf numFmtId="0" fontId="27" fillId="0" borderId="32" xfId="0" applyFont="1" applyFill="1" applyBorder="1" applyAlignment="1">
      <alignment horizontal="center" vertical="center" wrapText="1"/>
    </xf>
    <xf numFmtId="0" fontId="27" fillId="0" borderId="34" xfId="0" applyFont="1" applyFill="1" applyBorder="1" applyAlignment="1">
      <alignment horizontal="center" vertical="center" wrapText="1"/>
    </xf>
    <xf numFmtId="0" fontId="28" fillId="0" borderId="18" xfId="0" applyFont="1" applyFill="1" applyBorder="1" applyAlignment="1">
      <alignment horizontal="center" vertical="center" wrapText="1"/>
    </xf>
    <xf numFmtId="0" fontId="27" fillId="0" borderId="19" xfId="0" applyFont="1" applyFill="1" applyBorder="1" applyAlignment="1">
      <alignment horizontal="center" vertical="center" wrapText="1"/>
    </xf>
    <xf numFmtId="0" fontId="27" fillId="0" borderId="40" xfId="0" applyFont="1" applyFill="1" applyBorder="1" applyAlignment="1">
      <alignment horizontal="center" vertical="center" wrapText="1"/>
    </xf>
    <xf numFmtId="4" fontId="48" fillId="5" borderId="36" xfId="0" applyNumberFormat="1" applyFont="1" applyFill="1" applyBorder="1" applyAlignment="1">
      <alignment horizontal="right" vertical="center" wrapText="1"/>
    </xf>
    <xf numFmtId="0" fontId="28" fillId="0" borderId="34" xfId="0" applyFont="1" applyFill="1" applyBorder="1" applyAlignment="1">
      <alignment horizontal="center" vertical="center"/>
    </xf>
    <xf numFmtId="0" fontId="28" fillId="11" borderId="21" xfId="0" applyFont="1" applyFill="1" applyBorder="1" applyAlignment="1">
      <alignment horizontal="center" vertical="center"/>
    </xf>
    <xf numFmtId="0" fontId="28" fillId="11" borderId="22" xfId="0" applyFont="1" applyFill="1" applyBorder="1" applyAlignment="1">
      <alignment horizontal="center" vertical="center"/>
    </xf>
    <xf numFmtId="0" fontId="28" fillId="11" borderId="22" xfId="0" applyFont="1" applyFill="1" applyBorder="1" applyAlignment="1">
      <alignment vertical="center" wrapText="1"/>
    </xf>
    <xf numFmtId="0" fontId="28" fillId="11" borderId="22" xfId="0" applyFont="1" applyFill="1" applyBorder="1" applyAlignment="1">
      <alignment horizontal="center" vertical="center" wrapText="1"/>
    </xf>
    <xf numFmtId="4" fontId="28" fillId="11" borderId="22" xfId="0" applyNumberFormat="1" applyFont="1" applyFill="1" applyBorder="1" applyAlignment="1">
      <alignment horizontal="right" vertical="center" wrapText="1"/>
    </xf>
    <xf numFmtId="4" fontId="28" fillId="11" borderId="22" xfId="0" applyNumberFormat="1" applyFont="1" applyFill="1" applyBorder="1" applyAlignment="1">
      <alignment horizontal="right" vertical="center"/>
    </xf>
    <xf numFmtId="4" fontId="28" fillId="0" borderId="33" xfId="0" applyNumberFormat="1" applyFont="1" applyFill="1" applyBorder="1" applyAlignment="1">
      <alignment horizontal="right" vertical="center" wrapText="1"/>
    </xf>
    <xf numFmtId="0" fontId="69" fillId="0" borderId="41" xfId="0" applyFont="1" applyFill="1" applyBorder="1" applyAlignment="1">
      <alignment horizontal="center" vertical="center"/>
    </xf>
    <xf numFmtId="4" fontId="28" fillId="0" borderId="36" xfId="0" applyNumberFormat="1" applyFont="1" applyFill="1" applyBorder="1" applyAlignment="1">
      <alignment horizontal="right" vertical="center"/>
    </xf>
    <xf numFmtId="0" fontId="69" fillId="0" borderId="34" xfId="0" applyFont="1" applyFill="1" applyBorder="1" applyAlignment="1">
      <alignment horizontal="center" vertical="center"/>
    </xf>
    <xf numFmtId="4" fontId="27" fillId="0" borderId="0" xfId="0" applyNumberFormat="1" applyFont="1" applyFill="1" applyBorder="1" applyAlignment="1">
      <alignment horizontal="left" vertical="top" wrapText="1"/>
    </xf>
    <xf numFmtId="4" fontId="27" fillId="0" borderId="1" xfId="0" applyNumberFormat="1" applyFont="1" applyFill="1" applyBorder="1" applyAlignment="1">
      <alignment horizontal="left" vertical="top" wrapText="1"/>
    </xf>
    <xf numFmtId="176" fontId="27" fillId="0" borderId="36" xfId="0" applyNumberFormat="1" applyFont="1" applyFill="1" applyBorder="1" applyAlignment="1">
      <alignment horizontal="center" vertical="center" wrapText="1"/>
    </xf>
    <xf numFmtId="4" fontId="27" fillId="0" borderId="1" xfId="0" applyNumberFormat="1" applyFont="1" applyFill="1" applyBorder="1" applyAlignment="1">
      <alignment horizontal="center" vertical="center" wrapText="1"/>
    </xf>
    <xf numFmtId="0" fontId="28" fillId="0" borderId="41" xfId="0" applyFont="1" applyFill="1" applyBorder="1" applyAlignment="1">
      <alignment horizontal="center" vertical="center"/>
    </xf>
    <xf numFmtId="4" fontId="33" fillId="0" borderId="44" xfId="0" applyNumberFormat="1" applyFont="1" applyFill="1" applyBorder="1" applyAlignment="1">
      <alignment horizontal="left" vertical="top" wrapText="1"/>
    </xf>
    <xf numFmtId="4" fontId="27" fillId="13" borderId="0" xfId="0" applyNumberFormat="1" applyFont="1" applyFill="1"/>
    <xf numFmtId="0" fontId="27" fillId="13" borderId="0" xfId="0" applyFont="1" applyFill="1"/>
    <xf numFmtId="0" fontId="69" fillId="0" borderId="0" xfId="0" applyFont="1" applyAlignment="1">
      <alignment horizontal="left" vertical="center"/>
    </xf>
    <xf numFmtId="176" fontId="27" fillId="0" borderId="33" xfId="0" applyNumberFormat="1" applyFont="1" applyFill="1" applyBorder="1" applyAlignment="1">
      <alignment horizontal="center" vertical="center" wrapText="1"/>
    </xf>
    <xf numFmtId="4" fontId="27" fillId="0" borderId="10" xfId="0" applyNumberFormat="1" applyFont="1" applyFill="1" applyBorder="1" applyAlignment="1">
      <alignment horizontal="center" vertical="center" wrapText="1"/>
    </xf>
    <xf numFmtId="4" fontId="27" fillId="0" borderId="10" xfId="0" applyNumberFormat="1" applyFont="1" applyFill="1" applyBorder="1" applyAlignment="1">
      <alignment horizontal="left" vertical="top" wrapText="1"/>
    </xf>
    <xf numFmtId="0" fontId="0" fillId="0" borderId="0" xfId="0" applyAlignment="1">
      <alignment horizontal="left" vertical="center"/>
    </xf>
    <xf numFmtId="0" fontId="69" fillId="0" borderId="0" xfId="0" applyFont="1" applyAlignment="1">
      <alignment horizontal="left" vertical="top"/>
    </xf>
    <xf numFmtId="4" fontId="27" fillId="0" borderId="46" xfId="0" applyNumberFormat="1" applyFont="1" applyFill="1" applyBorder="1" applyAlignment="1">
      <alignment horizontal="left" vertical="top" wrapText="1"/>
    </xf>
    <xf numFmtId="0" fontId="65" fillId="0" borderId="1" xfId="0" applyFont="1" applyBorder="1" applyAlignment="1">
      <alignment horizontal="left" vertical="center" wrapText="1"/>
    </xf>
    <xf numFmtId="0" fontId="69" fillId="0" borderId="1" xfId="0" applyFont="1" applyBorder="1" applyAlignment="1">
      <alignment horizontal="left" vertical="center" wrapText="1"/>
    </xf>
    <xf numFmtId="0" fontId="49" fillId="0" borderId="1" xfId="0" applyFont="1" applyBorder="1" applyAlignment="1">
      <alignment horizontal="center" vertical="center" wrapText="1"/>
    </xf>
    <xf numFmtId="4" fontId="27" fillId="0" borderId="10" xfId="0" applyNumberFormat="1" applyFont="1" applyFill="1" applyBorder="1" applyAlignment="1">
      <alignment horizontal="left" vertical="top" wrapText="1"/>
    </xf>
    <xf numFmtId="176" fontId="27" fillId="0" borderId="33" xfId="0" applyNumberFormat="1" applyFont="1" applyFill="1" applyBorder="1" applyAlignment="1">
      <alignment horizontal="center" vertical="center" wrapText="1"/>
    </xf>
    <xf numFmtId="4" fontId="27" fillId="0" borderId="10" xfId="0" applyNumberFormat="1" applyFont="1" applyFill="1" applyBorder="1" applyAlignment="1">
      <alignment horizontal="center" vertical="center" wrapText="1"/>
    </xf>
    <xf numFmtId="0" fontId="27" fillId="0" borderId="10" xfId="0" applyFont="1" applyFill="1" applyBorder="1" applyAlignment="1">
      <alignment vertical="center" wrapText="1"/>
    </xf>
    <xf numFmtId="0" fontId="53" fillId="2" borderId="1" xfId="0" applyFont="1" applyFill="1" applyBorder="1" applyAlignment="1">
      <alignment horizontal="center" vertical="center" wrapText="1"/>
    </xf>
    <xf numFmtId="4" fontId="53" fillId="14" borderId="1" xfId="0" applyNumberFormat="1" applyFont="1" applyFill="1" applyBorder="1" applyAlignment="1">
      <alignment horizontal="right" vertical="center" wrapText="1"/>
    </xf>
    <xf numFmtId="4" fontId="53" fillId="14" borderId="1" xfId="0" applyNumberFormat="1" applyFont="1" applyFill="1" applyBorder="1" applyAlignment="1">
      <alignment horizontal="right"/>
    </xf>
    <xf numFmtId="4" fontId="98" fillId="14" borderId="1" xfId="0" applyNumberFormat="1" applyFont="1" applyFill="1" applyBorder="1" applyAlignment="1">
      <alignment horizontal="center" vertical="center" wrapText="1"/>
    </xf>
    <xf numFmtId="0" fontId="53" fillId="0" borderId="0" xfId="0" applyFont="1"/>
    <xf numFmtId="0" fontId="99" fillId="0" borderId="0" xfId="0" applyFont="1" applyAlignment="1">
      <alignment horizontal="center"/>
    </xf>
    <xf numFmtId="0" fontId="100" fillId="0" borderId="0" xfId="0" applyFont="1" applyAlignment="1">
      <alignment horizontal="center"/>
    </xf>
    <xf numFmtId="0" fontId="101" fillId="0" borderId="0" xfId="0" applyFont="1" applyAlignment="1">
      <alignment horizontal="center"/>
    </xf>
    <xf numFmtId="0" fontId="102" fillId="0" borderId="0" xfId="0" applyFont="1" applyBorder="1" applyAlignment="1"/>
    <xf numFmtId="0" fontId="53" fillId="0" borderId="11" xfId="0" applyFont="1" applyBorder="1" applyAlignment="1">
      <alignment horizontal="center" vertical="center"/>
    </xf>
    <xf numFmtId="0" fontId="53" fillId="0" borderId="12" xfId="0" applyFont="1" applyBorder="1" applyAlignment="1">
      <alignment horizontal="center" vertical="center"/>
    </xf>
    <xf numFmtId="0" fontId="49" fillId="0" borderId="0" xfId="0" applyFont="1"/>
    <xf numFmtId="0" fontId="53" fillId="0" borderId="0" xfId="0" applyFont="1" applyFill="1"/>
    <xf numFmtId="0" fontId="0" fillId="0" borderId="59" xfId="0" applyFill="1" applyBorder="1" applyAlignment="1">
      <alignment horizontal="left" vertical="top" wrapText="1"/>
    </xf>
    <xf numFmtId="4" fontId="0" fillId="0" borderId="59" xfId="0" applyNumberFormat="1" applyFill="1" applyBorder="1" applyAlignment="1">
      <alignment horizontal="left" vertical="top" wrapText="1"/>
    </xf>
    <xf numFmtId="4" fontId="61" fillId="0" borderId="1" xfId="5" applyNumberFormat="1" applyFont="1" applyFill="1" applyBorder="1" applyAlignment="1">
      <alignment horizontal="center" vertical="center" wrapText="1"/>
    </xf>
    <xf numFmtId="0" fontId="61" fillId="0" borderId="1" xfId="5" applyFont="1" applyFill="1" applyBorder="1" applyAlignment="1">
      <alignment horizontal="center" vertical="center" wrapText="1"/>
    </xf>
    <xf numFmtId="0" fontId="61" fillId="0" borderId="1" xfId="5" applyFont="1" applyFill="1" applyBorder="1" applyAlignment="1">
      <alignment horizontal="center" vertical="center"/>
    </xf>
    <xf numFmtId="0" fontId="49" fillId="0" borderId="0" xfId="0" applyFont="1" applyFill="1" applyBorder="1" applyAlignment="1">
      <alignment horizontal="center" vertical="center" wrapText="1"/>
    </xf>
    <xf numFmtId="0" fontId="37" fillId="0" borderId="0" xfId="0" applyFont="1" applyFill="1" applyBorder="1" applyAlignment="1">
      <alignment horizontal="center" vertical="center"/>
    </xf>
    <xf numFmtId="0" fontId="53" fillId="0" borderId="0" xfId="0" applyFont="1" applyFill="1" applyBorder="1" applyAlignment="1">
      <alignment horizontal="center" vertical="center" wrapText="1"/>
    </xf>
    <xf numFmtId="0" fontId="37" fillId="0" borderId="0" xfId="0" applyFont="1" applyFill="1" applyBorder="1" applyAlignment="1">
      <alignment horizontal="center" vertical="center" wrapText="1"/>
    </xf>
    <xf numFmtId="0" fontId="104" fillId="0" borderId="0" xfId="0" applyFont="1" applyFill="1" applyBorder="1"/>
    <xf numFmtId="4" fontId="53" fillId="0" borderId="0" xfId="0" applyNumberFormat="1" applyFont="1" applyFill="1" applyBorder="1" applyAlignment="1">
      <alignment horizontal="center" vertical="center" wrapText="1"/>
    </xf>
    <xf numFmtId="3" fontId="53" fillId="0" borderId="0" xfId="0" applyNumberFormat="1" applyFont="1" applyFill="1" applyBorder="1" applyAlignment="1">
      <alignment horizontal="center" vertical="center"/>
    </xf>
    <xf numFmtId="4" fontId="37" fillId="0" borderId="0" xfId="0" applyNumberFormat="1" applyFont="1" applyFill="1" applyBorder="1" applyAlignment="1">
      <alignment horizontal="center" wrapText="1"/>
    </xf>
    <xf numFmtId="0" fontId="93" fillId="0" borderId="0" xfId="0" applyFont="1" applyFill="1" applyBorder="1" applyAlignment="1">
      <alignment horizontal="center" vertical="center" wrapText="1"/>
    </xf>
    <xf numFmtId="4" fontId="37" fillId="0" borderId="0" xfId="0" applyNumberFormat="1" applyFont="1" applyFill="1" applyBorder="1" applyAlignment="1">
      <alignment horizontal="center" vertical="center" wrapText="1"/>
    </xf>
    <xf numFmtId="4" fontId="98" fillId="0" borderId="0" xfId="0" applyNumberFormat="1" applyFont="1" applyFill="1" applyBorder="1" applyAlignment="1">
      <alignment horizontal="center" vertical="center"/>
    </xf>
    <xf numFmtId="0" fontId="53" fillId="0" borderId="0" xfId="0" applyFont="1" applyFill="1" applyBorder="1"/>
    <xf numFmtId="10" fontId="53" fillId="0" borderId="0" xfId="0" applyNumberFormat="1" applyFont="1" applyFill="1" applyBorder="1"/>
    <xf numFmtId="0" fontId="103" fillId="0" borderId="0" xfId="0" applyFont="1" applyFill="1" applyBorder="1"/>
    <xf numFmtId="4" fontId="27" fillId="0" borderId="39" xfId="0" applyNumberFormat="1" applyFont="1" applyFill="1" applyBorder="1" applyAlignment="1">
      <alignment horizontal="right" vertical="center"/>
    </xf>
    <xf numFmtId="0" fontId="65" fillId="0" borderId="15" xfId="0" applyFont="1" applyFill="1" applyBorder="1" applyAlignment="1">
      <alignment horizontal="center" vertical="center"/>
    </xf>
    <xf numFmtId="0" fontId="65" fillId="0" borderId="14" xfId="0" applyFont="1" applyFill="1" applyBorder="1" applyAlignment="1">
      <alignment horizontal="center" vertical="center" wrapText="1"/>
    </xf>
    <xf numFmtId="4" fontId="28" fillId="5" borderId="3" xfId="0" applyNumberFormat="1" applyFont="1" applyFill="1" applyBorder="1" applyAlignment="1">
      <alignment horizontal="center" vertical="center" wrapText="1"/>
    </xf>
    <xf numFmtId="4" fontId="27" fillId="5" borderId="10" xfId="0" applyNumberFormat="1" applyFont="1" applyFill="1" applyBorder="1" applyAlignment="1">
      <alignment horizontal="center" vertical="center"/>
    </xf>
    <xf numFmtId="0" fontId="69" fillId="0" borderId="10" xfId="0" applyFont="1" applyFill="1" applyBorder="1" applyAlignment="1">
      <alignment wrapText="1"/>
    </xf>
    <xf numFmtId="0" fontId="27" fillId="0" borderId="16" xfId="0" applyFont="1" applyFill="1" applyBorder="1" applyAlignment="1">
      <alignment horizontal="center" vertical="center" wrapText="1"/>
    </xf>
    <xf numFmtId="0" fontId="69" fillId="0" borderId="9" xfId="0" applyFont="1" applyBorder="1" applyAlignment="1">
      <alignment horizontal="left" vertical="center" wrapText="1"/>
    </xf>
    <xf numFmtId="0" fontId="28" fillId="0" borderId="19" xfId="0" applyFont="1" applyFill="1" applyBorder="1" applyAlignment="1">
      <alignment horizontal="center" vertical="center" wrapText="1"/>
    </xf>
    <xf numFmtId="4" fontId="27" fillId="0" borderId="57" xfId="0" applyNumberFormat="1" applyFont="1" applyFill="1" applyBorder="1" applyAlignment="1">
      <alignment vertical="center" wrapText="1"/>
    </xf>
    <xf numFmtId="4" fontId="27" fillId="0" borderId="12" xfId="0" applyNumberFormat="1" applyFont="1" applyFill="1" applyBorder="1" applyAlignment="1">
      <alignment horizontal="left" vertical="top" wrapText="1"/>
    </xf>
    <xf numFmtId="0" fontId="28" fillId="0" borderId="43" xfId="0" applyFont="1" applyFill="1" applyBorder="1" applyAlignment="1">
      <alignment horizontal="center" vertical="center"/>
    </xf>
    <xf numFmtId="4" fontId="28" fillId="5" borderId="9" xfId="0" applyNumberFormat="1" applyFont="1" applyFill="1" applyBorder="1" applyAlignment="1">
      <alignment horizontal="right" vertical="center" wrapText="1"/>
    </xf>
    <xf numFmtId="4" fontId="95" fillId="5" borderId="9" xfId="0" applyNumberFormat="1" applyFont="1" applyFill="1" applyBorder="1" applyAlignment="1">
      <alignment horizontal="right" vertical="center" wrapText="1"/>
    </xf>
    <xf numFmtId="4" fontId="27" fillId="0" borderId="15" xfId="0" applyNumberFormat="1" applyFont="1" applyFill="1" applyBorder="1" applyAlignment="1">
      <alignment horizontal="right" vertical="center"/>
    </xf>
    <xf numFmtId="0" fontId="28" fillId="0" borderId="15" xfId="0" applyFont="1" applyFill="1" applyBorder="1" applyAlignment="1">
      <alignment horizontal="center" vertical="center" wrapText="1"/>
    </xf>
    <xf numFmtId="4" fontId="27" fillId="0" borderId="57" xfId="0" applyNumberFormat="1" applyFont="1" applyFill="1" applyBorder="1" applyAlignment="1">
      <alignment horizontal="left" vertical="top" wrapText="1"/>
    </xf>
    <xf numFmtId="4" fontId="27" fillId="0" borderId="58" xfId="0" applyNumberFormat="1" applyFont="1" applyFill="1" applyBorder="1" applyAlignment="1">
      <alignment horizontal="left" vertical="top" wrapText="1"/>
    </xf>
    <xf numFmtId="4" fontId="27" fillId="0" borderId="62" xfId="0" applyNumberFormat="1" applyFont="1" applyFill="1" applyBorder="1" applyAlignment="1">
      <alignment horizontal="left" vertical="top" wrapText="1"/>
    </xf>
    <xf numFmtId="4" fontId="28" fillId="0" borderId="39" xfId="0" applyNumberFormat="1" applyFont="1" applyFill="1" applyBorder="1" applyAlignment="1">
      <alignment horizontal="right" vertical="center"/>
    </xf>
    <xf numFmtId="4" fontId="27" fillId="0" borderId="38" xfId="0" applyNumberFormat="1" applyFont="1" applyFill="1" applyBorder="1" applyAlignment="1">
      <alignment horizontal="right" vertical="center" wrapText="1"/>
    </xf>
    <xf numFmtId="4" fontId="27" fillId="0" borderId="3" xfId="0" applyNumberFormat="1" applyFont="1" applyFill="1" applyBorder="1" applyAlignment="1">
      <alignment horizontal="right" vertical="center" wrapText="1"/>
    </xf>
    <xf numFmtId="4" fontId="27" fillId="0" borderId="15" xfId="0" applyNumberFormat="1" applyFont="1" applyFill="1" applyBorder="1" applyAlignment="1">
      <alignment horizontal="right" vertical="center" wrapText="1"/>
    </xf>
    <xf numFmtId="0" fontId="37" fillId="2" borderId="1" xfId="0" applyFont="1" applyFill="1" applyBorder="1" applyAlignment="1">
      <alignment horizontal="center" vertical="center" wrapText="1"/>
    </xf>
    <xf numFmtId="0" fontId="49" fillId="2" borderId="1" xfId="0" applyFont="1" applyFill="1" applyBorder="1" applyAlignment="1">
      <alignment horizontal="center" vertical="center"/>
    </xf>
    <xf numFmtId="0" fontId="61" fillId="2" borderId="1" xfId="5" applyFont="1" applyFill="1" applyBorder="1" applyAlignment="1">
      <alignment horizontal="center" vertical="center" wrapText="1"/>
    </xf>
    <xf numFmtId="0" fontId="69" fillId="0" borderId="10" xfId="0" applyFont="1" applyBorder="1" applyAlignment="1">
      <alignment horizontal="left" vertical="center" wrapText="1"/>
    </xf>
    <xf numFmtId="0" fontId="69" fillId="0" borderId="38" xfId="0" applyFont="1" applyFill="1" applyBorder="1" applyAlignment="1">
      <alignment horizontal="center" vertical="center"/>
    </xf>
    <xf numFmtId="0" fontId="69" fillId="0" borderId="38" xfId="0" applyFont="1" applyFill="1" applyBorder="1" applyAlignment="1">
      <alignment horizontal="center" vertical="center" wrapText="1"/>
    </xf>
    <xf numFmtId="0" fontId="69" fillId="0" borderId="39" xfId="0" applyFont="1" applyFill="1" applyBorder="1" applyAlignment="1">
      <alignment horizontal="center" vertical="center" wrapText="1"/>
    </xf>
    <xf numFmtId="0" fontId="69" fillId="0" borderId="16" xfId="0" applyFont="1" applyFill="1" applyBorder="1" applyAlignment="1">
      <alignment horizontal="left" vertical="center" wrapText="1"/>
    </xf>
    <xf numFmtId="0" fontId="27" fillId="0" borderId="39" xfId="0" applyFont="1" applyFill="1" applyBorder="1" applyAlignment="1">
      <alignment horizontal="center" vertical="center" wrapText="1"/>
    </xf>
    <xf numFmtId="0" fontId="27" fillId="0" borderId="14" xfId="0" applyFont="1" applyFill="1" applyBorder="1" applyAlignment="1">
      <alignment horizontal="center" vertical="center" wrapText="1"/>
    </xf>
    <xf numFmtId="0" fontId="65" fillId="0" borderId="8" xfId="0" applyFont="1" applyFill="1" applyBorder="1" applyAlignment="1">
      <alignment vertical="center" wrapText="1"/>
    </xf>
    <xf numFmtId="0" fontId="65" fillId="0" borderId="8" xfId="0" applyFont="1" applyFill="1" applyBorder="1" applyAlignment="1">
      <alignment wrapText="1"/>
    </xf>
    <xf numFmtId="0" fontId="69" fillId="2" borderId="1" xfId="0" applyFont="1" applyFill="1" applyBorder="1" applyAlignment="1">
      <alignment horizontal="center" vertical="center"/>
    </xf>
    <xf numFmtId="0" fontId="69" fillId="2" borderId="1" xfId="0" applyFont="1" applyFill="1" applyBorder="1" applyAlignment="1">
      <alignment vertical="center" wrapText="1"/>
    </xf>
    <xf numFmtId="4" fontId="69" fillId="2" borderId="1" xfId="0" applyNumberFormat="1" applyFont="1" applyFill="1" applyBorder="1" applyAlignment="1">
      <alignment horizontal="right" vertical="center" wrapText="1"/>
    </xf>
    <xf numFmtId="4" fontId="52" fillId="2" borderId="1" xfId="0" applyNumberFormat="1" applyFont="1" applyFill="1" applyBorder="1" applyAlignment="1">
      <alignment horizontal="center" vertical="center"/>
    </xf>
    <xf numFmtId="4" fontId="53" fillId="2" borderId="1" xfId="0" applyNumberFormat="1" applyFont="1" applyFill="1" applyBorder="1" applyAlignment="1">
      <alignment horizontal="center" vertical="center" wrapText="1"/>
    </xf>
    <xf numFmtId="0" fontId="53" fillId="2" borderId="1" xfId="0" applyFont="1" applyFill="1" applyBorder="1" applyAlignment="1">
      <alignment horizontal="left" vertical="center" wrapText="1"/>
    </xf>
    <xf numFmtId="4" fontId="49" fillId="2" borderId="1" xfId="0" applyNumberFormat="1" applyFont="1" applyFill="1" applyBorder="1" applyAlignment="1">
      <alignment horizontal="center" vertical="center" wrapText="1"/>
    </xf>
    <xf numFmtId="4" fontId="53" fillId="2" borderId="1" xfId="0" applyNumberFormat="1" applyFont="1" applyFill="1" applyBorder="1" applyAlignment="1">
      <alignment horizontal="right" vertical="center" wrapText="1"/>
    </xf>
    <xf numFmtId="4" fontId="53" fillId="2" borderId="1" xfId="0" applyNumberFormat="1" applyFont="1" applyFill="1" applyBorder="1" applyAlignment="1">
      <alignment horizontal="right"/>
    </xf>
    <xf numFmtId="4" fontId="37" fillId="2" borderId="1" xfId="0" applyNumberFormat="1" applyFont="1" applyFill="1" applyBorder="1" applyAlignment="1">
      <alignment horizontal="center" vertical="center" wrapText="1"/>
    </xf>
    <xf numFmtId="4" fontId="98" fillId="2" borderId="1" xfId="0" applyNumberFormat="1" applyFont="1" applyFill="1" applyBorder="1" applyAlignment="1">
      <alignment horizontal="center" vertical="center" wrapText="1"/>
    </xf>
    <xf numFmtId="0" fontId="62" fillId="2" borderId="0" xfId="0" applyFont="1" applyFill="1" applyBorder="1" applyAlignment="1">
      <alignment horizontal="center"/>
    </xf>
    <xf numFmtId="0" fontId="62" fillId="2" borderId="0" xfId="0" applyFont="1" applyFill="1" applyBorder="1" applyAlignment="1">
      <alignment horizontal="center" wrapText="1"/>
    </xf>
    <xf numFmtId="4" fontId="62" fillId="2" borderId="0" xfId="0" applyNumberFormat="1" applyFont="1" applyFill="1" applyBorder="1" applyAlignment="1">
      <alignment horizontal="center" wrapText="1"/>
    </xf>
    <xf numFmtId="3" fontId="62" fillId="2" borderId="0" xfId="0" applyNumberFormat="1" applyFont="1" applyFill="1" applyBorder="1" applyAlignment="1">
      <alignment horizontal="center" wrapText="1"/>
    </xf>
    <xf numFmtId="0" fontId="37" fillId="2" borderId="2" xfId="0" applyFont="1" applyFill="1" applyBorder="1" applyAlignment="1">
      <alignment horizontal="center" vertical="center" wrapText="1"/>
    </xf>
    <xf numFmtId="4" fontId="75" fillId="2" borderId="0" xfId="0" applyNumberFormat="1" applyFont="1" applyFill="1" applyBorder="1" applyAlignment="1">
      <alignment horizontal="center" wrapText="1"/>
    </xf>
    <xf numFmtId="0" fontId="61" fillId="2" borderId="0" xfId="0" applyFont="1" applyFill="1" applyBorder="1" applyAlignment="1">
      <alignment horizontal="center" vertical="center"/>
    </xf>
    <xf numFmtId="0" fontId="62" fillId="2" borderId="0" xfId="5" applyFont="1" applyFill="1" applyBorder="1" applyAlignment="1">
      <alignment vertical="center" wrapText="1"/>
    </xf>
    <xf numFmtId="49" fontId="62" fillId="2" borderId="0" xfId="5" applyNumberFormat="1" applyFont="1" applyFill="1" applyBorder="1" applyAlignment="1">
      <alignment horizontal="center" vertical="center" wrapText="1"/>
    </xf>
    <xf numFmtId="4" fontId="53" fillId="2" borderId="0" xfId="0" applyNumberFormat="1" applyFont="1" applyFill="1" applyBorder="1" applyAlignment="1">
      <alignment horizontal="center" vertical="center" wrapText="1"/>
    </xf>
    <xf numFmtId="0" fontId="63" fillId="2" borderId="0" xfId="0" applyFont="1" applyFill="1" applyBorder="1" applyAlignment="1">
      <alignment vertical="center" wrapText="1"/>
    </xf>
    <xf numFmtId="0" fontId="63" fillId="2" borderId="0" xfId="0" applyFont="1" applyFill="1" applyBorder="1" applyAlignment="1">
      <alignment horizontal="center" vertical="center"/>
    </xf>
    <xf numFmtId="0" fontId="37" fillId="2" borderId="0" xfId="0" applyFont="1" applyFill="1" applyBorder="1" applyAlignment="1">
      <alignment horizontal="center" vertical="center" wrapText="1"/>
    </xf>
    <xf numFmtId="0" fontId="37" fillId="2" borderId="0" xfId="0" applyFont="1" applyFill="1" applyBorder="1" applyAlignment="1">
      <alignment horizontal="center" vertical="center"/>
    </xf>
    <xf numFmtId="3" fontId="53" fillId="2" borderId="0" xfId="0" applyNumberFormat="1" applyFont="1" applyFill="1" applyBorder="1" applyAlignment="1">
      <alignment horizontal="center" vertical="center"/>
    </xf>
    <xf numFmtId="0" fontId="61" fillId="2" borderId="1" xfId="0" applyFont="1" applyFill="1" applyBorder="1" applyAlignment="1">
      <alignment horizontal="center"/>
    </xf>
    <xf numFmtId="0" fontId="81" fillId="2" borderId="7" xfId="0" applyFont="1" applyFill="1" applyBorder="1" applyAlignment="1">
      <alignment horizontal="center" vertical="center" wrapText="1"/>
    </xf>
    <xf numFmtId="0" fontId="81" fillId="2" borderId="1" xfId="0" applyFont="1" applyFill="1" applyBorder="1" applyAlignment="1">
      <alignment horizontal="center" vertical="center" wrapText="1"/>
    </xf>
    <xf numFmtId="0" fontId="81" fillId="2" borderId="0" xfId="0" applyFont="1" applyFill="1" applyBorder="1" applyAlignment="1">
      <alignment horizontal="center" vertical="center" wrapText="1"/>
    </xf>
    <xf numFmtId="0" fontId="65" fillId="2" borderId="7" xfId="0" applyFont="1" applyFill="1" applyBorder="1" applyAlignment="1">
      <alignment vertical="center" wrapText="1"/>
    </xf>
    <xf numFmtId="0" fontId="65" fillId="2" borderId="0" xfId="0" applyFont="1" applyFill="1" applyBorder="1" applyAlignment="1">
      <alignment vertical="center" wrapText="1"/>
    </xf>
    <xf numFmtId="0" fontId="73" fillId="2" borderId="0" xfId="0" applyFont="1" applyFill="1" applyBorder="1" applyAlignment="1">
      <alignment horizontal="center" vertical="center" wrapText="1"/>
    </xf>
    <xf numFmtId="0" fontId="61" fillId="2" borderId="1" xfId="0" applyFont="1" applyFill="1" applyBorder="1"/>
    <xf numFmtId="0" fontId="82" fillId="2" borderId="7" xfId="0" applyFont="1" applyFill="1" applyBorder="1" applyAlignment="1">
      <alignment vertical="center" wrapText="1"/>
    </xf>
    <xf numFmtId="4" fontId="65" fillId="2" borderId="0" xfId="0" applyNumberFormat="1" applyFont="1" applyFill="1" applyBorder="1" applyAlignment="1">
      <alignment horizontal="center" vertical="center" wrapText="1"/>
    </xf>
    <xf numFmtId="0" fontId="94" fillId="2" borderId="1" xfId="0" applyFont="1" applyFill="1" applyBorder="1" applyAlignment="1">
      <alignment horizontal="center" vertical="center"/>
    </xf>
    <xf numFmtId="0" fontId="72" fillId="2" borderId="1" xfId="0" applyFont="1" applyFill="1" applyBorder="1"/>
    <xf numFmtId="4" fontId="72" fillId="2" borderId="1" xfId="0" applyNumberFormat="1" applyFont="1" applyFill="1" applyBorder="1" applyAlignment="1">
      <alignment vertical="center"/>
    </xf>
    <xf numFmtId="4" fontId="62" fillId="2" borderId="1" xfId="0" applyNumberFormat="1" applyFont="1" applyFill="1" applyBorder="1"/>
    <xf numFmtId="4" fontId="61" fillId="2" borderId="0" xfId="0" applyNumberFormat="1" applyFont="1" applyFill="1"/>
    <xf numFmtId="4" fontId="62" fillId="2" borderId="1" xfId="5" applyNumberFormat="1" applyFont="1" applyFill="1" applyBorder="1" applyAlignment="1">
      <alignment horizontal="right" vertical="center" wrapText="1"/>
    </xf>
    <xf numFmtId="49" fontId="61" fillId="2" borderId="1" xfId="5" applyNumberFormat="1" applyFont="1" applyFill="1" applyBorder="1" applyAlignment="1">
      <alignment vertical="center" wrapText="1"/>
    </xf>
    <xf numFmtId="4" fontId="28" fillId="5" borderId="3" xfId="0" applyNumberFormat="1" applyFont="1" applyFill="1" applyBorder="1" applyAlignment="1">
      <alignment horizontal="right" vertical="center" wrapText="1"/>
    </xf>
    <xf numFmtId="4" fontId="28" fillId="5" borderId="38" xfId="0" applyNumberFormat="1" applyFont="1" applyFill="1" applyBorder="1" applyAlignment="1">
      <alignment horizontal="right" vertical="center" wrapText="1"/>
    </xf>
    <xf numFmtId="4" fontId="28" fillId="5" borderId="15" xfId="0" applyNumberFormat="1" applyFont="1" applyFill="1" applyBorder="1" applyAlignment="1">
      <alignment horizontal="right" vertical="center" wrapText="1"/>
    </xf>
    <xf numFmtId="4" fontId="28" fillId="0" borderId="3" xfId="0" applyNumberFormat="1" applyFont="1" applyFill="1" applyBorder="1" applyAlignment="1">
      <alignment horizontal="right" vertical="center" wrapText="1"/>
    </xf>
    <xf numFmtId="4" fontId="69" fillId="0" borderId="3" xfId="0" applyNumberFormat="1" applyFont="1" applyFill="1" applyBorder="1" applyAlignment="1">
      <alignment horizontal="right" vertical="center" wrapText="1"/>
    </xf>
    <xf numFmtId="4" fontId="69" fillId="0" borderId="38" xfId="0" applyNumberFormat="1" applyFont="1" applyFill="1" applyBorder="1" applyAlignment="1">
      <alignment horizontal="right" vertical="center" wrapText="1"/>
    </xf>
    <xf numFmtId="4" fontId="28" fillId="0" borderId="15" xfId="0" applyNumberFormat="1" applyFont="1" applyFill="1" applyBorder="1" applyAlignment="1">
      <alignment horizontal="right" vertical="center" wrapText="1"/>
    </xf>
    <xf numFmtId="4" fontId="28" fillId="11" borderId="17" xfId="0" applyNumberFormat="1" applyFont="1" applyFill="1" applyBorder="1" applyAlignment="1">
      <alignment horizontal="right" vertical="center" wrapText="1"/>
    </xf>
    <xf numFmtId="4" fontId="28" fillId="5" borderId="2" xfId="0" applyNumberFormat="1" applyFont="1" applyFill="1" applyBorder="1" applyAlignment="1">
      <alignment horizontal="right" vertical="center" wrapText="1"/>
    </xf>
    <xf numFmtId="4" fontId="28" fillId="5" borderId="0" xfId="0" applyNumberFormat="1" applyFont="1" applyFill="1" applyBorder="1" applyAlignment="1">
      <alignment horizontal="right" vertical="center" wrapText="1"/>
    </xf>
    <xf numFmtId="4" fontId="28" fillId="5" borderId="4" xfId="0" applyNumberFormat="1" applyFont="1" applyFill="1" applyBorder="1" applyAlignment="1">
      <alignment horizontal="right" vertical="center" wrapText="1"/>
    </xf>
    <xf numFmtId="4" fontId="69" fillId="0" borderId="4" xfId="0" applyNumberFormat="1" applyFont="1" applyFill="1" applyBorder="1" applyAlignment="1">
      <alignment horizontal="right" vertical="center"/>
    </xf>
    <xf numFmtId="4" fontId="27" fillId="2" borderId="4" xfId="0" applyNumberFormat="1" applyFont="1" applyFill="1" applyBorder="1" applyAlignment="1">
      <alignment horizontal="right" vertical="center"/>
    </xf>
    <xf numFmtId="4" fontId="28" fillId="2" borderId="2" xfId="0" applyNumberFormat="1" applyFont="1" applyFill="1" applyBorder="1" applyAlignment="1">
      <alignment horizontal="right" vertical="center"/>
    </xf>
    <xf numFmtId="4" fontId="28" fillId="2" borderId="11" xfId="0" applyNumberFormat="1" applyFont="1" applyFill="1" applyBorder="1" applyAlignment="1">
      <alignment horizontal="right" vertical="center"/>
    </xf>
    <xf numFmtId="4" fontId="28" fillId="2" borderId="4" xfId="0" applyNumberFormat="1" applyFont="1" applyFill="1" applyBorder="1" applyAlignment="1">
      <alignment horizontal="right" vertical="center"/>
    </xf>
    <xf numFmtId="4" fontId="28" fillId="5" borderId="11" xfId="0" applyNumberFormat="1" applyFont="1" applyFill="1" applyBorder="1" applyAlignment="1">
      <alignment horizontal="right" vertical="center" wrapText="1"/>
    </xf>
    <xf numFmtId="4" fontId="28" fillId="11" borderId="56" xfId="0" applyNumberFormat="1" applyFont="1" applyFill="1" applyBorder="1" applyAlignment="1">
      <alignment horizontal="right" vertical="center"/>
    </xf>
    <xf numFmtId="0" fontId="27" fillId="0" borderId="8" xfId="0" applyFont="1" applyFill="1" applyBorder="1"/>
    <xf numFmtId="4" fontId="27" fillId="0" borderId="16" xfId="0" applyNumberFormat="1" applyFont="1" applyFill="1" applyBorder="1" applyAlignment="1">
      <alignment vertical="center" wrapText="1"/>
    </xf>
    <xf numFmtId="4" fontId="27" fillId="0" borderId="16" xfId="0" applyNumberFormat="1" applyFont="1" applyFill="1" applyBorder="1" applyAlignment="1">
      <alignment horizontal="left" vertical="top" wrapText="1"/>
    </xf>
    <xf numFmtId="4" fontId="28" fillId="11" borderId="9" xfId="0" applyNumberFormat="1" applyFont="1" applyFill="1" applyBorder="1" applyAlignment="1">
      <alignment horizontal="right" vertical="center" wrapText="1"/>
    </xf>
    <xf numFmtId="4" fontId="65" fillId="0" borderId="8" xfId="0" applyNumberFormat="1" applyFont="1" applyFill="1" applyBorder="1" applyAlignment="1">
      <alignment horizontal="left" vertical="center"/>
    </xf>
    <xf numFmtId="4" fontId="27" fillId="0" borderId="9" xfId="0" applyNumberFormat="1" applyFont="1" applyFill="1" applyBorder="1" applyAlignment="1">
      <alignment horizontal="center" vertical="top"/>
    </xf>
    <xf numFmtId="4" fontId="27" fillId="0" borderId="1" xfId="0" applyNumberFormat="1" applyFont="1" applyFill="1" applyBorder="1" applyAlignment="1">
      <alignment horizontal="right" vertical="center"/>
    </xf>
    <xf numFmtId="4" fontId="28" fillId="0" borderId="12" xfId="0" applyNumberFormat="1" applyFont="1" applyFill="1" applyBorder="1" applyAlignment="1">
      <alignment horizontal="right" vertical="center"/>
    </xf>
    <xf numFmtId="0" fontId="28" fillId="0" borderId="9" xfId="0" applyFont="1" applyFill="1" applyBorder="1" applyAlignment="1">
      <alignment horizontal="center" vertical="center"/>
    </xf>
    <xf numFmtId="4" fontId="28" fillId="5" borderId="42" xfId="0" applyNumberFormat="1" applyFont="1" applyFill="1" applyBorder="1" applyAlignment="1">
      <alignment horizontal="right" vertical="center" wrapText="1"/>
    </xf>
    <xf numFmtId="4" fontId="27" fillId="0" borderId="25" xfId="0" applyNumberFormat="1" applyFont="1" applyFill="1" applyBorder="1" applyAlignment="1">
      <alignment horizontal="right" vertical="center"/>
    </xf>
    <xf numFmtId="0" fontId="27" fillId="0" borderId="40" xfId="0" applyFont="1" applyFill="1" applyBorder="1" applyAlignment="1">
      <alignment horizontal="center" vertical="center"/>
    </xf>
    <xf numFmtId="0" fontId="27" fillId="0" borderId="19" xfId="0" applyFont="1" applyFill="1" applyBorder="1" applyAlignment="1">
      <alignment horizontal="center" vertical="center"/>
    </xf>
    <xf numFmtId="4" fontId="28" fillId="11" borderId="44" xfId="0" applyNumberFormat="1" applyFont="1" applyFill="1" applyBorder="1" applyAlignment="1">
      <alignment horizontal="right" vertical="center"/>
    </xf>
    <xf numFmtId="4" fontId="27" fillId="0" borderId="57" xfId="0" applyNumberFormat="1" applyFont="1" applyBorder="1" applyAlignment="1">
      <alignment vertical="center" wrapText="1"/>
    </xf>
    <xf numFmtId="0" fontId="27" fillId="0" borderId="12" xfId="0" applyFont="1" applyFill="1" applyBorder="1" applyAlignment="1">
      <alignment horizontal="left" vertical="top" wrapText="1"/>
    </xf>
    <xf numFmtId="0" fontId="27" fillId="0" borderId="16" xfId="0" applyFont="1" applyFill="1" applyBorder="1" applyAlignment="1">
      <alignment horizontal="left" vertical="top" wrapText="1"/>
    </xf>
    <xf numFmtId="4" fontId="27" fillId="0" borderId="12" xfId="0" applyNumberFormat="1" applyFont="1" applyFill="1" applyBorder="1" applyAlignment="1">
      <alignment vertical="center" wrapText="1"/>
    </xf>
    <xf numFmtId="4" fontId="51" fillId="0" borderId="63" xfId="15" applyNumberFormat="1" applyFont="1" applyFill="1" applyBorder="1" applyAlignment="1">
      <alignment horizontal="center" vertical="center" wrapText="1"/>
    </xf>
    <xf numFmtId="4" fontId="33" fillId="0" borderId="42" xfId="15" applyNumberFormat="1" applyFont="1" applyFill="1" applyBorder="1" applyAlignment="1">
      <alignment horizontal="center" vertical="center" wrapText="1"/>
    </xf>
    <xf numFmtId="4" fontId="52" fillId="11" borderId="42" xfId="0" applyNumberFormat="1" applyFont="1" applyFill="1" applyBorder="1" applyAlignment="1">
      <alignment horizontal="right" vertical="center" wrapText="1"/>
    </xf>
    <xf numFmtId="4" fontId="27" fillId="0" borderId="25" xfId="0" applyNumberFormat="1" applyFont="1" applyFill="1" applyBorder="1" applyAlignment="1">
      <alignment horizontal="right" vertical="center" wrapText="1"/>
    </xf>
    <xf numFmtId="4" fontId="27" fillId="0" borderId="61" xfId="0" applyNumberFormat="1" applyFont="1" applyFill="1" applyBorder="1" applyAlignment="1">
      <alignment horizontal="right" vertical="center" wrapText="1"/>
    </xf>
    <xf numFmtId="4" fontId="27" fillId="0" borderId="26" xfId="0" applyNumberFormat="1" applyFont="1" applyFill="1" applyBorder="1" applyAlignment="1">
      <alignment horizontal="right" vertical="center" wrapText="1"/>
    </xf>
    <xf numFmtId="4" fontId="28" fillId="0" borderId="25" xfId="0" applyNumberFormat="1" applyFont="1" applyFill="1" applyBorder="1" applyAlignment="1">
      <alignment horizontal="right" vertical="center" wrapText="1"/>
    </xf>
    <xf numFmtId="4" fontId="28" fillId="0" borderId="61" xfId="0" applyNumberFormat="1" applyFont="1" applyFill="1" applyBorder="1" applyAlignment="1">
      <alignment horizontal="right" vertical="center" wrapText="1"/>
    </xf>
    <xf numFmtId="4" fontId="28" fillId="0" borderId="26" xfId="0" applyNumberFormat="1" applyFont="1" applyFill="1" applyBorder="1" applyAlignment="1">
      <alignment horizontal="right" vertical="center" wrapText="1"/>
    </xf>
    <xf numFmtId="4" fontId="28" fillId="0" borderId="61" xfId="0" applyNumberFormat="1" applyFont="1" applyFill="1" applyBorder="1" applyAlignment="1">
      <alignment horizontal="right" vertical="center"/>
    </xf>
    <xf numFmtId="4" fontId="69" fillId="0" borderId="25" xfId="0" applyNumberFormat="1" applyFont="1" applyFill="1" applyBorder="1" applyAlignment="1">
      <alignment horizontal="right" vertical="center"/>
    </xf>
    <xf numFmtId="4" fontId="69" fillId="0" borderId="61" xfId="0" applyNumberFormat="1" applyFont="1" applyFill="1" applyBorder="1" applyAlignment="1">
      <alignment horizontal="right" vertical="center"/>
    </xf>
    <xf numFmtId="4" fontId="28" fillId="11" borderId="33" xfId="0" applyNumberFormat="1" applyFont="1" applyFill="1" applyBorder="1" applyAlignment="1">
      <alignment horizontal="right" vertical="center" wrapText="1"/>
    </xf>
    <xf numFmtId="4" fontId="69" fillId="0" borderId="33" xfId="0" applyNumberFormat="1" applyFont="1" applyFill="1" applyBorder="1" applyAlignment="1">
      <alignment horizontal="right" vertical="center"/>
    </xf>
    <xf numFmtId="4" fontId="28" fillId="0" borderId="47" xfId="0" applyNumberFormat="1" applyFont="1" applyFill="1" applyBorder="1" applyAlignment="1">
      <alignment horizontal="center" vertical="center"/>
    </xf>
    <xf numFmtId="4" fontId="28" fillId="0" borderId="24" xfId="0" applyNumberFormat="1" applyFont="1" applyFill="1" applyBorder="1" applyAlignment="1">
      <alignment horizontal="right" vertical="center"/>
    </xf>
    <xf numFmtId="4" fontId="69" fillId="0" borderId="42" xfId="0" applyNumberFormat="1" applyFont="1" applyFill="1" applyBorder="1" applyAlignment="1">
      <alignment horizontal="right" vertical="center"/>
    </xf>
    <xf numFmtId="4" fontId="65" fillId="0" borderId="35" xfId="0" applyNumberFormat="1" applyFont="1" applyFill="1" applyBorder="1" applyAlignment="1">
      <alignment horizontal="right" vertical="center"/>
    </xf>
    <xf numFmtId="0" fontId="28" fillId="0" borderId="7" xfId="0" applyFont="1" applyFill="1" applyBorder="1" applyAlignment="1">
      <alignment horizontal="center" vertical="center" wrapText="1"/>
    </xf>
    <xf numFmtId="4" fontId="69" fillId="0" borderId="1" xfId="0" applyNumberFormat="1" applyFont="1" applyFill="1" applyBorder="1" applyAlignment="1">
      <alignment horizontal="right" vertical="center" wrapText="1"/>
    </xf>
    <xf numFmtId="4" fontId="27" fillId="0" borderId="16" xfId="0" applyNumberFormat="1" applyFont="1" applyFill="1" applyBorder="1" applyAlignment="1">
      <alignment horizontal="right" vertical="center" wrapText="1"/>
    </xf>
    <xf numFmtId="0" fontId="28" fillId="0" borderId="18" xfId="0" applyFont="1" applyFill="1" applyBorder="1" applyAlignment="1">
      <alignment horizontal="center" vertical="center"/>
    </xf>
    <xf numFmtId="0" fontId="28" fillId="0" borderId="10" xfId="0" applyFont="1" applyFill="1" applyBorder="1" applyAlignment="1">
      <alignment horizontal="center" vertical="center"/>
    </xf>
    <xf numFmtId="0" fontId="28" fillId="0" borderId="2" xfId="0" applyFont="1" applyFill="1" applyBorder="1" applyAlignment="1">
      <alignment horizontal="center" vertical="center"/>
    </xf>
    <xf numFmtId="0" fontId="28" fillId="0" borderId="1" xfId="0" applyFont="1" applyFill="1" applyBorder="1" applyAlignment="1">
      <alignment horizontal="center" vertical="center"/>
    </xf>
    <xf numFmtId="0" fontId="28" fillId="0" borderId="8" xfId="0" applyFont="1" applyFill="1" applyBorder="1" applyAlignment="1">
      <alignment horizontal="center" vertical="center"/>
    </xf>
    <xf numFmtId="4" fontId="27" fillId="0" borderId="11" xfId="0" applyNumberFormat="1" applyFont="1" applyFill="1" applyBorder="1" applyAlignment="1">
      <alignment horizontal="right" vertical="center"/>
    </xf>
    <xf numFmtId="4" fontId="27" fillId="0" borderId="12" xfId="0" applyNumberFormat="1" applyFont="1" applyFill="1" applyBorder="1" applyAlignment="1">
      <alignment horizontal="right" vertical="center"/>
    </xf>
    <xf numFmtId="4" fontId="28" fillId="0" borderId="7" xfId="0" applyNumberFormat="1" applyFont="1" applyFill="1" applyBorder="1" applyAlignment="1">
      <alignment horizontal="right" vertical="center" wrapText="1"/>
    </xf>
    <xf numFmtId="0" fontId="28" fillId="0" borderId="10" xfId="0" applyFont="1" applyFill="1" applyBorder="1" applyAlignment="1">
      <alignment horizontal="center" vertical="center"/>
    </xf>
    <xf numFmtId="4" fontId="27" fillId="0" borderId="1" xfId="0" applyNumberFormat="1" applyFont="1" applyFill="1" applyBorder="1" applyAlignment="1">
      <alignment horizontal="center" vertical="center" wrapText="1"/>
    </xf>
    <xf numFmtId="0" fontId="28" fillId="0" borderId="1" xfId="0" applyFont="1" applyFill="1" applyBorder="1" applyAlignment="1">
      <alignment horizontal="center" vertical="center"/>
    </xf>
    <xf numFmtId="4" fontId="28" fillId="5" borderId="24" xfId="0" applyNumberFormat="1" applyFont="1" applyFill="1" applyBorder="1" applyAlignment="1">
      <alignment horizontal="right" vertical="center" wrapText="1"/>
    </xf>
    <xf numFmtId="0" fontId="69" fillId="0" borderId="43" xfId="0" applyFont="1" applyFill="1" applyBorder="1" applyAlignment="1">
      <alignment horizontal="center" vertical="center" wrapText="1"/>
    </xf>
    <xf numFmtId="49" fontId="61" fillId="2" borderId="1" xfId="5" applyNumberFormat="1" applyFont="1" applyFill="1" applyBorder="1" applyAlignment="1">
      <alignment horizontal="center" vertical="center" wrapText="1"/>
    </xf>
    <xf numFmtId="49" fontId="61" fillId="0" borderId="1" xfId="5" applyNumberFormat="1" applyFont="1" applyFill="1" applyBorder="1" applyAlignment="1">
      <alignment horizontal="center" vertical="center" wrapText="1"/>
    </xf>
    <xf numFmtId="4" fontId="61" fillId="0" borderId="1" xfId="5" applyNumberFormat="1" applyFont="1" applyFill="1" applyBorder="1" applyAlignment="1">
      <alignment horizontal="center" vertical="center" wrapText="1"/>
    </xf>
    <xf numFmtId="0" fontId="61" fillId="0" borderId="1" xfId="5" applyFont="1" applyFill="1" applyBorder="1" applyAlignment="1">
      <alignment horizontal="center" vertical="center" wrapText="1"/>
    </xf>
    <xf numFmtId="0" fontId="61" fillId="0" borderId="1" xfId="5" applyFont="1" applyBorder="1" applyAlignment="1">
      <alignment horizontal="center" vertical="center" wrapText="1"/>
    </xf>
    <xf numFmtId="49" fontId="61" fillId="0" borderId="1" xfId="5" applyNumberFormat="1" applyFont="1" applyBorder="1" applyAlignment="1">
      <alignment horizontal="center" vertical="center" wrapText="1"/>
    </xf>
    <xf numFmtId="4" fontId="52" fillId="11" borderId="1" xfId="0" applyNumberFormat="1" applyFont="1" applyFill="1" applyBorder="1" applyAlignment="1">
      <alignment horizontal="right" vertical="center" wrapText="1"/>
    </xf>
    <xf numFmtId="4" fontId="28" fillId="11" borderId="1" xfId="0" applyNumberFormat="1" applyFont="1" applyFill="1" applyBorder="1" applyAlignment="1">
      <alignment horizontal="right" vertical="center" wrapText="1"/>
    </xf>
    <xf numFmtId="4" fontId="28" fillId="0" borderId="1" xfId="0" applyNumberFormat="1" applyFont="1" applyFill="1" applyBorder="1" applyAlignment="1">
      <alignment horizontal="center" vertical="center"/>
    </xf>
    <xf numFmtId="0" fontId="61" fillId="2" borderId="0" xfId="5" applyFont="1" applyFill="1" applyBorder="1" applyAlignment="1">
      <alignment horizontal="center"/>
    </xf>
    <xf numFmtId="0" fontId="81" fillId="0" borderId="1" xfId="0" applyFont="1" applyFill="1" applyBorder="1" applyAlignment="1">
      <alignment vertical="center"/>
    </xf>
    <xf numFmtId="0" fontId="81" fillId="0" borderId="38" xfId="0" applyFont="1" applyFill="1" applyBorder="1" applyAlignment="1">
      <alignment vertical="center" wrapText="1"/>
    </xf>
    <xf numFmtId="0" fontId="72" fillId="2" borderId="1" xfId="0" applyFont="1" applyFill="1" applyBorder="1" applyAlignment="1">
      <alignment horizontal="center" vertical="center" wrapText="1"/>
    </xf>
    <xf numFmtId="4" fontId="105" fillId="0" borderId="1" xfId="0" applyNumberFormat="1" applyFont="1" applyFill="1" applyBorder="1" applyAlignment="1">
      <alignment horizontal="center" vertical="center" wrapText="1"/>
    </xf>
    <xf numFmtId="4" fontId="29" fillId="0" borderId="1" xfId="15" applyNumberFormat="1" applyFont="1" applyFill="1" applyBorder="1" applyAlignment="1">
      <alignment horizontal="center" vertical="center" wrapText="1"/>
    </xf>
    <xf numFmtId="0" fontId="28" fillId="0" borderId="1" xfId="0" applyFont="1" applyFill="1" applyBorder="1" applyAlignment="1">
      <alignment horizontal="center" vertical="center"/>
    </xf>
    <xf numFmtId="4" fontId="33" fillId="0" borderId="1" xfId="15" applyNumberFormat="1" applyFont="1" applyFill="1" applyBorder="1" applyAlignment="1">
      <alignment horizontal="center" vertical="center" wrapText="1"/>
    </xf>
    <xf numFmtId="0" fontId="28" fillId="0" borderId="10" xfId="0" applyFont="1" applyFill="1" applyBorder="1" applyAlignment="1">
      <alignment horizontal="center" vertical="center"/>
    </xf>
    <xf numFmtId="0" fontId="28" fillId="0" borderId="3" xfId="0" applyFont="1" applyFill="1" applyBorder="1" applyAlignment="1">
      <alignment horizontal="center" vertical="center"/>
    </xf>
    <xf numFmtId="0" fontId="28" fillId="0" borderId="8" xfId="0" applyFont="1" applyFill="1" applyBorder="1" applyAlignment="1">
      <alignment horizontal="center" vertical="center"/>
    </xf>
    <xf numFmtId="0" fontId="28" fillId="0" borderId="2" xfId="0" applyFont="1" applyFill="1" applyBorder="1" applyAlignment="1">
      <alignment horizontal="center" vertical="center"/>
    </xf>
    <xf numFmtId="4" fontId="27" fillId="0" borderId="0" xfId="0" applyNumberFormat="1" applyFont="1" applyFill="1" applyBorder="1" applyAlignment="1">
      <alignment horizontal="center" vertical="center" wrapText="1"/>
    </xf>
    <xf numFmtId="4" fontId="27" fillId="0" borderId="4" xfId="0" applyNumberFormat="1" applyFont="1" applyFill="1" applyBorder="1" applyAlignment="1">
      <alignment horizontal="center" vertical="center" wrapText="1"/>
    </xf>
    <xf numFmtId="0" fontId="69" fillId="2" borderId="1" xfId="0" applyFont="1" applyFill="1" applyBorder="1" applyAlignment="1">
      <alignment horizontal="center" vertical="center" wrapText="1"/>
    </xf>
    <xf numFmtId="4" fontId="0" fillId="0" borderId="14" xfId="0" applyNumberFormat="1" applyFill="1" applyBorder="1" applyAlignment="1">
      <alignment horizontal="left" vertical="top" wrapText="1"/>
    </xf>
    <xf numFmtId="4" fontId="69" fillId="0" borderId="12" xfId="0" applyNumberFormat="1" applyFont="1" applyFill="1" applyBorder="1" applyAlignment="1">
      <alignment wrapText="1"/>
    </xf>
    <xf numFmtId="4" fontId="0" fillId="0" borderId="12" xfId="0" applyNumberFormat="1" applyFill="1" applyBorder="1" applyAlignment="1">
      <alignment wrapText="1"/>
    </xf>
    <xf numFmtId="4" fontId="0" fillId="0" borderId="12" xfId="0" applyNumberFormat="1" applyBorder="1" applyAlignment="1">
      <alignment wrapText="1"/>
    </xf>
    <xf numFmtId="4" fontId="27" fillId="0" borderId="12" xfId="0" applyNumberFormat="1" applyFont="1" applyFill="1" applyBorder="1" applyAlignment="1">
      <alignment wrapText="1"/>
    </xf>
    <xf numFmtId="4" fontId="27" fillId="0" borderId="12" xfId="0" applyNumberFormat="1" applyFont="1" applyBorder="1" applyAlignment="1">
      <alignment wrapText="1"/>
    </xf>
    <xf numFmtId="4" fontId="0" fillId="0" borderId="12" xfId="0" applyNumberFormat="1" applyFill="1" applyBorder="1" applyAlignment="1">
      <alignment horizontal="center" vertical="center" wrapText="1"/>
    </xf>
    <xf numFmtId="4" fontId="0" fillId="0" borderId="12" xfId="0" applyNumberFormat="1" applyFill="1" applyBorder="1" applyAlignment="1">
      <alignment horizontal="center" wrapText="1"/>
    </xf>
    <xf numFmtId="4" fontId="52" fillId="0" borderId="16" xfId="0" applyNumberFormat="1" applyFont="1" applyFill="1" applyBorder="1" applyAlignment="1">
      <alignment horizontal="right" vertical="center"/>
    </xf>
    <xf numFmtId="4" fontId="33" fillId="0" borderId="14" xfId="0" applyNumberFormat="1" applyFont="1" applyFill="1" applyBorder="1" applyAlignment="1">
      <alignment horizontal="right" vertical="center"/>
    </xf>
    <xf numFmtId="4" fontId="52" fillId="0" borderId="8" xfId="0" applyNumberFormat="1" applyFont="1" applyFill="1" applyBorder="1" applyAlignment="1">
      <alignment horizontal="right" vertical="center"/>
    </xf>
    <xf numFmtId="4" fontId="33" fillId="0" borderId="39" xfId="0" applyNumberFormat="1" applyFont="1" applyFill="1" applyBorder="1" applyAlignment="1">
      <alignment horizontal="right" vertical="center"/>
    </xf>
    <xf numFmtId="4" fontId="27" fillId="0" borderId="12" xfId="0" applyNumberFormat="1" applyFont="1" applyFill="1" applyBorder="1" applyAlignment="1">
      <alignment horizontal="right" vertical="center" wrapText="1"/>
    </xf>
    <xf numFmtId="4" fontId="95" fillId="11" borderId="10" xfId="0" applyNumberFormat="1" applyFont="1" applyFill="1" applyBorder="1" applyAlignment="1">
      <alignment horizontal="right" vertical="center" wrapText="1"/>
    </xf>
    <xf numFmtId="4" fontId="52" fillId="11" borderId="10" xfId="0" applyNumberFormat="1" applyFont="1" applyFill="1" applyBorder="1" applyAlignment="1">
      <alignment horizontal="right" vertical="center" wrapText="1"/>
    </xf>
    <xf numFmtId="0" fontId="27" fillId="0" borderId="0" xfId="0" applyNumberFormat="1" applyFont="1" applyFill="1" applyBorder="1" applyAlignment="1">
      <alignment horizontal="center" vertical="center" wrapText="1"/>
    </xf>
    <xf numFmtId="0" fontId="27" fillId="0" borderId="38" xfId="0" applyNumberFormat="1" applyFont="1" applyFill="1" applyBorder="1" applyAlignment="1">
      <alignment horizontal="center" vertical="center" wrapText="1"/>
    </xf>
    <xf numFmtId="0" fontId="27" fillId="0" borderId="15" xfId="0" applyNumberFormat="1" applyFont="1" applyFill="1" applyBorder="1" applyAlignment="1">
      <alignment horizontal="center" vertical="center" wrapText="1"/>
    </xf>
    <xf numFmtId="0" fontId="27" fillId="0" borderId="4" xfId="0" applyNumberFormat="1" applyFont="1" applyFill="1" applyBorder="1" applyAlignment="1">
      <alignment horizontal="center" vertical="center" wrapText="1"/>
    </xf>
    <xf numFmtId="4" fontId="28" fillId="0" borderId="12" xfId="0" applyNumberFormat="1" applyFont="1" applyFill="1" applyBorder="1" applyAlignment="1">
      <alignment horizontal="right" vertical="center" wrapText="1"/>
    </xf>
    <xf numFmtId="0" fontId="27" fillId="0" borderId="0" xfId="0" applyFont="1" applyFill="1" applyBorder="1" applyAlignment="1">
      <alignment horizontal="left" vertical="center" wrapText="1"/>
    </xf>
    <xf numFmtId="0" fontId="28" fillId="0" borderId="2" xfId="0" applyFont="1" applyFill="1" applyBorder="1" applyAlignment="1">
      <alignment horizontal="left" vertical="center" wrapText="1"/>
    </xf>
    <xf numFmtId="0" fontId="28" fillId="0" borderId="0" xfId="0" applyFont="1" applyFill="1" applyBorder="1" applyAlignment="1">
      <alignment horizontal="center" vertical="center"/>
    </xf>
    <xf numFmtId="0" fontId="27" fillId="0" borderId="15" xfId="0" applyFont="1" applyFill="1" applyBorder="1" applyAlignment="1">
      <alignment horizontal="center" vertical="center"/>
    </xf>
    <xf numFmtId="0" fontId="27" fillId="0" borderId="0" xfId="33" applyFont="1" applyFill="1" applyBorder="1" applyAlignment="1">
      <alignment vertical="center"/>
    </xf>
    <xf numFmtId="4" fontId="27" fillId="2" borderId="0" xfId="0" applyNumberFormat="1" applyFont="1" applyFill="1" applyBorder="1" applyAlignment="1">
      <alignment horizontal="right" vertical="center"/>
    </xf>
    <xf numFmtId="0" fontId="69" fillId="0" borderId="2" xfId="0" applyFont="1" applyBorder="1" applyAlignment="1">
      <alignment horizontal="left" vertical="center" wrapText="1"/>
    </xf>
    <xf numFmtId="4" fontId="65" fillId="0" borderId="8" xfId="0" applyNumberFormat="1" applyFont="1" applyFill="1" applyBorder="1" applyAlignment="1">
      <alignment horizontal="right" vertical="center" wrapText="1"/>
    </xf>
    <xf numFmtId="4" fontId="69" fillId="0" borderId="12" xfId="0" applyNumberFormat="1" applyFont="1" applyFill="1" applyBorder="1" applyAlignment="1">
      <alignment horizontal="right" vertical="center"/>
    </xf>
    <xf numFmtId="4" fontId="65" fillId="0" borderId="0" xfId="0" applyNumberFormat="1" applyFont="1" applyFill="1" applyBorder="1" applyAlignment="1">
      <alignment horizontal="right" vertical="center"/>
    </xf>
    <xf numFmtId="0" fontId="65" fillId="0" borderId="0" xfId="0" applyFont="1" applyFill="1" applyBorder="1" applyAlignment="1">
      <alignment vertical="top" wrapText="1"/>
    </xf>
    <xf numFmtId="0" fontId="69" fillId="0" borderId="2" xfId="0" applyFont="1" applyFill="1" applyBorder="1" applyAlignment="1">
      <alignment vertical="top" wrapText="1"/>
    </xf>
    <xf numFmtId="0" fontId="28" fillId="0" borderId="38" xfId="0" applyFont="1" applyFill="1" applyBorder="1" applyAlignment="1">
      <alignment horizontal="center" vertical="center"/>
    </xf>
    <xf numFmtId="0" fontId="69" fillId="0" borderId="2" xfId="0" applyFont="1" applyFill="1" applyBorder="1" applyAlignment="1">
      <alignment horizontal="left" vertical="center" wrapText="1"/>
    </xf>
    <xf numFmtId="0" fontId="69" fillId="0" borderId="3" xfId="0" applyFont="1" applyFill="1" applyBorder="1" applyAlignment="1">
      <alignment horizontal="center" vertical="center" wrapText="1"/>
    </xf>
    <xf numFmtId="4" fontId="69" fillId="0" borderId="2" xfId="0" applyNumberFormat="1" applyFont="1" applyFill="1" applyBorder="1" applyAlignment="1">
      <alignment horizontal="right" vertical="center"/>
    </xf>
    <xf numFmtId="0" fontId="65" fillId="0" borderId="38" xfId="0" applyFont="1" applyFill="1" applyBorder="1" applyAlignment="1">
      <alignment horizontal="center" vertical="center"/>
    </xf>
    <xf numFmtId="0" fontId="65" fillId="0" borderId="38" xfId="0" applyFont="1" applyFill="1" applyBorder="1" applyAlignment="1">
      <alignment horizontal="center" vertical="center" wrapText="1"/>
    </xf>
    <xf numFmtId="0" fontId="65" fillId="0" borderId="15" xfId="0" applyFont="1" applyFill="1" applyBorder="1" applyAlignment="1">
      <alignment horizontal="center" vertical="center" wrapText="1"/>
    </xf>
    <xf numFmtId="4" fontId="65" fillId="0" borderId="4" xfId="0" applyNumberFormat="1" applyFont="1" applyFill="1" applyBorder="1" applyAlignment="1">
      <alignment horizontal="right" vertical="center"/>
    </xf>
    <xf numFmtId="0" fontId="27" fillId="0" borderId="9" xfId="0" applyNumberFormat="1" applyFont="1" applyFill="1" applyBorder="1" applyAlignment="1">
      <alignment horizontal="center" vertical="center" wrapText="1"/>
    </xf>
    <xf numFmtId="0" fontId="27" fillId="0" borderId="8" xfId="0" applyNumberFormat="1" applyFont="1" applyFill="1" applyBorder="1" applyAlignment="1">
      <alignment horizontal="center" vertical="center"/>
    </xf>
    <xf numFmtId="4" fontId="28" fillId="0" borderId="10" xfId="0" applyNumberFormat="1" applyFont="1" applyFill="1" applyBorder="1" applyAlignment="1">
      <alignment horizontal="left" vertical="center" wrapText="1"/>
    </xf>
    <xf numFmtId="4" fontId="27" fillId="0" borderId="9" xfId="0" applyNumberFormat="1" applyFont="1" applyFill="1" applyBorder="1" applyAlignment="1">
      <alignment horizontal="left" vertical="center" wrapText="1"/>
    </xf>
    <xf numFmtId="4" fontId="27" fillId="0" borderId="8" xfId="0" applyNumberFormat="1" applyFont="1" applyFill="1" applyBorder="1" applyAlignment="1">
      <alignment horizontal="left" vertical="center" wrapText="1"/>
    </xf>
    <xf numFmtId="164" fontId="27" fillId="0" borderId="8" xfId="305" applyFont="1" applyFill="1" applyBorder="1" applyAlignment="1">
      <alignment horizontal="right" vertical="center" wrapText="1"/>
    </xf>
    <xf numFmtId="4" fontId="28" fillId="11" borderId="10" xfId="0" applyNumberFormat="1" applyFont="1" applyFill="1" applyBorder="1" applyAlignment="1">
      <alignment horizontal="right" vertical="center" wrapText="1"/>
    </xf>
    <xf numFmtId="4" fontId="27" fillId="2" borderId="9" xfId="0" applyNumberFormat="1" applyFont="1" applyFill="1" applyBorder="1" applyAlignment="1">
      <alignment horizontal="right" vertical="center" wrapText="1"/>
    </xf>
    <xf numFmtId="4" fontId="27" fillId="2" borderId="9" xfId="0" applyNumberFormat="1" applyFont="1" applyFill="1" applyBorder="1" applyAlignment="1">
      <alignment horizontal="right" vertical="center"/>
    </xf>
    <xf numFmtId="0" fontId="69" fillId="0" borderId="10" xfId="0" applyFont="1" applyFill="1" applyBorder="1" applyAlignment="1">
      <alignment vertical="center" wrapText="1"/>
    </xf>
    <xf numFmtId="0" fontId="65" fillId="0" borderId="9" xfId="0" applyFont="1" applyFill="1" applyBorder="1" applyAlignment="1">
      <alignment vertical="center" wrapText="1"/>
    </xf>
    <xf numFmtId="4" fontId="65" fillId="0" borderId="9" xfId="0" applyNumberFormat="1" applyFont="1" applyFill="1" applyBorder="1" applyAlignment="1">
      <alignment horizontal="right" vertical="center" wrapText="1"/>
    </xf>
    <xf numFmtId="0" fontId="27" fillId="0" borderId="0" xfId="33" applyFont="1" applyFill="1" applyBorder="1" applyAlignment="1">
      <alignment horizontal="left" vertical="center"/>
    </xf>
    <xf numFmtId="0" fontId="49" fillId="0" borderId="0" xfId="33" applyFont="1" applyFill="1" applyBorder="1" applyAlignment="1">
      <alignment vertical="center"/>
    </xf>
    <xf numFmtId="4" fontId="33" fillId="0" borderId="1" xfId="15" applyNumberFormat="1" applyFont="1" applyFill="1" applyBorder="1" applyAlignment="1">
      <alignment vertical="center" wrapText="1"/>
    </xf>
    <xf numFmtId="4" fontId="51" fillId="0" borderId="1" xfId="15" applyNumberFormat="1" applyFont="1" applyFill="1" applyBorder="1" applyAlignment="1">
      <alignment vertical="center" wrapText="1"/>
    </xf>
    <xf numFmtId="0" fontId="28" fillId="0" borderId="10" xfId="0" applyFont="1" applyFill="1" applyBorder="1" applyAlignment="1">
      <alignment vertical="center"/>
    </xf>
    <xf numFmtId="0" fontId="28" fillId="0" borderId="2" xfId="0" applyFont="1" applyFill="1" applyBorder="1" applyAlignment="1">
      <alignment vertical="center"/>
    </xf>
    <xf numFmtId="0" fontId="28" fillId="0" borderId="9" xfId="0" applyFont="1" applyFill="1" applyBorder="1" applyAlignment="1">
      <alignment vertical="center"/>
    </xf>
    <xf numFmtId="0" fontId="28" fillId="0" borderId="0" xfId="0" applyFont="1" applyFill="1" applyBorder="1" applyAlignment="1">
      <alignment vertical="center"/>
    </xf>
    <xf numFmtId="0" fontId="27" fillId="2" borderId="8" xfId="0" applyFont="1" applyFill="1" applyBorder="1" applyAlignment="1">
      <alignment horizontal="center" vertical="center"/>
    </xf>
    <xf numFmtId="0" fontId="65" fillId="2" borderId="8" xfId="0" applyFont="1" applyFill="1" applyBorder="1" applyAlignment="1">
      <alignment horizontal="center" vertical="center" wrapText="1"/>
    </xf>
    <xf numFmtId="4" fontId="27" fillId="2" borderId="8" xfId="0" applyNumberFormat="1" applyFont="1" applyFill="1" applyBorder="1" applyAlignment="1">
      <alignment horizontal="right" vertical="center"/>
    </xf>
    <xf numFmtId="0" fontId="27" fillId="2" borderId="0" xfId="0" applyFont="1" applyFill="1" applyBorder="1" applyAlignment="1">
      <alignment horizontal="center" vertical="center"/>
    </xf>
    <xf numFmtId="0" fontId="65" fillId="2" borderId="0" xfId="0" applyFont="1" applyFill="1" applyBorder="1" applyAlignment="1">
      <alignment horizontal="left" vertical="center" wrapText="1"/>
    </xf>
    <xf numFmtId="4" fontId="28" fillId="0" borderId="2" xfId="0" applyNumberFormat="1" applyFont="1" applyFill="1" applyBorder="1" applyAlignment="1">
      <alignment vertical="center"/>
    </xf>
    <xf numFmtId="0" fontId="27" fillId="2" borderId="4" xfId="0" applyFont="1" applyFill="1" applyBorder="1" applyAlignment="1">
      <alignment horizontal="center" vertical="center"/>
    </xf>
    <xf numFmtId="0" fontId="28" fillId="11" borderId="9" xfId="0" applyFont="1" applyFill="1" applyBorder="1" applyAlignment="1">
      <alignment vertical="center" wrapText="1"/>
    </xf>
    <xf numFmtId="4" fontId="28" fillId="11" borderId="9" xfId="0" applyNumberFormat="1" applyFont="1" applyFill="1" applyBorder="1" applyAlignment="1">
      <alignment vertical="center" wrapText="1"/>
    </xf>
    <xf numFmtId="0" fontId="65" fillId="2" borderId="4" xfId="0" applyFont="1" applyFill="1" applyBorder="1" applyAlignment="1">
      <alignment vertical="center" wrapText="1"/>
    </xf>
    <xf numFmtId="4" fontId="28" fillId="0" borderId="2" xfId="0" applyNumberFormat="1" applyFont="1" applyFill="1" applyBorder="1"/>
    <xf numFmtId="0" fontId="27" fillId="0" borderId="0" xfId="0" applyFont="1" applyFill="1" applyBorder="1" applyAlignment="1">
      <alignment vertical="top" wrapText="1"/>
    </xf>
    <xf numFmtId="4" fontId="27" fillId="0" borderId="4" xfId="0" applyNumberFormat="1" applyFont="1" applyFill="1" applyBorder="1" applyAlignment="1">
      <alignment vertical="center"/>
    </xf>
    <xf numFmtId="0" fontId="27" fillId="2" borderId="9" xfId="0" applyFont="1" applyFill="1" applyBorder="1" applyAlignment="1">
      <alignment horizontal="center" vertical="center"/>
    </xf>
    <xf numFmtId="0" fontId="27" fillId="2" borderId="9" xfId="0" applyFont="1" applyFill="1" applyBorder="1" applyAlignment="1">
      <alignment horizontal="center" vertical="center" wrapText="1"/>
    </xf>
    <xf numFmtId="4" fontId="27" fillId="0" borderId="8" xfId="0" applyNumberFormat="1" applyFont="1" applyFill="1" applyBorder="1" applyAlignment="1">
      <alignment vertical="center"/>
    </xf>
    <xf numFmtId="4" fontId="28" fillId="0" borderId="10" xfId="0" applyNumberFormat="1" applyFont="1" applyFill="1" applyBorder="1" applyAlignment="1">
      <alignment vertical="center"/>
    </xf>
    <xf numFmtId="4" fontId="27" fillId="2" borderId="1" xfId="15" applyNumberFormat="1" applyFont="1" applyFill="1" applyBorder="1" applyAlignment="1">
      <alignment horizontal="center" vertical="center" wrapText="1"/>
    </xf>
    <xf numFmtId="4" fontId="28" fillId="0" borderId="15" xfId="0" applyNumberFormat="1" applyFont="1" applyFill="1" applyBorder="1" applyAlignment="1">
      <alignment horizontal="center" vertical="center"/>
    </xf>
    <xf numFmtId="4" fontId="28" fillId="0" borderId="8" xfId="0" applyNumberFormat="1" applyFont="1" applyFill="1" applyBorder="1" applyAlignment="1">
      <alignment horizontal="center" vertical="center"/>
    </xf>
    <xf numFmtId="4" fontId="28" fillId="0" borderId="14" xfId="0" applyNumberFormat="1" applyFont="1" applyFill="1" applyBorder="1" applyAlignment="1">
      <alignment horizontal="center" vertical="center"/>
    </xf>
    <xf numFmtId="4" fontId="27" fillId="2" borderId="8" xfId="0" applyNumberFormat="1" applyFont="1" applyFill="1" applyBorder="1" applyAlignment="1">
      <alignment horizontal="right" vertical="center" wrapText="1"/>
    </xf>
    <xf numFmtId="4" fontId="52" fillId="2" borderId="1" xfId="0" applyNumberFormat="1" applyFont="1" applyFill="1" applyBorder="1" applyAlignment="1">
      <alignment horizontal="right" vertical="center"/>
    </xf>
    <xf numFmtId="4" fontId="33" fillId="12" borderId="58" xfId="0" applyNumberFormat="1" applyFont="1" applyFill="1" applyBorder="1" applyAlignment="1">
      <alignment horizontal="left" vertical="top" wrapText="1"/>
    </xf>
    <xf numFmtId="4" fontId="33" fillId="12" borderId="22" xfId="0" applyNumberFormat="1" applyFont="1" applyFill="1" applyBorder="1" applyAlignment="1">
      <alignment horizontal="left" vertical="top" wrapText="1"/>
    </xf>
    <xf numFmtId="4" fontId="33" fillId="12" borderId="22" xfId="0" applyNumberFormat="1" applyFont="1" applyFill="1" applyBorder="1" applyAlignment="1">
      <alignment horizontal="center" vertical="center"/>
    </xf>
    <xf numFmtId="4" fontId="33" fillId="12" borderId="12" xfId="0" applyNumberFormat="1" applyFont="1" applyFill="1" applyBorder="1" applyAlignment="1">
      <alignment horizontal="left" vertical="top" wrapText="1"/>
    </xf>
    <xf numFmtId="4" fontId="33" fillId="12" borderId="1" xfId="0" applyNumberFormat="1" applyFont="1" applyFill="1" applyBorder="1" applyAlignment="1">
      <alignment horizontal="left" vertical="top" wrapText="1"/>
    </xf>
    <xf numFmtId="4" fontId="33" fillId="12" borderId="1" xfId="0" applyNumberFormat="1" applyFont="1" applyFill="1" applyBorder="1" applyAlignment="1">
      <alignment horizontal="center" vertical="center"/>
    </xf>
    <xf numFmtId="0" fontId="61" fillId="0" borderId="0" xfId="39" applyFont="1" applyAlignment="1">
      <alignment horizontal="center"/>
    </xf>
    <xf numFmtId="0" fontId="62" fillId="0" borderId="1" xfId="39" applyFont="1" applyBorder="1" applyAlignment="1">
      <alignment horizontal="center" vertical="center"/>
    </xf>
    <xf numFmtId="0" fontId="62" fillId="0" borderId="10" xfId="39" applyFont="1" applyBorder="1" applyAlignment="1">
      <alignment horizontal="center" vertical="center"/>
    </xf>
    <xf numFmtId="0" fontId="62" fillId="0" borderId="8" xfId="39" applyFont="1" applyBorder="1" applyAlignment="1">
      <alignment horizontal="center" vertical="center"/>
    </xf>
    <xf numFmtId="0" fontId="62" fillId="0" borderId="7" xfId="39" applyFont="1" applyBorder="1" applyAlignment="1">
      <alignment horizontal="center" vertical="center" wrapText="1"/>
    </xf>
    <xf numFmtId="0" fontId="62" fillId="0" borderId="11" xfId="39" applyFont="1" applyBorder="1" applyAlignment="1">
      <alignment horizontal="center" vertical="center" wrapText="1"/>
    </xf>
    <xf numFmtId="0" fontId="62" fillId="0" borderId="12" xfId="39" applyFont="1" applyBorder="1" applyAlignment="1">
      <alignment horizontal="center" vertical="center" wrapText="1"/>
    </xf>
    <xf numFmtId="0" fontId="62" fillId="5" borderId="7" xfId="39" applyFont="1" applyFill="1" applyBorder="1" applyAlignment="1">
      <alignment horizontal="center" vertical="center" wrapText="1"/>
    </xf>
    <xf numFmtId="0" fontId="62" fillId="5" borderId="11" xfId="39" applyFont="1" applyFill="1" applyBorder="1" applyAlignment="1">
      <alignment horizontal="center" vertical="center" wrapText="1"/>
    </xf>
    <xf numFmtId="0" fontId="62" fillId="5" borderId="12" xfId="39" applyFont="1" applyFill="1" applyBorder="1" applyAlignment="1">
      <alignment horizontal="center" vertical="center" wrapText="1"/>
    </xf>
    <xf numFmtId="0" fontId="62" fillId="0" borderId="1" xfId="39" applyFont="1" applyBorder="1" applyAlignment="1">
      <alignment horizontal="center" vertical="center" wrapText="1"/>
    </xf>
    <xf numFmtId="172" fontId="61" fillId="5" borderId="10" xfId="39" applyNumberFormat="1" applyFont="1" applyFill="1" applyBorder="1" applyAlignment="1">
      <alignment horizontal="center" vertical="center"/>
    </xf>
    <xf numFmtId="172" fontId="61" fillId="5" borderId="9" xfId="39" applyNumberFormat="1" applyFont="1" applyFill="1" applyBorder="1" applyAlignment="1">
      <alignment horizontal="center" vertical="center"/>
    </xf>
    <xf numFmtId="172" fontId="61" fillId="5" borderId="8" xfId="39" applyNumberFormat="1" applyFont="1" applyFill="1" applyBorder="1" applyAlignment="1">
      <alignment horizontal="center" vertical="center"/>
    </xf>
    <xf numFmtId="172" fontId="61" fillId="2" borderId="10" xfId="39" applyNumberFormat="1" applyFont="1" applyFill="1" applyBorder="1" applyAlignment="1">
      <alignment horizontal="center" vertical="center"/>
    </xf>
    <xf numFmtId="172" fontId="61" fillId="2" borderId="9" xfId="39" applyNumberFormat="1" applyFont="1" applyFill="1" applyBorder="1" applyAlignment="1">
      <alignment horizontal="center" vertical="center"/>
    </xf>
    <xf numFmtId="172" fontId="61" fillId="2" borderId="8" xfId="39" applyNumberFormat="1" applyFont="1" applyFill="1" applyBorder="1" applyAlignment="1">
      <alignment horizontal="center" vertical="center"/>
    </xf>
    <xf numFmtId="0" fontId="33" fillId="2" borderId="1" xfId="0" applyFont="1" applyFill="1" applyBorder="1" applyAlignment="1">
      <alignment horizontal="center" vertical="center" textRotation="90" wrapText="1"/>
    </xf>
    <xf numFmtId="170" fontId="33" fillId="2" borderId="10" xfId="0" applyNumberFormat="1" applyFont="1" applyFill="1" applyBorder="1" applyAlignment="1">
      <alignment horizontal="center" vertical="center" wrapText="1"/>
    </xf>
    <xf numFmtId="170" fontId="33" fillId="2" borderId="9" xfId="0" applyNumberFormat="1" applyFont="1" applyFill="1" applyBorder="1" applyAlignment="1">
      <alignment horizontal="center" vertical="center" wrapText="1"/>
    </xf>
    <xf numFmtId="0" fontId="33" fillId="2" borderId="1" xfId="35" applyFont="1" applyFill="1" applyBorder="1" applyAlignment="1">
      <alignment horizontal="center" vertical="center" textRotation="90" wrapText="1"/>
    </xf>
    <xf numFmtId="0" fontId="40" fillId="2" borderId="0" xfId="0" applyFont="1" applyFill="1" applyAlignment="1">
      <alignment horizontal="left" vertical="center"/>
    </xf>
    <xf numFmtId="0" fontId="41" fillId="2" borderId="0" xfId="0" applyFont="1" applyFill="1" applyAlignment="1">
      <alignment horizontal="center" vertical="center" wrapText="1"/>
    </xf>
    <xf numFmtId="0" fontId="43" fillId="2" borderId="0" xfId="0" applyFont="1" applyFill="1" applyAlignment="1">
      <alignment horizontal="center" vertical="center" wrapText="1"/>
    </xf>
    <xf numFmtId="0" fontId="44" fillId="2" borderId="1" xfId="0" applyFont="1" applyFill="1" applyBorder="1" applyAlignment="1">
      <alignment horizontal="center" vertical="center" wrapText="1"/>
    </xf>
    <xf numFmtId="0" fontId="33" fillId="2" borderId="1" xfId="0" applyFont="1" applyFill="1" applyBorder="1" applyAlignment="1">
      <alignment horizontal="center" vertical="center" wrapText="1"/>
    </xf>
    <xf numFmtId="0" fontId="33" fillId="2" borderId="1" xfId="35" applyFont="1" applyFill="1" applyBorder="1" applyAlignment="1">
      <alignment horizontal="center" vertical="center" wrapText="1"/>
    </xf>
    <xf numFmtId="0" fontId="45" fillId="2" borderId="7" xfId="0" applyFont="1" applyFill="1" applyBorder="1" applyAlignment="1">
      <alignment horizontal="center" vertical="center" wrapText="1"/>
    </xf>
    <xf numFmtId="0" fontId="45" fillId="2" borderId="12" xfId="0" applyFont="1" applyFill="1" applyBorder="1" applyAlignment="1">
      <alignment horizontal="center" vertical="center" wrapText="1"/>
    </xf>
    <xf numFmtId="0" fontId="45" fillId="2" borderId="7" xfId="0" applyFont="1" applyFill="1" applyBorder="1" applyAlignment="1">
      <alignment horizontal="center" vertical="center"/>
    </xf>
    <xf numFmtId="0" fontId="45" fillId="2" borderId="12" xfId="0" applyFont="1" applyFill="1" applyBorder="1" applyAlignment="1">
      <alignment horizontal="center" vertical="center"/>
    </xf>
    <xf numFmtId="0" fontId="44" fillId="2" borderId="0" xfId="0" applyFont="1" applyFill="1" applyAlignment="1">
      <alignment horizontal="left" vertical="center" wrapText="1"/>
    </xf>
    <xf numFmtId="0" fontId="45" fillId="2" borderId="1" xfId="0" applyFont="1" applyFill="1" applyBorder="1" applyAlignment="1">
      <alignment horizontal="center" vertical="center" wrapText="1"/>
    </xf>
    <xf numFmtId="0" fontId="30" fillId="2" borderId="0" xfId="0" applyFont="1" applyFill="1" applyAlignment="1">
      <alignment horizontal="left" vertical="center"/>
    </xf>
    <xf numFmtId="0" fontId="31" fillId="2" borderId="0" xfId="0" applyFont="1" applyFill="1" applyAlignment="1">
      <alignment horizontal="center" vertical="center" wrapText="1"/>
    </xf>
    <xf numFmtId="0" fontId="25" fillId="2" borderId="0" xfId="0" applyFont="1" applyFill="1" applyAlignment="1">
      <alignment horizontal="center" vertical="center" wrapText="1"/>
    </xf>
    <xf numFmtId="0" fontId="38"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1" xfId="0" applyFill="1" applyBorder="1" applyAlignment="1">
      <alignment horizontal="center" vertical="center" textRotation="90" wrapText="1"/>
    </xf>
    <xf numFmtId="0" fontId="37" fillId="2" borderId="1" xfId="0" applyFont="1" applyFill="1" applyBorder="1" applyAlignment="1">
      <alignment horizontal="center" vertical="center" wrapText="1"/>
    </xf>
    <xf numFmtId="0" fontId="65" fillId="2" borderId="1" xfId="35" applyFont="1" applyFill="1" applyBorder="1" applyAlignment="1">
      <alignment horizontal="center" vertical="center" textRotation="90" wrapText="1"/>
    </xf>
    <xf numFmtId="0" fontId="65" fillId="2" borderId="1" xfId="35" applyFont="1" applyFill="1" applyBorder="1" applyAlignment="1">
      <alignment horizontal="center" vertical="center" wrapText="1"/>
    </xf>
    <xf numFmtId="170" fontId="29" fillId="2" borderId="10" xfId="0" applyNumberFormat="1" applyFont="1" applyFill="1" applyBorder="1" applyAlignment="1">
      <alignment horizontal="center" vertical="center" wrapText="1"/>
    </xf>
    <xf numFmtId="170" fontId="29" fillId="2" borderId="9" xfId="0" applyNumberFormat="1" applyFont="1" applyFill="1" applyBorder="1" applyAlignment="1">
      <alignment horizontal="center" vertical="center" wrapText="1"/>
    </xf>
    <xf numFmtId="0" fontId="50" fillId="2" borderId="0" xfId="292" applyFont="1" applyFill="1" applyAlignment="1">
      <alignment horizontal="center" vertical="center" wrapText="1"/>
    </xf>
    <xf numFmtId="0" fontId="0" fillId="0" borderId="0" xfId="0" applyAlignment="1">
      <alignment horizontal="center" vertical="center" wrapText="1"/>
    </xf>
    <xf numFmtId="0" fontId="50" fillId="2" borderId="0" xfId="292" applyFont="1" applyFill="1" applyAlignment="1">
      <alignment horizontal="left" vertical="center" wrapText="1"/>
    </xf>
    <xf numFmtId="0" fontId="50" fillId="2" borderId="4" xfId="292" applyFont="1" applyFill="1" applyBorder="1" applyAlignment="1">
      <alignment horizontal="center" vertical="center"/>
    </xf>
    <xf numFmtId="0" fontId="50" fillId="2" borderId="0" xfId="6" applyFont="1" applyFill="1" applyBorder="1" applyAlignment="1">
      <alignment horizontal="left" vertical="center" wrapText="1"/>
    </xf>
    <xf numFmtId="0" fontId="50" fillId="2" borderId="0" xfId="292" applyFont="1" applyFill="1" applyAlignment="1">
      <alignment horizontal="left" vertical="center"/>
    </xf>
    <xf numFmtId="0" fontId="48" fillId="2" borderId="0" xfId="292" applyFont="1" applyFill="1" applyAlignment="1">
      <alignment horizontal="center" vertical="center"/>
    </xf>
    <xf numFmtId="0" fontId="49" fillId="0" borderId="30" xfId="164" applyNumberFormat="1" applyFont="1" applyFill="1" applyBorder="1" applyAlignment="1">
      <alignment horizontal="center" vertical="center" wrapText="1"/>
    </xf>
    <xf numFmtId="0" fontId="49" fillId="0" borderId="9" xfId="164" applyNumberFormat="1" applyFont="1" applyFill="1" applyBorder="1" applyAlignment="1">
      <alignment horizontal="center" vertical="center" wrapText="1"/>
    </xf>
    <xf numFmtId="0" fontId="49" fillId="0" borderId="8" xfId="164" applyNumberFormat="1" applyFont="1" applyFill="1" applyBorder="1" applyAlignment="1">
      <alignment horizontal="center" vertical="center" wrapText="1"/>
    </xf>
    <xf numFmtId="0" fontId="53" fillId="0" borderId="30" xfId="164" applyNumberFormat="1" applyFont="1" applyFill="1" applyBorder="1" applyAlignment="1">
      <alignment horizontal="center" vertical="center" wrapText="1"/>
    </xf>
    <xf numFmtId="0" fontId="53" fillId="0" borderId="9" xfId="164" applyNumberFormat="1" applyFont="1" applyFill="1" applyBorder="1" applyAlignment="1">
      <alignment horizontal="center" vertical="center" wrapText="1"/>
    </xf>
    <xf numFmtId="0" fontId="53" fillId="0" borderId="8" xfId="164" applyNumberFormat="1" applyFont="1" applyFill="1" applyBorder="1" applyAlignment="1">
      <alignment horizontal="center" vertical="center" wrapText="1"/>
    </xf>
    <xf numFmtId="0" fontId="50" fillId="2" borderId="2" xfId="292" applyFont="1" applyFill="1" applyBorder="1" applyAlignment="1">
      <alignment horizontal="center" vertical="center"/>
    </xf>
    <xf numFmtId="0" fontId="88" fillId="10" borderId="0" xfId="292" applyFont="1" applyFill="1" applyBorder="1" applyAlignment="1">
      <alignment horizontal="right" vertical="center" wrapText="1"/>
    </xf>
    <xf numFmtId="0" fontId="27" fillId="10" borderId="0" xfId="0" applyFont="1" applyFill="1" applyAlignment="1">
      <alignment horizontal="right" vertical="center" wrapText="1"/>
    </xf>
    <xf numFmtId="0" fontId="50" fillId="2" borderId="37" xfId="292" applyFont="1" applyFill="1" applyBorder="1" applyAlignment="1">
      <alignment horizontal="left" vertical="center"/>
    </xf>
    <xf numFmtId="0" fontId="49" fillId="2" borderId="0" xfId="292" applyFont="1" applyFill="1" applyBorder="1" applyAlignment="1">
      <alignment horizontal="right" vertical="center" wrapText="1"/>
    </xf>
    <xf numFmtId="0" fontId="49" fillId="2" borderId="0" xfId="292" applyFont="1" applyFill="1" applyBorder="1" applyAlignment="1">
      <alignment horizontal="center" vertical="center"/>
    </xf>
    <xf numFmtId="0" fontId="49" fillId="0" borderId="0" xfId="292" applyFont="1" applyFill="1" applyBorder="1" applyAlignment="1">
      <alignment horizontal="center" vertical="center"/>
    </xf>
    <xf numFmtId="0" fontId="53" fillId="2" borderId="33" xfId="164" applyNumberFormat="1" applyFont="1" applyFill="1" applyBorder="1" applyAlignment="1">
      <alignment horizontal="center" vertical="center" wrapText="1"/>
    </xf>
    <xf numFmtId="0" fontId="53" fillId="2" borderId="35" xfId="164" applyNumberFormat="1" applyFont="1" applyFill="1" applyBorder="1" applyAlignment="1">
      <alignment horizontal="center" vertical="center" wrapText="1"/>
    </xf>
    <xf numFmtId="0" fontId="49" fillId="2" borderId="0" xfId="292" applyFont="1" applyFill="1" applyAlignment="1">
      <alignment horizontal="center" vertical="center"/>
    </xf>
    <xf numFmtId="0" fontId="0" fillId="2" borderId="0" xfId="0" applyFill="1" applyAlignment="1">
      <alignment horizontal="center" vertical="center"/>
    </xf>
    <xf numFmtId="0" fontId="88" fillId="2" borderId="0" xfId="292" applyFont="1" applyFill="1" applyBorder="1" applyAlignment="1">
      <alignment horizontal="center" vertical="center"/>
    </xf>
    <xf numFmtId="0" fontId="49" fillId="2" borderId="0" xfId="292" applyFont="1" applyFill="1" applyBorder="1" applyAlignment="1">
      <alignment horizontal="right" vertical="center"/>
    </xf>
    <xf numFmtId="0" fontId="49" fillId="2" borderId="0" xfId="292" applyFont="1" applyFill="1" applyAlignment="1">
      <alignment horizontal="right" vertical="center"/>
    </xf>
    <xf numFmtId="0" fontId="37" fillId="0" borderId="0" xfId="164" applyNumberFormat="1" applyFont="1" applyFill="1" applyBorder="1" applyAlignment="1">
      <alignment horizontal="center"/>
    </xf>
    <xf numFmtId="0" fontId="53" fillId="0" borderId="29" xfId="164" applyNumberFormat="1" applyFont="1" applyFill="1" applyBorder="1" applyAlignment="1">
      <alignment horizontal="center" vertical="center"/>
    </xf>
    <xf numFmtId="0" fontId="53" fillId="0" borderId="32" xfId="164" applyNumberFormat="1" applyFont="1" applyFill="1" applyBorder="1" applyAlignment="1">
      <alignment horizontal="center" vertical="center"/>
    </xf>
    <xf numFmtId="0" fontId="53" fillId="0" borderId="34" xfId="164" applyNumberFormat="1" applyFont="1" applyFill="1" applyBorder="1" applyAlignment="1">
      <alignment horizontal="center" vertical="center"/>
    </xf>
    <xf numFmtId="0" fontId="53" fillId="0" borderId="13" xfId="164" applyNumberFormat="1" applyFont="1" applyFill="1" applyBorder="1" applyAlignment="1">
      <alignment horizontal="center" vertical="center"/>
    </xf>
    <xf numFmtId="0" fontId="53" fillId="0" borderId="31" xfId="164" applyNumberFormat="1" applyFont="1" applyFill="1" applyBorder="1" applyAlignment="1">
      <alignment horizontal="center" vertical="center"/>
    </xf>
    <xf numFmtId="0" fontId="53" fillId="0" borderId="23" xfId="164" applyNumberFormat="1" applyFont="1" applyFill="1" applyBorder="1" applyAlignment="1">
      <alignment horizontal="center" vertical="center"/>
    </xf>
    <xf numFmtId="49" fontId="61" fillId="2" borderId="1" xfId="5" applyNumberFormat="1" applyFont="1" applyFill="1" applyBorder="1" applyAlignment="1">
      <alignment horizontal="center" vertical="center" wrapText="1"/>
    </xf>
    <xf numFmtId="0" fontId="62" fillId="0" borderId="0" xfId="5" applyFont="1" applyBorder="1" applyAlignment="1">
      <alignment horizontal="center" vertical="center"/>
    </xf>
    <xf numFmtId="0" fontId="61" fillId="0" borderId="1" xfId="5" applyFont="1" applyBorder="1" applyAlignment="1">
      <alignment horizontal="center" vertical="center" wrapText="1"/>
    </xf>
    <xf numFmtId="49" fontId="61" fillId="0" borderId="1" xfId="5" applyNumberFormat="1" applyFont="1" applyBorder="1" applyAlignment="1">
      <alignment horizontal="center" vertical="center" wrapText="1"/>
    </xf>
    <xf numFmtId="0" fontId="61" fillId="0" borderId="10" xfId="5" applyFont="1" applyBorder="1" applyAlignment="1">
      <alignment horizontal="center" vertical="center" wrapText="1"/>
    </xf>
    <xf numFmtId="0" fontId="61" fillId="0" borderId="9" xfId="5" applyFont="1" applyBorder="1" applyAlignment="1">
      <alignment horizontal="center" vertical="center" wrapText="1"/>
    </xf>
    <xf numFmtId="0" fontId="48" fillId="5" borderId="7" xfId="5" applyFont="1" applyFill="1" applyBorder="1" applyAlignment="1">
      <alignment horizontal="center" vertical="center" wrapText="1"/>
    </xf>
    <xf numFmtId="0" fontId="48" fillId="5" borderId="11" xfId="5" applyFont="1" applyFill="1" applyBorder="1" applyAlignment="1">
      <alignment horizontal="center" vertical="center" wrapText="1"/>
    </xf>
    <xf numFmtId="0" fontId="48" fillId="5" borderId="12" xfId="5" applyFont="1" applyFill="1" applyBorder="1" applyAlignment="1">
      <alignment horizontal="center" vertical="center" wrapText="1"/>
    </xf>
    <xf numFmtId="49" fontId="61" fillId="2" borderId="10" xfId="5" applyNumberFormat="1" applyFont="1" applyFill="1" applyBorder="1" applyAlignment="1">
      <alignment horizontal="center" vertical="center" wrapText="1"/>
    </xf>
    <xf numFmtId="49" fontId="61" fillId="2" borderId="9" xfId="5" applyNumberFormat="1" applyFont="1" applyFill="1" applyBorder="1" applyAlignment="1">
      <alignment horizontal="center" vertical="center" wrapText="1"/>
    </xf>
    <xf numFmtId="49" fontId="61" fillId="2" borderId="8" xfId="5" applyNumberFormat="1" applyFont="1" applyFill="1" applyBorder="1" applyAlignment="1">
      <alignment horizontal="center" vertical="center" wrapText="1"/>
    </xf>
    <xf numFmtId="0" fontId="48" fillId="5" borderId="3" xfId="5" applyFont="1" applyFill="1" applyBorder="1" applyAlignment="1">
      <alignment horizontal="center"/>
    </xf>
    <xf numFmtId="0" fontId="48" fillId="5" borderId="2" xfId="5" applyFont="1" applyFill="1" applyBorder="1" applyAlignment="1">
      <alignment horizontal="center"/>
    </xf>
    <xf numFmtId="0" fontId="48" fillId="5" borderId="16" xfId="5" applyFont="1" applyFill="1" applyBorder="1" applyAlignment="1">
      <alignment horizontal="center"/>
    </xf>
    <xf numFmtId="0" fontId="48" fillId="5" borderId="1" xfId="5" applyFont="1" applyFill="1" applyBorder="1" applyAlignment="1">
      <alignment horizontal="center"/>
    </xf>
    <xf numFmtId="0" fontId="48" fillId="5" borderId="3" xfId="5" applyFont="1" applyFill="1" applyBorder="1" applyAlignment="1">
      <alignment horizontal="center" vertical="center" wrapText="1"/>
    </xf>
    <xf numFmtId="0" fontId="48" fillId="5" borderId="2" xfId="5" applyFont="1" applyFill="1" applyBorder="1" applyAlignment="1">
      <alignment horizontal="center" vertical="center" wrapText="1"/>
    </xf>
    <xf numFmtId="0" fontId="48" fillId="5" borderId="16" xfId="5" applyFont="1" applyFill="1" applyBorder="1" applyAlignment="1">
      <alignment horizontal="center" vertical="center" wrapText="1"/>
    </xf>
    <xf numFmtId="49" fontId="61" fillId="0" borderId="1" xfId="5" applyNumberFormat="1" applyFont="1" applyFill="1" applyBorder="1" applyAlignment="1">
      <alignment horizontal="center" vertical="center" wrapText="1"/>
    </xf>
    <xf numFmtId="2" fontId="61" fillId="0" borderId="1" xfId="5" applyNumberFormat="1" applyFont="1" applyFill="1" applyBorder="1" applyAlignment="1">
      <alignment horizontal="center" vertical="center" wrapText="1"/>
    </xf>
    <xf numFmtId="4" fontId="61" fillId="0" borderId="1" xfId="5" applyNumberFormat="1" applyFont="1" applyFill="1" applyBorder="1" applyAlignment="1">
      <alignment horizontal="center" vertical="center" wrapText="1"/>
    </xf>
    <xf numFmtId="0" fontId="61" fillId="0" borderId="1" xfId="5" applyFont="1" applyFill="1" applyBorder="1" applyAlignment="1">
      <alignment horizontal="center" vertical="center" wrapText="1"/>
    </xf>
    <xf numFmtId="0" fontId="37" fillId="2" borderId="7" xfId="0" applyFont="1" applyFill="1" applyBorder="1" applyAlignment="1">
      <alignment horizontal="center" vertical="center"/>
    </xf>
    <xf numFmtId="0" fontId="37" fillId="2" borderId="11" xfId="0" applyFont="1" applyFill="1" applyBorder="1" applyAlignment="1">
      <alignment horizontal="center" vertical="center"/>
    </xf>
    <xf numFmtId="0" fontId="37" fillId="2" borderId="12" xfId="0" applyFont="1" applyFill="1" applyBorder="1" applyAlignment="1">
      <alignment horizontal="center" vertical="center"/>
    </xf>
    <xf numFmtId="0" fontId="49" fillId="2" borderId="1" xfId="0" applyFont="1" applyFill="1" applyBorder="1" applyAlignment="1">
      <alignment horizontal="center" vertical="center"/>
    </xf>
    <xf numFmtId="0" fontId="93" fillId="2" borderId="0" xfId="0" applyFont="1" applyFill="1" applyAlignment="1">
      <alignment horizontal="center" vertical="center" wrapText="1"/>
    </xf>
    <xf numFmtId="0" fontId="49" fillId="0" borderId="1" xfId="0" applyFont="1" applyBorder="1" applyAlignment="1">
      <alignment horizontal="center" vertical="center" wrapText="1"/>
    </xf>
    <xf numFmtId="0" fontId="61" fillId="0" borderId="1" xfId="0" applyFont="1" applyFill="1" applyBorder="1" applyAlignment="1">
      <alignment horizontal="center" vertical="center" wrapText="1"/>
    </xf>
    <xf numFmtId="0" fontId="77" fillId="0" borderId="0" xfId="0" applyFont="1" applyAlignment="1">
      <alignment horizontal="center" vertical="center"/>
    </xf>
    <xf numFmtId="0" fontId="61" fillId="0" borderId="0" xfId="0" applyFont="1" applyAlignment="1">
      <alignment horizontal="center"/>
    </xf>
    <xf numFmtId="0" fontId="61" fillId="0" borderId="10" xfId="0" applyFont="1" applyBorder="1" applyAlignment="1">
      <alignment horizontal="center" vertical="center" wrapText="1"/>
    </xf>
    <xf numFmtId="0" fontId="61" fillId="0" borderId="9" xfId="0" applyFont="1" applyBorder="1" applyAlignment="1">
      <alignment horizontal="center" vertical="center" wrapText="1"/>
    </xf>
    <xf numFmtId="0" fontId="61" fillId="0" borderId="8" xfId="0" applyFont="1" applyBorder="1" applyAlignment="1">
      <alignment horizontal="center" vertical="center" wrapText="1"/>
    </xf>
    <xf numFmtId="0" fontId="49" fillId="0" borderId="10" xfId="0" applyFont="1" applyBorder="1" applyAlignment="1">
      <alignment horizontal="center" vertical="center" wrapText="1"/>
    </xf>
    <xf numFmtId="0" fontId="49" fillId="0" borderId="9" xfId="0" applyFont="1" applyBorder="1" applyAlignment="1">
      <alignment horizontal="center" vertical="center" wrapText="1"/>
    </xf>
    <xf numFmtId="0" fontId="49" fillId="0" borderId="8" xfId="0" applyFont="1" applyBorder="1" applyAlignment="1">
      <alignment horizontal="center" vertical="center" wrapText="1"/>
    </xf>
    <xf numFmtId="0" fontId="49" fillId="2" borderId="7" xfId="5" applyFont="1" applyFill="1" applyBorder="1" applyAlignment="1">
      <alignment horizontal="center" vertical="center" wrapText="1"/>
    </xf>
    <xf numFmtId="0" fontId="49" fillId="2" borderId="11" xfId="5" applyFont="1" applyFill="1" applyBorder="1" applyAlignment="1">
      <alignment horizontal="center" vertical="center" wrapText="1"/>
    </xf>
    <xf numFmtId="0" fontId="49" fillId="2" borderId="12" xfId="5"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11" xfId="0" applyFont="1" applyBorder="1" applyAlignment="1">
      <alignment horizontal="center" vertical="center" wrapText="1"/>
    </xf>
    <xf numFmtId="0" fontId="49" fillId="0" borderId="12" xfId="0" applyFont="1" applyBorder="1" applyAlignment="1">
      <alignment horizontal="center" vertical="center" wrapText="1"/>
    </xf>
    <xf numFmtId="0" fontId="49" fillId="0" borderId="3" xfId="0" applyFont="1" applyBorder="1" applyAlignment="1">
      <alignment horizontal="center" vertical="center" wrapText="1"/>
    </xf>
    <xf numFmtId="0" fontId="49" fillId="0" borderId="2" xfId="0" applyFont="1" applyBorder="1" applyAlignment="1">
      <alignment horizontal="center" vertical="center" wrapText="1"/>
    </xf>
    <xf numFmtId="0" fontId="49" fillId="0" borderId="16" xfId="0" applyFont="1" applyBorder="1" applyAlignment="1">
      <alignment horizontal="center" vertical="center" wrapText="1"/>
    </xf>
    <xf numFmtId="0" fontId="49" fillId="0" borderId="1" xfId="0" applyFont="1" applyBorder="1" applyAlignment="1">
      <alignment horizontal="center" vertical="center"/>
    </xf>
    <xf numFmtId="0" fontId="61" fillId="0" borderId="1" xfId="0" applyFont="1" applyBorder="1" applyAlignment="1">
      <alignment horizontal="center" vertical="center" wrapText="1"/>
    </xf>
    <xf numFmtId="0" fontId="61" fillId="2" borderId="10" xfId="0" applyFont="1" applyFill="1" applyBorder="1" applyAlignment="1">
      <alignment horizontal="center" vertical="center"/>
    </xf>
    <xf numFmtId="0" fontId="61" fillId="2" borderId="9" xfId="0" applyFont="1" applyFill="1" applyBorder="1" applyAlignment="1">
      <alignment horizontal="center" vertical="center"/>
    </xf>
    <xf numFmtId="0" fontId="61" fillId="2" borderId="8" xfId="0" applyFont="1" applyFill="1" applyBorder="1" applyAlignment="1">
      <alignment horizontal="center" vertical="center"/>
    </xf>
    <xf numFmtId="0" fontId="91" fillId="0" borderId="0" xfId="0" applyFont="1" applyFill="1" applyAlignment="1">
      <alignment horizontal="center" vertical="center"/>
    </xf>
    <xf numFmtId="0" fontId="61" fillId="2" borderId="10" xfId="5" applyFont="1" applyFill="1" applyBorder="1" applyAlignment="1">
      <alignment horizontal="center" vertical="center" wrapText="1"/>
    </xf>
    <xf numFmtId="0" fontId="61" fillId="2" borderId="9" xfId="5" applyFont="1" applyFill="1" applyBorder="1" applyAlignment="1">
      <alignment horizontal="center" vertical="center" wrapText="1"/>
    </xf>
    <xf numFmtId="0" fontId="91" fillId="5" borderId="0" xfId="0" applyFont="1" applyFill="1" applyBorder="1" applyAlignment="1">
      <alignment horizontal="center" vertical="center" wrapText="1"/>
    </xf>
    <xf numFmtId="0" fontId="49" fillId="0" borderId="12" xfId="0" applyFont="1" applyFill="1" applyBorder="1" applyAlignment="1">
      <alignment horizontal="center" vertical="center" wrapText="1"/>
    </xf>
    <xf numFmtId="0" fontId="61" fillId="0" borderId="7" xfId="5" applyFont="1" applyFill="1" applyBorder="1" applyAlignment="1">
      <alignment horizontal="center" vertical="center" wrapText="1"/>
    </xf>
    <xf numFmtId="0" fontId="61" fillId="0" borderId="11" xfId="5" applyFont="1" applyFill="1" applyBorder="1" applyAlignment="1">
      <alignment horizontal="center" vertical="center" wrapText="1"/>
    </xf>
    <xf numFmtId="0" fontId="61" fillId="0" borderId="12" xfId="5" applyFont="1" applyFill="1" applyBorder="1" applyAlignment="1">
      <alignment horizontal="center" vertical="center" wrapText="1"/>
    </xf>
    <xf numFmtId="0" fontId="61" fillId="2" borderId="7" xfId="5" applyFont="1" applyFill="1" applyBorder="1" applyAlignment="1">
      <alignment horizontal="center" vertical="center" wrapText="1"/>
    </xf>
    <xf numFmtId="0" fontId="61" fillId="2" borderId="11" xfId="5" applyFont="1" applyFill="1" applyBorder="1" applyAlignment="1">
      <alignment horizontal="center" vertical="center" wrapText="1"/>
    </xf>
    <xf numFmtId="0" fontId="61" fillId="2" borderId="12" xfId="5" applyFont="1" applyFill="1" applyBorder="1" applyAlignment="1">
      <alignment horizontal="center" vertical="center" wrapText="1"/>
    </xf>
    <xf numFmtId="0" fontId="61" fillId="2" borderId="8" xfId="5" applyFont="1" applyFill="1" applyBorder="1" applyAlignment="1">
      <alignment horizontal="center" vertical="center" wrapText="1"/>
    </xf>
    <xf numFmtId="0" fontId="49" fillId="0" borderId="1" xfId="0" applyFont="1" applyFill="1" applyBorder="1" applyAlignment="1">
      <alignment horizontal="center" vertical="center" wrapText="1"/>
    </xf>
    <xf numFmtId="0" fontId="81" fillId="2" borderId="0" xfId="0" applyFont="1" applyFill="1" applyBorder="1" applyAlignment="1">
      <alignment horizontal="center" vertical="center" wrapText="1"/>
    </xf>
    <xf numFmtId="0" fontId="92" fillId="2" borderId="0" xfId="0" applyFont="1" applyFill="1" applyBorder="1" applyAlignment="1">
      <alignment horizontal="center" vertical="center" wrapText="1"/>
    </xf>
    <xf numFmtId="0" fontId="61" fillId="2" borderId="10" xfId="0" applyFont="1" applyFill="1" applyBorder="1" applyAlignment="1">
      <alignment horizontal="center" vertical="center" wrapText="1"/>
    </xf>
    <xf numFmtId="0" fontId="61" fillId="2" borderId="8" xfId="0" applyFont="1" applyFill="1" applyBorder="1" applyAlignment="1">
      <alignment horizontal="center" vertical="center" wrapText="1"/>
    </xf>
    <xf numFmtId="0" fontId="81" fillId="2" borderId="7" xfId="0" applyFont="1" applyFill="1" applyBorder="1" applyAlignment="1">
      <alignment horizontal="center" vertical="center" wrapText="1"/>
    </xf>
    <xf numFmtId="0" fontId="62" fillId="0" borderId="0" xfId="5" applyFont="1" applyFill="1" applyAlignment="1">
      <alignment horizontal="center" vertical="center" wrapText="1"/>
    </xf>
    <xf numFmtId="0" fontId="77" fillId="0" borderId="0" xfId="5" applyFont="1" applyFill="1" applyBorder="1" applyAlignment="1">
      <alignment horizontal="center"/>
    </xf>
    <xf numFmtId="0" fontId="48" fillId="0" borderId="0" xfId="5" applyFont="1" applyFill="1" applyBorder="1" applyAlignment="1">
      <alignment horizontal="center" vertical="center" wrapText="1"/>
    </xf>
    <xf numFmtId="0" fontId="62" fillId="2" borderId="7" xfId="5" applyFont="1" applyFill="1" applyBorder="1" applyAlignment="1">
      <alignment horizontal="right" vertical="center"/>
    </xf>
    <xf numFmtId="0" fontId="62" fillId="2" borderId="11" xfId="5" applyFont="1" applyFill="1" applyBorder="1" applyAlignment="1">
      <alignment horizontal="right" vertical="center"/>
    </xf>
    <xf numFmtId="0" fontId="62" fillId="2" borderId="12" xfId="5" applyFont="1" applyFill="1" applyBorder="1" applyAlignment="1">
      <alignment horizontal="right" vertical="center"/>
    </xf>
    <xf numFmtId="0" fontId="62" fillId="0" borderId="7" xfId="5" applyFont="1" applyFill="1" applyBorder="1" applyAlignment="1">
      <alignment horizontal="right" vertical="center"/>
    </xf>
    <xf numFmtId="0" fontId="62" fillId="0" borderId="11" xfId="5" applyFont="1" applyFill="1" applyBorder="1" applyAlignment="1">
      <alignment horizontal="right" vertical="center"/>
    </xf>
    <xf numFmtId="0" fontId="62" fillId="0" borderId="12" xfId="5" applyFont="1" applyFill="1" applyBorder="1" applyAlignment="1">
      <alignment horizontal="right" vertical="center"/>
    </xf>
    <xf numFmtId="4" fontId="0" fillId="0" borderId="1" xfId="0" applyNumberFormat="1" applyFill="1" applyBorder="1" applyAlignment="1">
      <alignment horizontal="center" vertical="center" wrapText="1"/>
    </xf>
    <xf numFmtId="0" fontId="61" fillId="0" borderId="10" xfId="5" applyFont="1" applyFill="1" applyBorder="1" applyAlignment="1">
      <alignment horizontal="center" vertical="center"/>
    </xf>
    <xf numFmtId="0" fontId="61" fillId="0" borderId="8" xfId="5" applyFont="1" applyFill="1" applyBorder="1" applyAlignment="1">
      <alignment horizontal="center" vertical="center"/>
    </xf>
    <xf numFmtId="0" fontId="61" fillId="0" borderId="10" xfId="5" applyFont="1" applyFill="1" applyBorder="1" applyAlignment="1">
      <alignment horizontal="center" vertical="center" wrapText="1"/>
    </xf>
    <xf numFmtId="0" fontId="61" fillId="0" borderId="9" xfId="5" applyFont="1" applyFill="1" applyBorder="1" applyAlignment="1">
      <alignment horizontal="center" vertical="center" wrapText="1"/>
    </xf>
    <xf numFmtId="0" fontId="61" fillId="0" borderId="8" xfId="5" applyFont="1" applyFill="1" applyBorder="1" applyAlignment="1">
      <alignment horizontal="center" vertical="center" wrapText="1"/>
    </xf>
    <xf numFmtId="0" fontId="61" fillId="0" borderId="1" xfId="5" applyFont="1" applyFill="1" applyBorder="1" applyAlignment="1">
      <alignment horizontal="center" vertical="center"/>
    </xf>
    <xf numFmtId="0" fontId="76" fillId="2" borderId="0" xfId="5" applyFont="1" applyFill="1" applyAlignment="1">
      <alignment horizontal="center" wrapText="1"/>
    </xf>
    <xf numFmtId="0" fontId="62" fillId="2" borderId="1" xfId="5" applyFont="1" applyFill="1" applyBorder="1" applyAlignment="1">
      <alignment horizontal="center" vertical="center" wrapText="1"/>
    </xf>
    <xf numFmtId="0" fontId="62" fillId="2" borderId="10" xfId="5" applyFont="1" applyFill="1" applyBorder="1" applyAlignment="1">
      <alignment horizontal="center" vertical="center" wrapText="1"/>
    </xf>
    <xf numFmtId="0" fontId="62" fillId="2" borderId="8" xfId="5" applyFont="1" applyFill="1" applyBorder="1" applyAlignment="1">
      <alignment horizontal="center" vertical="center" wrapText="1"/>
    </xf>
    <xf numFmtId="0" fontId="62" fillId="2" borderId="7" xfId="5" applyFont="1" applyFill="1" applyBorder="1" applyAlignment="1">
      <alignment horizontal="center" vertical="center" wrapText="1"/>
    </xf>
    <xf numFmtId="0" fontId="62" fillId="2" borderId="11" xfId="5" applyFont="1" applyFill="1" applyBorder="1" applyAlignment="1">
      <alignment horizontal="center" vertical="center" wrapText="1"/>
    </xf>
    <xf numFmtId="0" fontId="62" fillId="2" borderId="12" xfId="5" applyFont="1" applyFill="1" applyBorder="1" applyAlignment="1">
      <alignment horizontal="center" vertical="center" wrapText="1"/>
    </xf>
    <xf numFmtId="0" fontId="81" fillId="0" borderId="1" xfId="0" applyFont="1" applyBorder="1" applyAlignment="1">
      <alignment horizontal="center" vertical="center" wrapText="1"/>
    </xf>
    <xf numFmtId="0" fontId="76" fillId="2" borderId="0" xfId="5" applyFont="1" applyFill="1" applyAlignment="1">
      <alignment horizontal="center" vertical="center" wrapText="1"/>
    </xf>
    <xf numFmtId="0" fontId="49" fillId="2" borderId="0" xfId="5" applyFont="1" applyFill="1" applyBorder="1" applyAlignment="1">
      <alignment horizontal="center" vertical="center" wrapText="1"/>
    </xf>
    <xf numFmtId="49" fontId="81" fillId="0" borderId="1" xfId="0" applyNumberFormat="1" applyFont="1" applyBorder="1" applyAlignment="1">
      <alignment horizontal="center" vertical="center" wrapText="1"/>
    </xf>
    <xf numFmtId="0" fontId="75" fillId="0" borderId="0" xfId="5" applyFont="1" applyFill="1" applyAlignment="1">
      <alignment horizontal="center" wrapText="1"/>
    </xf>
    <xf numFmtId="0" fontId="72" fillId="0" borderId="4" xfId="5" applyFont="1" applyFill="1" applyBorder="1" applyAlignment="1">
      <alignment horizontal="center" vertical="center"/>
    </xf>
    <xf numFmtId="0" fontId="61" fillId="2" borderId="0" xfId="5" applyFont="1" applyFill="1" applyBorder="1" applyAlignment="1">
      <alignment horizontal="center" wrapText="1"/>
    </xf>
    <xf numFmtId="0" fontId="0" fillId="0" borderId="0" xfId="0" applyAlignment="1">
      <alignment wrapText="1"/>
    </xf>
    <xf numFmtId="0" fontId="61" fillId="2" borderId="0" xfId="5" applyFont="1" applyFill="1" applyBorder="1" applyAlignment="1">
      <alignment horizontal="center" vertical="top" wrapText="1"/>
    </xf>
    <xf numFmtId="0" fontId="0" fillId="0" borderId="0" xfId="0" applyAlignment="1">
      <alignment vertical="top" wrapText="1"/>
    </xf>
    <xf numFmtId="0" fontId="46" fillId="2" borderId="7" xfId="5" applyFont="1" applyFill="1" applyBorder="1" applyAlignment="1">
      <alignment horizontal="center" vertical="center" wrapText="1"/>
    </xf>
    <xf numFmtId="0" fontId="46" fillId="2" borderId="11" xfId="5" applyFont="1" applyFill="1" applyBorder="1" applyAlignment="1">
      <alignment horizontal="center" vertical="center" wrapText="1"/>
    </xf>
    <xf numFmtId="0" fontId="46" fillId="2" borderId="12" xfId="5" applyFont="1" applyFill="1" applyBorder="1" applyAlignment="1">
      <alignment horizontal="center" vertical="center" wrapText="1"/>
    </xf>
    <xf numFmtId="0" fontId="61" fillId="2" borderId="4" xfId="5" applyFont="1" applyFill="1" applyBorder="1" applyAlignment="1">
      <alignment horizontal="center"/>
    </xf>
    <xf numFmtId="0" fontId="61" fillId="2" borderId="1" xfId="5" applyFont="1" applyFill="1" applyBorder="1" applyAlignment="1">
      <alignment horizontal="center" vertical="center" wrapText="1"/>
    </xf>
    <xf numFmtId="0" fontId="62" fillId="7" borderId="7" xfId="5" applyFont="1" applyFill="1" applyBorder="1" applyAlignment="1">
      <alignment horizontal="center" vertical="center" wrapText="1"/>
    </xf>
    <xf numFmtId="0" fontId="62" fillId="7" borderId="11" xfId="5" applyFont="1" applyFill="1" applyBorder="1" applyAlignment="1">
      <alignment horizontal="center" vertical="center" wrapText="1"/>
    </xf>
    <xf numFmtId="0" fontId="62" fillId="7" borderId="12" xfId="5" applyFont="1" applyFill="1" applyBorder="1" applyAlignment="1">
      <alignment horizontal="center" vertical="center" wrapText="1"/>
    </xf>
    <xf numFmtId="0" fontId="62" fillId="7" borderId="3" xfId="5" applyFont="1" applyFill="1" applyBorder="1" applyAlignment="1">
      <alignment horizontal="center" vertical="center" wrapText="1"/>
    </xf>
    <xf numFmtId="0" fontId="62" fillId="7" borderId="2" xfId="5" applyFont="1" applyFill="1" applyBorder="1" applyAlignment="1">
      <alignment horizontal="center" vertical="center" wrapText="1"/>
    </xf>
    <xf numFmtId="0" fontId="62" fillId="7" borderId="16" xfId="5" applyFont="1" applyFill="1" applyBorder="1" applyAlignment="1">
      <alignment horizontal="center" vertical="center" wrapText="1"/>
    </xf>
    <xf numFmtId="0" fontId="62" fillId="7" borderId="3" xfId="5" applyFont="1" applyFill="1" applyBorder="1" applyAlignment="1">
      <alignment horizontal="center" vertical="center"/>
    </xf>
    <xf numFmtId="0" fontId="62" fillId="7" borderId="2" xfId="5" applyFont="1" applyFill="1" applyBorder="1" applyAlignment="1">
      <alignment horizontal="center" vertical="center"/>
    </xf>
    <xf numFmtId="0" fontId="62" fillId="7" borderId="16" xfId="5" applyFont="1" applyFill="1" applyBorder="1" applyAlignment="1">
      <alignment horizontal="center" vertical="center"/>
    </xf>
    <xf numFmtId="0" fontId="61" fillId="2" borderId="0" xfId="5" applyFont="1" applyFill="1" applyBorder="1" applyAlignment="1">
      <alignment horizontal="center" vertical="center" wrapText="1"/>
    </xf>
    <xf numFmtId="0" fontId="77" fillId="0" borderId="0" xfId="5" applyFont="1" applyFill="1" applyBorder="1" applyAlignment="1">
      <alignment horizontal="center" vertical="center" wrapText="1"/>
    </xf>
    <xf numFmtId="49" fontId="49" fillId="0" borderId="1" xfId="5" applyNumberFormat="1" applyFont="1" applyFill="1" applyBorder="1" applyAlignment="1">
      <alignment horizontal="center" vertical="center" wrapText="1"/>
    </xf>
    <xf numFmtId="0" fontId="49" fillId="0" borderId="7" xfId="5" applyFont="1" applyFill="1" applyBorder="1" applyAlignment="1">
      <alignment horizontal="center" vertical="center" wrapText="1"/>
    </xf>
    <xf numFmtId="0" fontId="49" fillId="0" borderId="11" xfId="5" applyFont="1" applyFill="1" applyBorder="1" applyAlignment="1">
      <alignment horizontal="center" vertical="center" wrapText="1"/>
    </xf>
    <xf numFmtId="0" fontId="49" fillId="0" borderId="12" xfId="5" applyFont="1" applyFill="1" applyBorder="1" applyAlignment="1">
      <alignment horizontal="center" vertical="center" wrapText="1"/>
    </xf>
    <xf numFmtId="0" fontId="28" fillId="5" borderId="18" xfId="0" applyFont="1" applyFill="1" applyBorder="1" applyAlignment="1">
      <alignment horizontal="left" vertical="center" wrapText="1"/>
    </xf>
    <xf numFmtId="0" fontId="28" fillId="5" borderId="2" xfId="0" applyFont="1" applyFill="1" applyBorder="1" applyAlignment="1">
      <alignment horizontal="left" vertical="center" wrapText="1"/>
    </xf>
    <xf numFmtId="0" fontId="28" fillId="5" borderId="19" xfId="0" applyFont="1" applyFill="1" applyBorder="1" applyAlignment="1">
      <alignment horizontal="left" vertical="center" wrapText="1"/>
    </xf>
    <xf numFmtId="0" fontId="28" fillId="5" borderId="4" xfId="0" applyFont="1" applyFill="1" applyBorder="1" applyAlignment="1">
      <alignment horizontal="left" vertical="center" wrapText="1"/>
    </xf>
    <xf numFmtId="4" fontId="28" fillId="5" borderId="2" xfId="0" applyNumberFormat="1" applyFont="1" applyFill="1" applyBorder="1" applyAlignment="1">
      <alignment horizontal="center" vertical="center"/>
    </xf>
    <xf numFmtId="4" fontId="28" fillId="5" borderId="4" xfId="0" applyNumberFormat="1" applyFont="1" applyFill="1" applyBorder="1" applyAlignment="1">
      <alignment horizontal="center" vertical="center"/>
    </xf>
    <xf numFmtId="4" fontId="28" fillId="5" borderId="10" xfId="0" applyNumberFormat="1" applyFont="1" applyFill="1" applyBorder="1" applyAlignment="1">
      <alignment horizontal="center" vertical="center"/>
    </xf>
    <xf numFmtId="4" fontId="28" fillId="5" borderId="8" xfId="0" applyNumberFormat="1" applyFont="1" applyFill="1" applyBorder="1" applyAlignment="1">
      <alignment horizontal="center" vertical="center"/>
    </xf>
    <xf numFmtId="4" fontId="28" fillId="5" borderId="10" xfId="0" applyNumberFormat="1" applyFont="1" applyFill="1" applyBorder="1" applyAlignment="1">
      <alignment horizontal="right" vertical="center"/>
    </xf>
    <xf numFmtId="4" fontId="28" fillId="5" borderId="8" xfId="0" applyNumberFormat="1" applyFont="1" applyFill="1" applyBorder="1" applyAlignment="1">
      <alignment horizontal="right" vertical="center"/>
    </xf>
    <xf numFmtId="4" fontId="28" fillId="5" borderId="33" xfId="0" applyNumberFormat="1" applyFont="1" applyFill="1" applyBorder="1" applyAlignment="1">
      <alignment horizontal="center" vertical="center"/>
    </xf>
    <xf numFmtId="4" fontId="28" fillId="5" borderId="35" xfId="0" applyNumberFormat="1" applyFont="1" applyFill="1" applyBorder="1" applyAlignment="1">
      <alignment horizontal="center" vertical="center"/>
    </xf>
    <xf numFmtId="4" fontId="33" fillId="0" borderId="28" xfId="0" applyNumberFormat="1" applyFont="1" applyFill="1" applyBorder="1" applyAlignment="1">
      <alignment horizontal="center" vertical="center"/>
    </xf>
    <xf numFmtId="4" fontId="33" fillId="0" borderId="1" xfId="0" applyNumberFormat="1" applyFont="1" applyFill="1" applyBorder="1" applyAlignment="1">
      <alignment horizontal="center" vertical="center"/>
    </xf>
    <xf numFmtId="4" fontId="33" fillId="0" borderId="22" xfId="0" applyNumberFormat="1" applyFont="1" applyFill="1" applyBorder="1" applyAlignment="1">
      <alignment horizontal="center" vertical="center"/>
    </xf>
    <xf numFmtId="4" fontId="33" fillId="0" borderId="28" xfId="0" applyNumberFormat="1" applyFont="1" applyFill="1" applyBorder="1" applyAlignment="1">
      <alignment horizontal="left" vertical="top" wrapText="1"/>
    </xf>
    <xf numFmtId="4" fontId="33" fillId="0" borderId="1" xfId="0" applyNumberFormat="1" applyFont="1" applyFill="1" applyBorder="1" applyAlignment="1">
      <alignment horizontal="left" vertical="top" wrapText="1"/>
    </xf>
    <xf numFmtId="4" fontId="33" fillId="0" borderId="22" xfId="0" applyNumberFormat="1" applyFont="1" applyFill="1" applyBorder="1" applyAlignment="1">
      <alignment horizontal="left" vertical="top" wrapText="1"/>
    </xf>
    <xf numFmtId="4" fontId="33" fillId="0" borderId="57" xfId="0" applyNumberFormat="1" applyFont="1" applyFill="1" applyBorder="1" applyAlignment="1">
      <alignment horizontal="left" vertical="top" wrapText="1"/>
    </xf>
    <xf numFmtId="4" fontId="33" fillId="0" borderId="12" xfId="0" applyNumberFormat="1" applyFont="1" applyFill="1" applyBorder="1" applyAlignment="1">
      <alignment horizontal="left" vertical="top" wrapText="1"/>
    </xf>
    <xf numFmtId="4" fontId="33" fillId="0" borderId="58" xfId="0" applyNumberFormat="1" applyFont="1" applyFill="1" applyBorder="1" applyAlignment="1">
      <alignment horizontal="left" vertical="top" wrapText="1"/>
    </xf>
    <xf numFmtId="4" fontId="33" fillId="0" borderId="0" xfId="0" applyNumberFormat="1" applyFont="1" applyFill="1" applyBorder="1" applyAlignment="1">
      <alignment horizontal="center"/>
    </xf>
    <xf numFmtId="4" fontId="33" fillId="0" borderId="49" xfId="0" applyNumberFormat="1" applyFont="1" applyFill="1" applyBorder="1" applyAlignment="1">
      <alignment horizontal="left" vertical="top" wrapText="1"/>
    </xf>
    <xf numFmtId="4" fontId="33" fillId="0" borderId="36" xfId="0" applyNumberFormat="1" applyFont="1" applyFill="1" applyBorder="1" applyAlignment="1">
      <alignment horizontal="left" vertical="top" wrapText="1"/>
    </xf>
    <xf numFmtId="4" fontId="33" fillId="0" borderId="44" xfId="0" applyNumberFormat="1" applyFont="1" applyFill="1" applyBorder="1" applyAlignment="1">
      <alignment horizontal="left" vertical="top" wrapText="1"/>
    </xf>
    <xf numFmtId="4" fontId="33" fillId="0" borderId="45" xfId="0" applyNumberFormat="1" applyFont="1" applyFill="1" applyBorder="1" applyAlignment="1">
      <alignment horizontal="left" vertical="top" wrapText="1"/>
    </xf>
    <xf numFmtId="4" fontId="33" fillId="0" borderId="35" xfId="0" applyNumberFormat="1" applyFont="1" applyFill="1" applyBorder="1" applyAlignment="1">
      <alignment horizontal="left" vertical="top" wrapText="1"/>
    </xf>
    <xf numFmtId="4" fontId="33" fillId="12" borderId="28" xfId="0" applyNumberFormat="1" applyFont="1" applyFill="1" applyBorder="1" applyAlignment="1">
      <alignment horizontal="center" vertical="center"/>
    </xf>
    <xf numFmtId="4" fontId="33" fillId="12" borderId="22" xfId="0" applyNumberFormat="1" applyFont="1" applyFill="1" applyBorder="1" applyAlignment="1">
      <alignment horizontal="center" vertical="center"/>
    </xf>
    <xf numFmtId="4" fontId="28" fillId="0" borderId="33" xfId="0" applyNumberFormat="1" applyFont="1" applyFill="1" applyBorder="1" applyAlignment="1">
      <alignment horizontal="left" vertical="top" wrapText="1"/>
    </xf>
    <xf numFmtId="4" fontId="28" fillId="0" borderId="42" xfId="0" applyNumberFormat="1" applyFont="1" applyFill="1" applyBorder="1" applyAlignment="1">
      <alignment horizontal="left" vertical="top" wrapText="1"/>
    </xf>
    <xf numFmtId="4" fontId="28" fillId="0" borderId="47" xfId="0" applyNumberFormat="1" applyFont="1" applyFill="1" applyBorder="1" applyAlignment="1">
      <alignment horizontal="left" vertical="top" wrapText="1"/>
    </xf>
    <xf numFmtId="4" fontId="33" fillId="12" borderId="1" xfId="0" applyNumberFormat="1" applyFont="1" applyFill="1" applyBorder="1" applyAlignment="1">
      <alignment horizontal="center" vertical="center"/>
    </xf>
    <xf numFmtId="4" fontId="33" fillId="0" borderId="52" xfId="0" applyNumberFormat="1" applyFont="1" applyFill="1" applyBorder="1" applyAlignment="1">
      <alignment horizontal="center" vertical="center"/>
    </xf>
    <xf numFmtId="4" fontId="33" fillId="0" borderId="15" xfId="0" applyNumberFormat="1" applyFont="1" applyFill="1" applyBorder="1" applyAlignment="1">
      <alignment horizontal="center" vertical="center"/>
    </xf>
    <xf numFmtId="0" fontId="75" fillId="0" borderId="0" xfId="0" applyFont="1" applyAlignment="1">
      <alignment horizontal="center" vertical="center"/>
    </xf>
    <xf numFmtId="0" fontId="0" fillId="0" borderId="0" xfId="0" applyAlignment="1">
      <alignment horizontal="left" vertical="center" wrapText="1"/>
    </xf>
    <xf numFmtId="0" fontId="72" fillId="0" borderId="0" xfId="0" applyFont="1" applyAlignment="1">
      <alignment horizontal="left" vertical="center"/>
    </xf>
    <xf numFmtId="0" fontId="0" fillId="0" borderId="48" xfId="0" applyFill="1" applyBorder="1" applyAlignment="1">
      <alignment horizontal="center" vertical="center"/>
    </xf>
    <xf numFmtId="0" fontId="0" fillId="0" borderId="43" xfId="0" applyFill="1" applyBorder="1" applyAlignment="1">
      <alignment horizontal="center" vertical="center"/>
    </xf>
    <xf numFmtId="0" fontId="0" fillId="0" borderId="28" xfId="0" applyFill="1" applyBorder="1" applyAlignment="1">
      <alignment horizontal="center" vertical="center" wrapText="1"/>
    </xf>
    <xf numFmtId="0" fontId="0" fillId="0" borderId="1" xfId="0" applyFill="1" applyBorder="1" applyAlignment="1">
      <alignment horizontal="center" vertical="center" wrapText="1"/>
    </xf>
    <xf numFmtId="0" fontId="0" fillId="0" borderId="28" xfId="0" applyFill="1" applyBorder="1" applyAlignment="1">
      <alignment horizontal="center" vertical="center"/>
    </xf>
    <xf numFmtId="0" fontId="0" fillId="0" borderId="1" xfId="0" applyFill="1" applyBorder="1" applyAlignment="1">
      <alignment horizontal="center" vertical="center"/>
    </xf>
    <xf numFmtId="4" fontId="27" fillId="0" borderId="7" xfId="15" applyNumberFormat="1" applyFont="1" applyFill="1" applyBorder="1" applyAlignment="1">
      <alignment horizontal="center" vertical="center" wrapText="1"/>
    </xf>
    <xf numFmtId="4" fontId="27" fillId="0" borderId="24" xfId="15" applyNumberFormat="1" applyFont="1" applyFill="1" applyBorder="1" applyAlignment="1">
      <alignment horizontal="center" vertical="center" wrapText="1"/>
    </xf>
    <xf numFmtId="4" fontId="51" fillId="0" borderId="13" xfId="15" applyNumberFormat="1" applyFont="1" applyFill="1" applyBorder="1" applyAlignment="1">
      <alignment horizontal="center" vertical="center" wrapText="1"/>
    </xf>
    <xf numFmtId="4" fontId="51" fillId="0" borderId="31" xfId="15" applyNumberFormat="1" applyFont="1" applyFill="1" applyBorder="1" applyAlignment="1">
      <alignment horizontal="center" vertical="center" wrapText="1"/>
    </xf>
    <xf numFmtId="4" fontId="51" fillId="0" borderId="23" xfId="15" applyNumberFormat="1" applyFont="1" applyFill="1" applyBorder="1" applyAlignment="1">
      <alignment horizontal="center" vertical="center" wrapText="1"/>
    </xf>
    <xf numFmtId="0" fontId="0" fillId="0" borderId="30" xfId="0" applyFill="1" applyBorder="1" applyAlignment="1">
      <alignment horizontal="center" vertical="center" wrapText="1"/>
    </xf>
    <xf numFmtId="0" fontId="0" fillId="0" borderId="9" xfId="0" applyFill="1" applyBorder="1" applyAlignment="1">
      <alignment horizontal="center" vertical="center" wrapText="1"/>
    </xf>
    <xf numFmtId="0" fontId="0" fillId="0" borderId="8" xfId="0" applyFill="1" applyBorder="1" applyAlignment="1">
      <alignment horizontal="center" vertical="center" wrapText="1"/>
    </xf>
    <xf numFmtId="4" fontId="29" fillId="0" borderId="1" xfId="15" applyNumberFormat="1" applyFont="1" applyFill="1" applyBorder="1" applyAlignment="1">
      <alignment horizontal="center" vertical="center" wrapText="1"/>
    </xf>
    <xf numFmtId="4" fontId="29" fillId="0" borderId="36" xfId="15" applyNumberFormat="1" applyFont="1" applyFill="1" applyBorder="1" applyAlignment="1">
      <alignment horizontal="center" vertical="center" wrapText="1"/>
    </xf>
    <xf numFmtId="4" fontId="0" fillId="0" borderId="3" xfId="0" applyNumberFormat="1" applyFill="1" applyBorder="1" applyAlignment="1">
      <alignment horizontal="center" vertical="center" wrapText="1"/>
    </xf>
    <xf numFmtId="4" fontId="0" fillId="0" borderId="38" xfId="0" applyNumberFormat="1" applyFill="1" applyBorder="1" applyAlignment="1">
      <alignment horizontal="center" vertical="center" wrapText="1"/>
    </xf>
    <xf numFmtId="4" fontId="0" fillId="0" borderId="15" xfId="0" applyNumberFormat="1" applyFill="1" applyBorder="1" applyAlignment="1">
      <alignment horizontal="center" vertical="center" wrapText="1"/>
    </xf>
    <xf numFmtId="4" fontId="97" fillId="0" borderId="10" xfId="0" applyNumberFormat="1" applyFont="1" applyFill="1" applyBorder="1" applyAlignment="1">
      <alignment horizontal="center" vertical="center" wrapText="1"/>
    </xf>
    <xf numFmtId="4" fontId="97" fillId="0" borderId="8" xfId="0" applyNumberFormat="1" applyFont="1" applyFill="1" applyBorder="1" applyAlignment="1">
      <alignment horizontal="center" vertical="center" wrapText="1"/>
    </xf>
    <xf numFmtId="0" fontId="28" fillId="5" borderId="6" xfId="0" applyFont="1" applyFill="1" applyBorder="1" applyAlignment="1">
      <alignment horizontal="left" vertical="center" wrapText="1"/>
    </xf>
    <xf numFmtId="0" fontId="28" fillId="5" borderId="11" xfId="0" applyFont="1" applyFill="1" applyBorder="1" applyAlignment="1">
      <alignment horizontal="left" vertical="center" wrapText="1"/>
    </xf>
    <xf numFmtId="0" fontId="28" fillId="5" borderId="12" xfId="0" applyFont="1" applyFill="1" applyBorder="1" applyAlignment="1">
      <alignment horizontal="left" vertical="center" wrapText="1"/>
    </xf>
    <xf numFmtId="4" fontId="33" fillId="0" borderId="10" xfId="0" applyNumberFormat="1" applyFont="1" applyFill="1" applyBorder="1" applyAlignment="1">
      <alignment horizontal="center" vertical="center" wrapText="1"/>
    </xf>
    <xf numFmtId="4" fontId="33" fillId="0" borderId="8" xfId="0" applyNumberFormat="1" applyFont="1" applyFill="1" applyBorder="1" applyAlignment="1">
      <alignment horizontal="center" vertical="center" wrapText="1"/>
    </xf>
    <xf numFmtId="0" fontId="28" fillId="5" borderId="41" xfId="0" applyFont="1" applyFill="1" applyBorder="1" applyAlignment="1">
      <alignment horizontal="left" vertical="center" wrapText="1"/>
    </xf>
    <xf numFmtId="0" fontId="28" fillId="5" borderId="10" xfId="0" applyFont="1" applyFill="1" applyBorder="1" applyAlignment="1">
      <alignment horizontal="left" vertical="center" wrapText="1"/>
    </xf>
    <xf numFmtId="0" fontId="28" fillId="5" borderId="16" xfId="0" applyFont="1" applyFill="1" applyBorder="1" applyAlignment="1">
      <alignment horizontal="left" vertical="center" wrapText="1"/>
    </xf>
    <xf numFmtId="0" fontId="28" fillId="5" borderId="14" xfId="0" applyFont="1" applyFill="1" applyBorder="1" applyAlignment="1">
      <alignment horizontal="left" vertical="center" wrapText="1"/>
    </xf>
    <xf numFmtId="4" fontId="33" fillId="12" borderId="10" xfId="0" applyNumberFormat="1" applyFont="1" applyFill="1" applyBorder="1" applyAlignment="1">
      <alignment horizontal="left" vertical="center" wrapText="1"/>
    </xf>
    <xf numFmtId="4" fontId="33" fillId="12" borderId="8" xfId="0" applyNumberFormat="1" applyFont="1" applyFill="1" applyBorder="1" applyAlignment="1">
      <alignment horizontal="left" vertical="center" wrapText="1"/>
    </xf>
    <xf numFmtId="4" fontId="33" fillId="12" borderId="41" xfId="0" applyNumberFormat="1" applyFont="1" applyFill="1" applyBorder="1" applyAlignment="1">
      <alignment horizontal="left" vertical="center" wrapText="1"/>
    </xf>
    <xf numFmtId="4" fontId="33" fillId="12" borderId="34" xfId="0" applyNumberFormat="1" applyFont="1" applyFill="1" applyBorder="1" applyAlignment="1">
      <alignment horizontal="left" vertical="center" wrapText="1"/>
    </xf>
    <xf numFmtId="4" fontId="33" fillId="0" borderId="60" xfId="0" applyNumberFormat="1" applyFont="1" applyFill="1" applyBorder="1" applyAlignment="1">
      <alignment horizontal="left" vertical="top" wrapText="1"/>
    </xf>
    <xf numFmtId="4" fontId="33" fillId="0" borderId="14" xfId="0" applyNumberFormat="1" applyFont="1" applyFill="1" applyBorder="1" applyAlignment="1">
      <alignment horizontal="left" vertical="top" wrapText="1"/>
    </xf>
    <xf numFmtId="4" fontId="27" fillId="12" borderId="1" xfId="0" applyNumberFormat="1" applyFont="1" applyFill="1" applyBorder="1" applyAlignment="1">
      <alignment horizontal="left" vertical="top" wrapText="1"/>
    </xf>
    <xf numFmtId="4" fontId="33" fillId="12" borderId="1" xfId="0" applyNumberFormat="1" applyFont="1" applyFill="1" applyBorder="1" applyAlignment="1">
      <alignment horizontal="left" vertical="top" wrapText="1"/>
    </xf>
    <xf numFmtId="4" fontId="33" fillId="12" borderId="12" xfId="0" applyNumberFormat="1" applyFont="1" applyFill="1" applyBorder="1" applyAlignment="1">
      <alignment horizontal="left" vertical="top" wrapText="1"/>
    </xf>
    <xf numFmtId="4" fontId="33" fillId="0" borderId="30" xfId="0" applyNumberFormat="1" applyFont="1" applyFill="1" applyBorder="1" applyAlignment="1">
      <alignment horizontal="left" vertical="top" wrapText="1"/>
    </xf>
    <xf numFmtId="4" fontId="33" fillId="0" borderId="8" xfId="0" applyNumberFormat="1" applyFont="1" applyFill="1" applyBorder="1" applyAlignment="1">
      <alignment horizontal="left" vertical="top" wrapText="1"/>
    </xf>
    <xf numFmtId="4" fontId="33" fillId="0" borderId="30" xfId="0" applyNumberFormat="1" applyFont="1" applyFill="1" applyBorder="1" applyAlignment="1">
      <alignment horizontal="center" vertical="center"/>
    </xf>
    <xf numFmtId="4" fontId="33" fillId="0" borderId="8" xfId="0" applyNumberFormat="1" applyFont="1" applyFill="1" applyBorder="1" applyAlignment="1">
      <alignment horizontal="center" vertical="center"/>
    </xf>
    <xf numFmtId="4" fontId="33" fillId="0" borderId="9" xfId="0" applyNumberFormat="1" applyFont="1" applyFill="1" applyBorder="1" applyAlignment="1">
      <alignment horizontal="center" vertical="center" wrapText="1"/>
    </xf>
    <xf numFmtId="4" fontId="33" fillId="0" borderId="16" xfId="0" applyNumberFormat="1" applyFont="1" applyFill="1" applyBorder="1" applyAlignment="1">
      <alignment horizontal="center" vertical="center" wrapText="1"/>
    </xf>
    <xf numFmtId="4" fontId="33" fillId="0" borderId="39" xfId="0" applyNumberFormat="1" applyFont="1" applyFill="1" applyBorder="1" applyAlignment="1">
      <alignment horizontal="center" vertical="center" wrapText="1"/>
    </xf>
    <xf numFmtId="4" fontId="33" fillId="0" borderId="10" xfId="0" applyNumberFormat="1" applyFont="1" applyFill="1" applyBorder="1" applyAlignment="1">
      <alignment horizontal="center" vertical="center"/>
    </xf>
    <xf numFmtId="4" fontId="33" fillId="0" borderId="9" xfId="0" applyNumberFormat="1" applyFont="1" applyFill="1" applyBorder="1" applyAlignment="1">
      <alignment horizontal="center" vertical="center"/>
    </xf>
    <xf numFmtId="176" fontId="27" fillId="0" borderId="33" xfId="0" applyNumberFormat="1" applyFont="1" applyFill="1" applyBorder="1" applyAlignment="1">
      <alignment horizontal="center" vertical="center" wrapText="1"/>
    </xf>
    <xf numFmtId="176" fontId="27" fillId="0" borderId="42" xfId="0" applyNumberFormat="1" applyFont="1" applyFill="1" applyBorder="1" applyAlignment="1">
      <alignment horizontal="center" vertical="center" wrapText="1"/>
    </xf>
    <xf numFmtId="4" fontId="27" fillId="0" borderId="10" xfId="0" applyNumberFormat="1" applyFont="1" applyFill="1" applyBorder="1" applyAlignment="1">
      <alignment horizontal="center" vertical="center" wrapText="1"/>
    </xf>
    <xf numFmtId="4" fontId="27" fillId="0" borderId="9" xfId="0" applyNumberFormat="1" applyFont="1" applyFill="1" applyBorder="1" applyAlignment="1">
      <alignment horizontal="center" vertical="center" wrapText="1"/>
    </xf>
    <xf numFmtId="176" fontId="65" fillId="0" borderId="49" xfId="0" applyNumberFormat="1" applyFont="1" applyFill="1" applyBorder="1" applyAlignment="1">
      <alignment horizontal="center" vertical="center" wrapText="1"/>
    </xf>
    <xf numFmtId="176" fontId="65" fillId="0" borderId="36" xfId="0" applyNumberFormat="1" applyFont="1" applyFill="1" applyBorder="1" applyAlignment="1">
      <alignment horizontal="center" vertical="center" wrapText="1"/>
    </xf>
    <xf numFmtId="4" fontId="65" fillId="0" borderId="28" xfId="0" applyNumberFormat="1" applyFont="1" applyFill="1" applyBorder="1" applyAlignment="1">
      <alignment horizontal="center" vertical="center" wrapText="1"/>
    </xf>
    <xf numFmtId="4" fontId="65" fillId="0" borderId="1" xfId="0" applyNumberFormat="1" applyFont="1" applyFill="1" applyBorder="1" applyAlignment="1">
      <alignment horizontal="center" vertical="center" wrapText="1"/>
    </xf>
    <xf numFmtId="4" fontId="65" fillId="0" borderId="28" xfId="0" applyNumberFormat="1" applyFont="1" applyFill="1" applyBorder="1" applyAlignment="1">
      <alignment horizontal="left" vertical="top" wrapText="1"/>
    </xf>
    <xf numFmtId="4" fontId="65" fillId="0" borderId="1" xfId="0" applyNumberFormat="1" applyFont="1" applyFill="1" applyBorder="1" applyAlignment="1">
      <alignment horizontal="left" vertical="top" wrapText="1"/>
    </xf>
    <xf numFmtId="4" fontId="27" fillId="0" borderId="39" xfId="0" applyNumberFormat="1" applyFont="1" applyFill="1" applyBorder="1" applyAlignment="1">
      <alignment horizontal="left" vertical="top" wrapText="1"/>
    </xf>
    <xf numFmtId="4" fontId="27" fillId="0" borderId="28" xfId="0" applyNumberFormat="1" applyFont="1" applyFill="1" applyBorder="1" applyAlignment="1">
      <alignment horizontal="left" vertical="top" wrapText="1"/>
    </xf>
    <xf numFmtId="4" fontId="27" fillId="0" borderId="8" xfId="0" applyNumberFormat="1" applyFont="1" applyFill="1" applyBorder="1" applyAlignment="1">
      <alignment horizontal="left" vertical="top" wrapText="1"/>
    </xf>
    <xf numFmtId="4" fontId="27" fillId="0" borderId="1" xfId="0" applyNumberFormat="1" applyFont="1" applyFill="1" applyBorder="1" applyAlignment="1">
      <alignment horizontal="left" vertical="top" wrapText="1"/>
    </xf>
    <xf numFmtId="176" fontId="27" fillId="0" borderId="45" xfId="0" applyNumberFormat="1" applyFont="1" applyFill="1" applyBorder="1" applyAlignment="1">
      <alignment horizontal="center" vertical="center" wrapText="1"/>
    </xf>
    <xf numFmtId="176" fontId="27" fillId="0" borderId="47" xfId="0" applyNumberFormat="1" applyFont="1" applyFill="1" applyBorder="1" applyAlignment="1">
      <alignment horizontal="center" vertical="center" wrapText="1"/>
    </xf>
    <xf numFmtId="4" fontId="27" fillId="0" borderId="30" xfId="0" applyNumberFormat="1" applyFont="1" applyFill="1" applyBorder="1" applyAlignment="1">
      <alignment horizontal="center" vertical="center" wrapText="1"/>
    </xf>
    <xf numFmtId="4" fontId="27" fillId="0" borderId="46" xfId="0" applyNumberFormat="1" applyFont="1" applyFill="1" applyBorder="1" applyAlignment="1">
      <alignment horizontal="center" vertical="center" wrapText="1"/>
    </xf>
    <xf numFmtId="4" fontId="27" fillId="0" borderId="30" xfId="0" applyNumberFormat="1" applyFont="1" applyFill="1" applyBorder="1" applyAlignment="1">
      <alignment horizontal="left" vertical="top" wrapText="1"/>
    </xf>
    <xf numFmtId="4" fontId="27" fillId="0" borderId="46" xfId="0" applyNumberFormat="1" applyFont="1" applyFill="1" applyBorder="1" applyAlignment="1">
      <alignment horizontal="left" vertical="top" wrapText="1"/>
    </xf>
    <xf numFmtId="4" fontId="27" fillId="0" borderId="60" xfId="0" applyNumberFormat="1" applyFont="1" applyFill="1" applyBorder="1" applyAlignment="1">
      <alignment horizontal="left" vertical="top" wrapText="1"/>
    </xf>
    <xf numFmtId="4" fontId="27" fillId="0" borderId="62" xfId="0" applyNumberFormat="1" applyFont="1" applyFill="1" applyBorder="1" applyAlignment="1">
      <alignment horizontal="left" vertical="top" wrapText="1"/>
    </xf>
    <xf numFmtId="4" fontId="65" fillId="0" borderId="57" xfId="0" applyNumberFormat="1" applyFont="1" applyFill="1" applyBorder="1" applyAlignment="1">
      <alignment horizontal="left" vertical="top" wrapText="1"/>
    </xf>
    <xf numFmtId="4" fontId="65" fillId="0" borderId="12" xfId="0" applyNumberFormat="1" applyFont="1" applyFill="1" applyBorder="1" applyAlignment="1">
      <alignment horizontal="left" vertical="top" wrapText="1"/>
    </xf>
    <xf numFmtId="4" fontId="27" fillId="0" borderId="10" xfId="0" applyNumberFormat="1" applyFont="1" applyFill="1" applyBorder="1" applyAlignment="1">
      <alignment horizontal="left" vertical="top" wrapText="1"/>
    </xf>
    <xf numFmtId="4" fontId="27" fillId="0" borderId="9" xfId="0" applyNumberFormat="1" applyFont="1" applyFill="1" applyBorder="1" applyAlignment="1">
      <alignment horizontal="left" vertical="top" wrapText="1"/>
    </xf>
    <xf numFmtId="0" fontId="0" fillId="0" borderId="1" xfId="0" applyFont="1" applyFill="1" applyBorder="1" applyAlignment="1">
      <alignment horizontal="center" vertical="center" wrapText="1"/>
    </xf>
    <xf numFmtId="4" fontId="33" fillId="2" borderId="1" xfId="0" applyNumberFormat="1" applyFont="1" applyFill="1" applyBorder="1" applyAlignment="1">
      <alignment horizontal="center" vertical="center" wrapText="1"/>
    </xf>
    <xf numFmtId="4" fontId="33" fillId="0" borderId="1" xfId="0" applyNumberFormat="1" applyFont="1" applyFill="1" applyBorder="1" applyAlignment="1">
      <alignment horizontal="center" vertical="center" wrapText="1"/>
    </xf>
    <xf numFmtId="0" fontId="0" fillId="0" borderId="0" xfId="0" applyAlignment="1">
      <alignment horizontal="left" vertical="center"/>
    </xf>
    <xf numFmtId="4" fontId="0" fillId="0" borderId="0" xfId="0" applyNumberFormat="1" applyAlignment="1">
      <alignment horizontal="left" vertical="center" wrapText="1"/>
    </xf>
    <xf numFmtId="0" fontId="28" fillId="11" borderId="10" xfId="0" applyFont="1" applyFill="1" applyBorder="1" applyAlignment="1">
      <alignment horizontal="left" vertical="center" wrapText="1"/>
    </xf>
    <xf numFmtId="0" fontId="28" fillId="11" borderId="9" xfId="0" applyFont="1" applyFill="1" applyBorder="1" applyAlignment="1">
      <alignment horizontal="left" vertical="center" wrapText="1"/>
    </xf>
    <xf numFmtId="4" fontId="27" fillId="0" borderId="40" xfId="0" applyNumberFormat="1" applyFont="1" applyFill="1" applyBorder="1" applyAlignment="1">
      <alignment horizontal="left" vertical="center" wrapText="1"/>
    </xf>
    <xf numFmtId="4" fontId="0" fillId="0" borderId="0" xfId="0" applyNumberFormat="1" applyFill="1" applyBorder="1" applyAlignment="1">
      <alignment horizontal="left" vertical="center" wrapText="1"/>
    </xf>
    <xf numFmtId="4" fontId="33" fillId="0" borderId="33" xfId="0" applyNumberFormat="1" applyFont="1" applyFill="1" applyBorder="1" applyAlignment="1">
      <alignment horizontal="center" vertical="center" wrapText="1"/>
    </xf>
    <xf numFmtId="4" fontId="33" fillId="0" borderId="35" xfId="0" applyNumberFormat="1" applyFont="1" applyFill="1" applyBorder="1" applyAlignment="1">
      <alignment horizontal="center" vertical="center" wrapText="1"/>
    </xf>
    <xf numFmtId="176" fontId="27" fillId="0" borderId="49" xfId="0" applyNumberFormat="1" applyFont="1" applyFill="1" applyBorder="1" applyAlignment="1">
      <alignment horizontal="center" vertical="center" wrapText="1"/>
    </xf>
    <xf numFmtId="176" fontId="27" fillId="0" borderId="36" xfId="0" applyNumberFormat="1" applyFont="1" applyFill="1" applyBorder="1" applyAlignment="1">
      <alignment horizontal="center" vertical="center" wrapText="1"/>
    </xf>
    <xf numFmtId="176" fontId="27" fillId="0" borderId="44" xfId="0" applyNumberFormat="1" applyFont="1" applyFill="1" applyBorder="1" applyAlignment="1">
      <alignment horizontal="center" vertical="center" wrapText="1"/>
    </xf>
    <xf numFmtId="4" fontId="27" fillId="0" borderId="28" xfId="0" applyNumberFormat="1" applyFont="1" applyFill="1" applyBorder="1" applyAlignment="1">
      <alignment horizontal="center" vertical="center" wrapText="1"/>
    </xf>
    <xf numFmtId="4" fontId="27" fillId="0" borderId="1" xfId="0" applyNumberFormat="1" applyFont="1" applyFill="1" applyBorder="1" applyAlignment="1">
      <alignment horizontal="center" vertical="center" wrapText="1"/>
    </xf>
    <xf numFmtId="4" fontId="27" fillId="0" borderId="22" xfId="0" applyNumberFormat="1" applyFont="1" applyFill="1" applyBorder="1" applyAlignment="1">
      <alignment horizontal="center" vertical="center" wrapText="1"/>
    </xf>
    <xf numFmtId="4" fontId="27" fillId="0" borderId="22" xfId="0" applyNumberFormat="1" applyFont="1" applyFill="1" applyBorder="1" applyAlignment="1">
      <alignment horizontal="left" vertical="top" wrapText="1"/>
    </xf>
    <xf numFmtId="4" fontId="27" fillId="0" borderId="57" xfId="0" applyNumberFormat="1" applyFont="1" applyFill="1" applyBorder="1" applyAlignment="1">
      <alignment horizontal="left" vertical="top" wrapText="1"/>
    </xf>
    <xf numFmtId="4" fontId="27" fillId="0" borderId="12" xfId="0" applyNumberFormat="1" applyFont="1" applyFill="1" applyBorder="1" applyAlignment="1">
      <alignment horizontal="left" vertical="top" wrapText="1"/>
    </xf>
    <xf numFmtId="4" fontId="27" fillId="0" borderId="58" xfId="0" applyNumberFormat="1" applyFont="1" applyFill="1" applyBorder="1" applyAlignment="1">
      <alignment horizontal="left" vertical="top" wrapText="1"/>
    </xf>
    <xf numFmtId="176" fontId="0" fillId="0" borderId="45" xfId="0" applyNumberFormat="1" applyFill="1" applyBorder="1" applyAlignment="1">
      <alignment horizontal="center" vertical="center" wrapText="1"/>
    </xf>
    <xf numFmtId="176" fontId="0" fillId="0" borderId="42" xfId="0" applyNumberFormat="1" applyFill="1" applyBorder="1" applyAlignment="1">
      <alignment horizontal="center" vertical="center" wrapText="1"/>
    </xf>
    <xf numFmtId="176" fontId="0" fillId="0" borderId="47" xfId="0" applyNumberFormat="1" applyFill="1" applyBorder="1" applyAlignment="1">
      <alignment horizontal="center" vertical="center" wrapText="1"/>
    </xf>
    <xf numFmtId="4" fontId="0" fillId="0" borderId="30" xfId="0" applyNumberFormat="1" applyFill="1" applyBorder="1" applyAlignment="1">
      <alignment horizontal="center" vertical="center"/>
    </xf>
    <xf numFmtId="4" fontId="0" fillId="0" borderId="9" xfId="0" applyNumberFormat="1" applyFill="1" applyBorder="1" applyAlignment="1">
      <alignment horizontal="center" vertical="center"/>
    </xf>
    <xf numFmtId="4" fontId="0" fillId="0" borderId="46" xfId="0" applyNumberFormat="1" applyFill="1" applyBorder="1" applyAlignment="1">
      <alignment horizontal="center" vertical="center"/>
    </xf>
    <xf numFmtId="4" fontId="0" fillId="0" borderId="30" xfId="0" applyNumberFormat="1" applyFill="1" applyBorder="1" applyAlignment="1">
      <alignment horizontal="center" vertical="center" wrapText="1"/>
    </xf>
    <xf numFmtId="4" fontId="0" fillId="0" borderId="9" xfId="0" applyNumberFormat="1" applyFill="1" applyBorder="1" applyAlignment="1">
      <alignment horizontal="center" vertical="center" wrapText="1"/>
    </xf>
    <xf numFmtId="4" fontId="0" fillId="0" borderId="46" xfId="0" applyNumberFormat="1" applyFill="1" applyBorder="1" applyAlignment="1">
      <alignment horizontal="center" vertical="center" wrapText="1"/>
    </xf>
    <xf numFmtId="4" fontId="0" fillId="0" borderId="60" xfId="0" applyNumberFormat="1" applyFill="1" applyBorder="1" applyAlignment="1">
      <alignment horizontal="center" vertical="center" wrapText="1"/>
    </xf>
    <xf numFmtId="4" fontId="0" fillId="0" borderId="39" xfId="0" applyNumberFormat="1" applyFill="1" applyBorder="1" applyAlignment="1">
      <alignment horizontal="center" vertical="center" wrapText="1"/>
    </xf>
    <xf numFmtId="4" fontId="0" fillId="0" borderId="62" xfId="0" applyNumberFormat="1" applyFill="1" applyBorder="1" applyAlignment="1">
      <alignment horizontal="center" vertical="center" wrapText="1"/>
    </xf>
    <xf numFmtId="4" fontId="51" fillId="0" borderId="7" xfId="15" applyNumberFormat="1" applyFont="1" applyFill="1" applyBorder="1" applyAlignment="1">
      <alignment horizontal="center" vertical="center" wrapText="1"/>
    </xf>
    <xf numFmtId="4" fontId="51" fillId="0" borderId="11" xfId="15" applyNumberFormat="1" applyFont="1" applyFill="1" applyBorder="1" applyAlignment="1">
      <alignment horizontal="center" vertical="center" wrapText="1"/>
    </xf>
    <xf numFmtId="4" fontId="51" fillId="0" borderId="12" xfId="15" applyNumberFormat="1" applyFont="1" applyFill="1" applyBorder="1" applyAlignment="1">
      <alignment horizontal="center" vertical="center" wrapText="1"/>
    </xf>
    <xf numFmtId="4" fontId="0" fillId="0" borderId="23" xfId="0" applyNumberFormat="1" applyFill="1" applyBorder="1" applyAlignment="1">
      <alignment horizontal="center" vertical="center" wrapText="1"/>
    </xf>
    <xf numFmtId="4" fontId="0" fillId="0" borderId="24" xfId="0" applyNumberFormat="1" applyFill="1" applyBorder="1" applyAlignment="1">
      <alignment horizontal="center" vertical="center" wrapText="1"/>
    </xf>
    <xf numFmtId="4" fontId="0" fillId="0" borderId="27" xfId="0" applyNumberFormat="1" applyFill="1" applyBorder="1" applyAlignment="1">
      <alignment horizontal="center" vertical="center" wrapText="1"/>
    </xf>
    <xf numFmtId="4" fontId="0" fillId="0" borderId="31" xfId="0" applyNumberFormat="1" applyFill="1" applyBorder="1" applyAlignment="1">
      <alignment horizontal="center" vertical="center" wrapText="1"/>
    </xf>
    <xf numFmtId="4" fontId="0" fillId="0" borderId="11" xfId="0" applyNumberFormat="1" applyFill="1" applyBorder="1" applyAlignment="1">
      <alignment horizontal="center" vertical="center" wrapText="1"/>
    </xf>
    <xf numFmtId="4" fontId="0" fillId="0" borderId="56" xfId="0" applyNumberFormat="1" applyFill="1" applyBorder="1" applyAlignment="1">
      <alignment horizontal="center" vertical="center" wrapText="1"/>
    </xf>
    <xf numFmtId="4" fontId="0" fillId="0" borderId="53" xfId="0" applyNumberFormat="1" applyFill="1" applyBorder="1" applyAlignment="1">
      <alignment horizontal="center" vertical="center"/>
    </xf>
    <xf numFmtId="4" fontId="0" fillId="0" borderId="54" xfId="0" applyNumberFormat="1" applyFill="1" applyBorder="1" applyAlignment="1">
      <alignment horizontal="center" vertical="center"/>
    </xf>
    <xf numFmtId="4" fontId="0" fillId="0" borderId="55" xfId="0" applyNumberFormat="1" applyFill="1" applyBorder="1" applyAlignment="1">
      <alignment horizontal="center" vertical="center"/>
    </xf>
    <xf numFmtId="4" fontId="0" fillId="0" borderId="53" xfId="0" applyNumberFormat="1" applyFill="1" applyBorder="1" applyAlignment="1">
      <alignment horizontal="center" vertical="center" wrapText="1"/>
    </xf>
    <xf numFmtId="0" fontId="28" fillId="3" borderId="15" xfId="0" applyFont="1" applyFill="1" applyBorder="1" applyAlignment="1">
      <alignment horizontal="left" vertical="center" wrapText="1"/>
    </xf>
    <xf numFmtId="0" fontId="28" fillId="3" borderId="4" xfId="0" applyFont="1" applyFill="1" applyBorder="1" applyAlignment="1">
      <alignment horizontal="left" vertical="center" wrapText="1"/>
    </xf>
    <xf numFmtId="0" fontId="28" fillId="3" borderId="14" xfId="0" applyFont="1" applyFill="1" applyBorder="1" applyAlignment="1">
      <alignment horizontal="left" vertical="center" wrapText="1"/>
    </xf>
    <xf numFmtId="0" fontId="28" fillId="0" borderId="1" xfId="0" applyFont="1" applyFill="1" applyBorder="1" applyAlignment="1">
      <alignment horizontal="center" vertical="center"/>
    </xf>
    <xf numFmtId="0" fontId="28" fillId="0" borderId="10" xfId="0" applyFont="1" applyFill="1" applyBorder="1" applyAlignment="1">
      <alignment horizontal="center" vertical="center"/>
    </xf>
    <xf numFmtId="0" fontId="28" fillId="0" borderId="7" xfId="0" applyFont="1" applyFill="1" applyBorder="1" applyAlignment="1">
      <alignment horizontal="center" vertical="center"/>
    </xf>
    <xf numFmtId="0" fontId="28" fillId="0" borderId="3" xfId="0" applyFont="1" applyFill="1" applyBorder="1" applyAlignment="1">
      <alignment horizontal="center" vertical="center"/>
    </xf>
    <xf numFmtId="0" fontId="28" fillId="3" borderId="3" xfId="0" applyFont="1" applyFill="1" applyBorder="1" applyAlignment="1">
      <alignment horizontal="left" vertical="center" wrapText="1"/>
    </xf>
    <xf numFmtId="0" fontId="28" fillId="3" borderId="2" xfId="0" applyFont="1" applyFill="1" applyBorder="1" applyAlignment="1">
      <alignment horizontal="left" vertical="center" wrapText="1"/>
    </xf>
    <xf numFmtId="0" fontId="28" fillId="3" borderId="16" xfId="0" applyFont="1" applyFill="1" applyBorder="1" applyAlignment="1">
      <alignment horizontal="left" vertical="center" wrapText="1"/>
    </xf>
    <xf numFmtId="0" fontId="28" fillId="0" borderId="8" xfId="0" applyFont="1" applyFill="1" applyBorder="1" applyAlignment="1">
      <alignment horizontal="center" vertical="center"/>
    </xf>
    <xf numFmtId="0" fontId="28" fillId="0" borderId="2" xfId="0" applyFont="1" applyFill="1" applyBorder="1" applyAlignment="1">
      <alignment horizontal="center" vertical="center"/>
    </xf>
    <xf numFmtId="0" fontId="28" fillId="0" borderId="4" xfId="0" applyFont="1" applyFill="1" applyBorder="1" applyAlignment="1">
      <alignment horizontal="center" vertical="center"/>
    </xf>
    <xf numFmtId="0" fontId="0" fillId="0" borderId="10" xfId="0" applyFill="1" applyBorder="1" applyAlignment="1">
      <alignment horizontal="center" vertical="center" wrapText="1"/>
    </xf>
    <xf numFmtId="4" fontId="0" fillId="0" borderId="10" xfId="0" applyNumberFormat="1" applyFill="1" applyBorder="1" applyAlignment="1">
      <alignment horizontal="center" vertical="center" wrapText="1"/>
    </xf>
    <xf numFmtId="4" fontId="0" fillId="0" borderId="8" xfId="0" applyNumberFormat="1" applyFill="1" applyBorder="1" applyAlignment="1">
      <alignment horizontal="center" vertical="center" wrapText="1"/>
    </xf>
    <xf numFmtId="0" fontId="28" fillId="3" borderId="7" xfId="0" applyFont="1" applyFill="1" applyBorder="1" applyAlignment="1">
      <alignment horizontal="left" vertical="center" wrapText="1"/>
    </xf>
    <xf numFmtId="0" fontId="28" fillId="3" borderId="11" xfId="0" applyFont="1" applyFill="1" applyBorder="1" applyAlignment="1">
      <alignment horizontal="left" vertical="center" wrapText="1"/>
    </xf>
    <xf numFmtId="0" fontId="28" fillId="3" borderId="12" xfId="0" applyFont="1" applyFill="1" applyBorder="1" applyAlignment="1">
      <alignment horizontal="left" vertical="center" wrapText="1"/>
    </xf>
    <xf numFmtId="4" fontId="33" fillId="0" borderId="3" xfId="0" applyNumberFormat="1" applyFont="1" applyFill="1" applyBorder="1" applyAlignment="1">
      <alignment horizontal="center" vertical="center" wrapText="1"/>
    </xf>
    <xf numFmtId="4" fontId="33" fillId="0" borderId="15" xfId="0" applyNumberFormat="1" applyFont="1" applyFill="1" applyBorder="1" applyAlignment="1">
      <alignment horizontal="center" vertical="center" wrapText="1"/>
    </xf>
    <xf numFmtId="0" fontId="28" fillId="3" borderId="10" xfId="0" applyFont="1" applyFill="1" applyBorder="1" applyAlignment="1">
      <alignment horizontal="left" vertical="center" wrapText="1"/>
    </xf>
    <xf numFmtId="171" fontId="0" fillId="0" borderId="0" xfId="0" applyNumberFormat="1" applyAlignment="1">
      <alignment horizontal="left" vertical="center"/>
    </xf>
    <xf numFmtId="0" fontId="69" fillId="5" borderId="6" xfId="0" applyFont="1" applyFill="1" applyBorder="1" applyAlignment="1">
      <alignment horizontal="left" vertical="center" wrapText="1"/>
    </xf>
    <xf numFmtId="0" fontId="69" fillId="5" borderId="11" xfId="0" applyFont="1" applyFill="1" applyBorder="1" applyAlignment="1">
      <alignment horizontal="left" vertical="center" wrapText="1"/>
    </xf>
    <xf numFmtId="0" fontId="69" fillId="5" borderId="12" xfId="0" applyFont="1" applyFill="1" applyBorder="1" applyAlignment="1">
      <alignment horizontal="left" vertical="center" wrapText="1"/>
    </xf>
    <xf numFmtId="4" fontId="27" fillId="0" borderId="11" xfId="15" applyNumberFormat="1" applyFont="1" applyFill="1" applyBorder="1" applyAlignment="1">
      <alignment horizontal="center" vertical="center" wrapText="1"/>
    </xf>
    <xf numFmtId="4" fontId="105" fillId="0" borderId="10" xfId="0" applyNumberFormat="1" applyFont="1" applyFill="1" applyBorder="1" applyAlignment="1">
      <alignment horizontal="center" vertical="center" wrapText="1"/>
    </xf>
    <xf numFmtId="4" fontId="105" fillId="0" borderId="8" xfId="0" applyNumberFormat="1" applyFont="1" applyFill="1" applyBorder="1" applyAlignment="1">
      <alignment horizontal="center" vertical="center" wrapText="1"/>
    </xf>
    <xf numFmtId="4" fontId="33" fillId="0" borderId="2" xfId="0" applyNumberFormat="1" applyFont="1" applyFill="1" applyBorder="1" applyAlignment="1">
      <alignment horizontal="center" vertical="center" wrapText="1"/>
    </xf>
    <xf numFmtId="4" fontId="33" fillId="0" borderId="0" xfId="0" applyNumberFormat="1" applyFont="1" applyFill="1" applyBorder="1" applyAlignment="1">
      <alignment horizontal="center" vertical="center" wrapText="1"/>
    </xf>
    <xf numFmtId="4" fontId="33" fillId="0" borderId="4" xfId="0" applyNumberFormat="1" applyFont="1" applyFill="1" applyBorder="1" applyAlignment="1">
      <alignment horizontal="center" vertical="center" wrapText="1"/>
    </xf>
    <xf numFmtId="4" fontId="33" fillId="0" borderId="1" xfId="15" applyNumberFormat="1" applyFont="1" applyFill="1" applyBorder="1" applyAlignment="1">
      <alignment horizontal="center" vertical="center" wrapText="1"/>
    </xf>
    <xf numFmtId="4" fontId="52" fillId="0" borderId="13" xfId="15" applyNumberFormat="1" applyFont="1" applyFill="1" applyBorder="1" applyAlignment="1">
      <alignment horizontal="center" vertical="center" wrapText="1"/>
    </xf>
    <xf numFmtId="4" fontId="52" fillId="0" borderId="31" xfId="15" applyNumberFormat="1" applyFont="1" applyFill="1" applyBorder="1" applyAlignment="1">
      <alignment horizontal="center" vertical="center" wrapText="1"/>
    </xf>
    <xf numFmtId="4" fontId="28" fillId="0" borderId="13" xfId="15" applyNumberFormat="1" applyFont="1" applyFill="1" applyBorder="1" applyAlignment="1">
      <alignment horizontal="center" vertical="center" wrapText="1"/>
    </xf>
    <xf numFmtId="4" fontId="28" fillId="0" borderId="31" xfId="15" applyNumberFormat="1" applyFont="1" applyFill="1" applyBorder="1" applyAlignment="1">
      <alignment horizontal="center" vertical="center" wrapText="1"/>
    </xf>
    <xf numFmtId="4" fontId="28" fillId="0" borderId="23" xfId="15" applyNumberFormat="1" applyFont="1" applyFill="1" applyBorder="1" applyAlignment="1">
      <alignment horizontal="center" vertical="center" wrapText="1"/>
    </xf>
    <xf numFmtId="4" fontId="27" fillId="0" borderId="8" xfId="0" applyNumberFormat="1" applyFont="1" applyFill="1" applyBorder="1" applyAlignment="1">
      <alignment horizontal="center" vertical="center" wrapText="1"/>
    </xf>
    <xf numFmtId="4" fontId="27" fillId="0" borderId="2" xfId="0" applyNumberFormat="1" applyFont="1" applyFill="1" applyBorder="1" applyAlignment="1">
      <alignment horizontal="center" vertical="center" wrapText="1"/>
    </xf>
    <xf numFmtId="4" fontId="27" fillId="0" borderId="0" xfId="0" applyNumberFormat="1" applyFont="1" applyFill="1" applyBorder="1" applyAlignment="1">
      <alignment horizontal="center" vertical="center" wrapText="1"/>
    </xf>
    <xf numFmtId="4" fontId="27" fillId="0" borderId="4" xfId="0" applyNumberFormat="1" applyFont="1" applyFill="1" applyBorder="1" applyAlignment="1">
      <alignment horizontal="center" vertical="center" wrapText="1"/>
    </xf>
    <xf numFmtId="4" fontId="27" fillId="0" borderId="1" xfId="15" applyNumberFormat="1" applyFont="1" applyFill="1" applyBorder="1" applyAlignment="1">
      <alignment horizontal="center" vertical="center" wrapText="1"/>
    </xf>
    <xf numFmtId="4" fontId="27" fillId="0" borderId="36" xfId="15" applyNumberFormat="1" applyFont="1" applyFill="1" applyBorder="1" applyAlignment="1">
      <alignment horizontal="center" vertical="center" wrapText="1"/>
    </xf>
    <xf numFmtId="0" fontId="28" fillId="11" borderId="38" xfId="0" applyFont="1" applyFill="1" applyBorder="1" applyAlignment="1">
      <alignment horizontal="left" vertical="center" wrapText="1"/>
    </xf>
    <xf numFmtId="0" fontId="28" fillId="11" borderId="0" xfId="0" applyFont="1" applyFill="1" applyBorder="1" applyAlignment="1">
      <alignment horizontal="left" vertical="center" wrapText="1"/>
    </xf>
    <xf numFmtId="4" fontId="27" fillId="2" borderId="3" xfId="0" applyNumberFormat="1" applyFont="1" applyFill="1" applyBorder="1" applyAlignment="1">
      <alignment horizontal="center" vertical="center" wrapText="1"/>
    </xf>
    <xf numFmtId="4" fontId="27" fillId="2" borderId="15" xfId="0" applyNumberFormat="1" applyFont="1" applyFill="1" applyBorder="1" applyAlignment="1">
      <alignment horizontal="center" vertical="center" wrapText="1"/>
    </xf>
    <xf numFmtId="0" fontId="28" fillId="11" borderId="3" xfId="0" applyFont="1" applyFill="1" applyBorder="1" applyAlignment="1">
      <alignment horizontal="left" vertical="center" wrapText="1"/>
    </xf>
    <xf numFmtId="0" fontId="28" fillId="11" borderId="2" xfId="0" applyFont="1" applyFill="1" applyBorder="1" applyAlignment="1">
      <alignment horizontal="left" vertical="center" wrapText="1"/>
    </xf>
    <xf numFmtId="4" fontId="28" fillId="0" borderId="7" xfId="15" applyNumberFormat="1" applyFont="1" applyFill="1" applyBorder="1" applyAlignment="1">
      <alignment horizontal="center" vertical="center" wrapText="1"/>
    </xf>
    <xf numFmtId="4" fontId="28" fillId="0" borderId="11" xfId="15" applyNumberFormat="1" applyFont="1" applyFill="1" applyBorder="1" applyAlignment="1">
      <alignment horizontal="center" vertical="center" wrapText="1"/>
    </xf>
    <xf numFmtId="4" fontId="28" fillId="0" borderId="12" xfId="15" applyNumberFormat="1" applyFont="1" applyFill="1" applyBorder="1" applyAlignment="1">
      <alignment horizontal="center" vertical="center" wrapText="1"/>
    </xf>
    <xf numFmtId="4" fontId="27" fillId="2" borderId="38" xfId="0" applyNumberFormat="1" applyFont="1" applyFill="1" applyBorder="1" applyAlignment="1">
      <alignment horizontal="center" vertical="center" wrapText="1"/>
    </xf>
    <xf numFmtId="4" fontId="27" fillId="2" borderId="10" xfId="0" applyNumberFormat="1" applyFont="1" applyFill="1" applyBorder="1" applyAlignment="1">
      <alignment horizontal="center" vertical="center" wrapText="1"/>
    </xf>
    <xf numFmtId="4" fontId="27" fillId="2" borderId="9" xfId="0" applyNumberFormat="1" applyFont="1" applyFill="1" applyBorder="1" applyAlignment="1">
      <alignment horizontal="center" vertical="center" wrapText="1"/>
    </xf>
    <xf numFmtId="4" fontId="27" fillId="2" borderId="8" xfId="0" applyNumberFormat="1" applyFont="1" applyFill="1" applyBorder="1" applyAlignment="1">
      <alignment horizontal="center" vertical="center" wrapText="1"/>
    </xf>
    <xf numFmtId="4" fontId="0" fillId="0" borderId="2" xfId="0" applyNumberFormat="1" applyFill="1" applyBorder="1" applyAlignment="1">
      <alignment horizontal="center" vertical="center" wrapText="1"/>
    </xf>
    <xf numFmtId="4" fontId="0" fillId="0" borderId="0" xfId="0" applyNumberFormat="1" applyFill="1" applyBorder="1" applyAlignment="1">
      <alignment horizontal="center" vertical="center" wrapText="1"/>
    </xf>
    <xf numFmtId="4" fontId="0" fillId="0" borderId="4" xfId="0" applyNumberFormat="1" applyFill="1" applyBorder="1" applyAlignment="1">
      <alignment horizontal="center" vertical="center" wrapText="1"/>
    </xf>
    <xf numFmtId="0" fontId="62" fillId="2" borderId="1" xfId="0" applyFont="1" applyFill="1" applyBorder="1" applyAlignment="1">
      <alignment horizontal="center" vertical="center" wrapText="1"/>
    </xf>
    <xf numFmtId="170" fontId="65" fillId="2" borderId="10" xfId="0" applyNumberFormat="1" applyFont="1" applyFill="1" applyBorder="1" applyAlignment="1">
      <alignment horizontal="center" vertical="center" wrapText="1"/>
    </xf>
    <xf numFmtId="170" fontId="65" fillId="2" borderId="9" xfId="0" applyNumberFormat="1" applyFont="1" applyFill="1" applyBorder="1" applyAlignment="1">
      <alignment horizontal="center" vertical="center" wrapText="1"/>
    </xf>
    <xf numFmtId="170" fontId="65" fillId="2" borderId="8" xfId="0" applyNumberFormat="1" applyFont="1" applyFill="1" applyBorder="1" applyAlignment="1">
      <alignment horizontal="center" vertical="center" wrapText="1"/>
    </xf>
    <xf numFmtId="0" fontId="69" fillId="2" borderId="1" xfId="0" applyFont="1" applyFill="1" applyBorder="1" applyAlignment="1">
      <alignment horizontal="center" vertical="center" wrapText="1"/>
    </xf>
    <xf numFmtId="0" fontId="48" fillId="2" borderId="1" xfId="0" applyFont="1" applyFill="1" applyBorder="1" applyAlignment="1">
      <alignment horizontal="center" vertical="center" wrapText="1"/>
    </xf>
    <xf numFmtId="0" fontId="27" fillId="2" borderId="1" xfId="35" applyFont="1" applyFill="1" applyBorder="1" applyAlignment="1">
      <alignment horizontal="center" vertical="center" textRotation="90" wrapText="1"/>
    </xf>
    <xf numFmtId="0" fontId="27" fillId="2" borderId="1" xfId="35" applyFont="1" applyFill="1" applyBorder="1" applyAlignment="1">
      <alignment horizontal="center" vertical="center" wrapText="1"/>
    </xf>
    <xf numFmtId="170" fontId="27" fillId="2" borderId="10" xfId="0" applyNumberFormat="1" applyFont="1" applyFill="1" applyBorder="1" applyAlignment="1">
      <alignment horizontal="center" vertical="center" wrapText="1"/>
    </xf>
    <xf numFmtId="170" fontId="27" fillId="2" borderId="9" xfId="0" applyNumberFormat="1" applyFont="1" applyFill="1" applyBorder="1" applyAlignment="1">
      <alignment horizontal="center" vertical="center" wrapText="1"/>
    </xf>
    <xf numFmtId="170" fontId="27" fillId="2" borderId="8" xfId="0" applyNumberFormat="1" applyFont="1" applyFill="1" applyBorder="1" applyAlignment="1">
      <alignment horizontal="center" vertical="center" wrapText="1"/>
    </xf>
  </cellXfs>
  <cellStyles count="306">
    <cellStyle name="Excel Built-in Normal" xfId="1"/>
    <cellStyle name="Денежный 2" xfId="2"/>
    <cellStyle name="Денежный 2 2" xfId="166"/>
    <cellStyle name="Денежный 3" xfId="3"/>
    <cellStyle name="Денежный 3 2" xfId="4"/>
    <cellStyle name="Денежный 3 3" xfId="167"/>
    <cellStyle name="Обычный" xfId="0" builtinId="0"/>
    <cellStyle name="Обычный 10" xfId="5"/>
    <cellStyle name="Обычный 10 2" xfId="6"/>
    <cellStyle name="Обычный 10 3" xfId="7"/>
    <cellStyle name="Обычный 10 3 2" xfId="168"/>
    <cellStyle name="Обычный 10 4" xfId="8"/>
    <cellStyle name="Обычный 10 4 2" xfId="169"/>
    <cellStyle name="Обычный 10 5" xfId="9"/>
    <cellStyle name="Обычный 10 5 2" xfId="170"/>
    <cellStyle name="Обычный 11" xfId="10"/>
    <cellStyle name="Обычный 11 2" xfId="11"/>
    <cellStyle name="Обычный 11 2 2" xfId="172"/>
    <cellStyle name="Обычный 11 3" xfId="117"/>
    <cellStyle name="Обычный 11 3 2" xfId="246"/>
    <cellStyle name="Обычный 11 4" xfId="171"/>
    <cellStyle name="Обычный 12" xfId="12"/>
    <cellStyle name="Обычный 12 2" xfId="173"/>
    <cellStyle name="Обычный 13" xfId="13"/>
    <cellStyle name="Обычный 13 2" xfId="174"/>
    <cellStyle name="Обычный 14" xfId="14"/>
    <cellStyle name="Обычный 14 2" xfId="175"/>
    <cellStyle name="Обычный 15" xfId="15"/>
    <cellStyle name="Обычный 15 2" xfId="108"/>
    <cellStyle name="Обычный 15 2 2" xfId="111"/>
    <cellStyle name="Обычный 15 2 2 2" xfId="114"/>
    <cellStyle name="Обычный 15 2 2 2 2" xfId="243"/>
    <cellStyle name="Обычный 15 2 2 2 3" xfId="293"/>
    <cellStyle name="Обычный 15 2 2 3" xfId="240"/>
    <cellStyle name="Обычный 15 2 3" xfId="237"/>
    <cellStyle name="Обычный 15 3" xfId="113"/>
    <cellStyle name="Обычный 15 3 2" xfId="115"/>
    <cellStyle name="Обычный 15 3 2 2" xfId="244"/>
    <cellStyle name="Обычный 15 3 2 3" xfId="294"/>
    <cellStyle name="Обычный 15 3 3" xfId="242"/>
    <cellStyle name="Обычный 15 4" xfId="129"/>
    <cellStyle name="Обычный 15 4 2" xfId="259"/>
    <cellStyle name="Обычный 15 5" xfId="176"/>
    <cellStyle name="Обычный 15 6" xfId="299"/>
    <cellStyle name="Обычный 16" xfId="16"/>
    <cellStyle name="Обычный 16 2" xfId="109"/>
    <cellStyle name="Обычный 16 2 2" xfId="238"/>
    <cellStyle name="Обычный 16 3" xfId="128"/>
    <cellStyle name="Обычный 16 3 2" xfId="258"/>
    <cellStyle name="Обычный 16 4" xfId="177"/>
    <cellStyle name="Обычный 17" xfId="17"/>
    <cellStyle name="Обычный 17 2" xfId="178"/>
    <cellStyle name="Обычный 18" xfId="18"/>
    <cellStyle name="Обычный 18 2" xfId="179"/>
    <cellStyle name="Обычный 19" xfId="19"/>
    <cellStyle name="Обычный 19 2" xfId="130"/>
    <cellStyle name="Обычный 19 2 2" xfId="260"/>
    <cellStyle name="Обычный 19 3" xfId="180"/>
    <cellStyle name="Обычный 2" xfId="20"/>
    <cellStyle name="Обычный 2 2" xfId="21"/>
    <cellStyle name="Обычный 2 2 2" xfId="22"/>
    <cellStyle name="Обычный 2 2 2 2" xfId="304"/>
    <cellStyle name="Обычный 2 2 3" xfId="23"/>
    <cellStyle name="Обычный 2 2 4" xfId="126"/>
    <cellStyle name="Обычный 2 2 4 2" xfId="160"/>
    <cellStyle name="Обычный 2 2 4 3" xfId="256"/>
    <cellStyle name="Обычный 2 3" xfId="24"/>
    <cellStyle name="Обычный 2 3 2" xfId="25"/>
    <cellStyle name="Обычный 2 4" xfId="26"/>
    <cellStyle name="Обычный 2 5" xfId="27"/>
    <cellStyle name="Обычный 2 5 2" xfId="28"/>
    <cellStyle name="Обычный 2 5 2 2" xfId="181"/>
    <cellStyle name="Обычный 2 6" xfId="29"/>
    <cellStyle name="Обычный 2 7" xfId="30"/>
    <cellStyle name="Обычный 2 7 2" xfId="182"/>
    <cellStyle name="Обычный 2 8" xfId="31"/>
    <cellStyle name="Обычный 2 8 2" xfId="183"/>
    <cellStyle name="Обычный 20" xfId="32"/>
    <cellStyle name="Обычный 20 2" xfId="156"/>
    <cellStyle name="Обычный 20 2 2" xfId="286"/>
    <cellStyle name="Обычный 20 2 3" xfId="300"/>
    <cellStyle name="Обычный 20 3" xfId="184"/>
    <cellStyle name="Обычный 21" xfId="94"/>
    <cellStyle name="Обычный 21 2" xfId="227"/>
    <cellStyle name="Обычный 22" xfId="110"/>
    <cellStyle name="Обычный 22 2" xfId="145"/>
    <cellStyle name="Обычный 22 2 2" xfId="275"/>
    <cellStyle name="Обычный 22 3" xfId="163"/>
    <cellStyle name="Обычный 22 3 2" xfId="291"/>
    <cellStyle name="Обычный 22 4" xfId="239"/>
    <cellStyle name="Обычный 22 5" xfId="296"/>
    <cellStyle name="Обычный 23" xfId="131"/>
    <cellStyle name="Обычный 23 2" xfId="261"/>
    <cellStyle name="Обычный 24" xfId="144"/>
    <cellStyle name="Обычный 24 2" xfId="274"/>
    <cellStyle name="Обычный 25" xfId="162"/>
    <cellStyle name="Обычный 25 2" xfId="290"/>
    <cellStyle name="Обычный 26" xfId="164"/>
    <cellStyle name="Обычный 3" xfId="33"/>
    <cellStyle name="Обычный 3 2" xfId="34"/>
    <cellStyle name="Обычный 3 2 2 2" xfId="98"/>
    <cellStyle name="Обычный 3 3" xfId="159"/>
    <cellStyle name="Обычный 3_СВОД по мероприятиям ДМЦП на 2016-2018" xfId="99"/>
    <cellStyle name="Обычный 4" xfId="35"/>
    <cellStyle name="Обычный 4 2" xfId="36"/>
    <cellStyle name="Обычный 4 3" xfId="37"/>
    <cellStyle name="Обычный 4_Норильск" xfId="38"/>
    <cellStyle name="Обычный 5" xfId="39"/>
    <cellStyle name="Обычный 5 2" xfId="40"/>
    <cellStyle name="Обычный 5 3" xfId="41"/>
    <cellStyle name="Обычный 5 3 2" xfId="100"/>
    <cellStyle name="Обычный 5 3 2 2" xfId="101"/>
    <cellStyle name="Обычный 5 3 2 2 2" xfId="122"/>
    <cellStyle name="Обычный 5 3 2 2 2 2" xfId="251"/>
    <cellStyle name="Обычный 5 3 2 2 3" xfId="136"/>
    <cellStyle name="Обычный 5 3 2 2 3 2" xfId="266"/>
    <cellStyle name="Обычный 5 3 2 2 4" xfId="150"/>
    <cellStyle name="Обычный 5 3 2 2 4 2" xfId="280"/>
    <cellStyle name="Обычный 5 3 2 2 5" xfId="232"/>
    <cellStyle name="Обычный 5 3 2 3" xfId="121"/>
    <cellStyle name="Обычный 5 3 2 3 2" xfId="250"/>
    <cellStyle name="Обычный 5 3 2 4" xfId="135"/>
    <cellStyle name="Обычный 5 3 2 4 2" xfId="265"/>
    <cellStyle name="Обычный 5 3 2 5" xfId="149"/>
    <cellStyle name="Обычный 5 3 2 5 2" xfId="279"/>
    <cellStyle name="Обычный 5 3 2 6" xfId="231"/>
    <cellStyle name="Обычный 5 3 3" xfId="96"/>
    <cellStyle name="Обычный 5 3 3 2" xfId="42"/>
    <cellStyle name="Обычный 5 3 3 2 2" xfId="119"/>
    <cellStyle name="Обычный 5 3 3 2 2 2" xfId="248"/>
    <cellStyle name="Обычный 5 3 3 2 3" xfId="186"/>
    <cellStyle name="Обычный 5 3 3 3" xfId="133"/>
    <cellStyle name="Обычный 5 3 3 3 2" xfId="263"/>
    <cellStyle name="Обычный 5 3 3 4" xfId="147"/>
    <cellStyle name="Обычный 5 3 3 4 2" xfId="277"/>
    <cellStyle name="Обычный 5 3 3 5" xfId="229"/>
    <cellStyle name="Обычный 5 4" xfId="43"/>
    <cellStyle name="Обычный 5 5" xfId="185"/>
    <cellStyle name="Обычный 6" xfId="44"/>
    <cellStyle name="Обычный 6 2" xfId="45"/>
    <cellStyle name="Обычный 6 2 2" xfId="46"/>
    <cellStyle name="Обычный 6 2 3" xfId="104"/>
    <cellStyle name="Обычный 6 2 4" xfId="187"/>
    <cellStyle name="Обычный 6 3" xfId="47"/>
    <cellStyle name="Обычный 6 3 2" xfId="188"/>
    <cellStyle name="Обычный 7" xfId="48"/>
    <cellStyle name="Обычный 7 2" xfId="49"/>
    <cellStyle name="Обычный 7 2 2" xfId="50"/>
    <cellStyle name="Обычный 8" xfId="51"/>
    <cellStyle name="Обычный 8 2" xfId="52"/>
    <cellStyle name="Обычный 8 2 10" xfId="189"/>
    <cellStyle name="Обычный 8 2 13" xfId="138"/>
    <cellStyle name="Обычный 8 2 13 2" xfId="152"/>
    <cellStyle name="Обычный 8 2 13 2 2" xfId="282"/>
    <cellStyle name="Обычный 8 2 13 3" xfId="268"/>
    <cellStyle name="Обычный 8 2 19" xfId="141"/>
    <cellStyle name="Обычный 8 2 19 2" xfId="271"/>
    <cellStyle name="Обычный 8 2 2" xfId="53"/>
    <cellStyle name="Обычный 8 2 2 2" xfId="54"/>
    <cellStyle name="Обычный 8 2 2 2 10" xfId="153"/>
    <cellStyle name="Обычный 8 2 2 2 10 2" xfId="283"/>
    <cellStyle name="Обычный 8 2 2 2 11" xfId="191"/>
    <cellStyle name="Обычный 8 2 2 2 2" xfId="55"/>
    <cellStyle name="Обычный 8 2 2 2 2 2" xfId="192"/>
    <cellStyle name="Обычный 8 2 2 2 3" xfId="56"/>
    <cellStyle name="Обычный 8 2 2 2 3 2" xfId="125"/>
    <cellStyle name="Обычный 8 2 2 2 3 2 2" xfId="254"/>
    <cellStyle name="Обычный 8 2 2 2 3 3" xfId="193"/>
    <cellStyle name="Обычный 8 2 2 2 4" xfId="57"/>
    <cellStyle name="Обычный 8 2 2 2 4 2" xfId="194"/>
    <cellStyle name="Обычный 8 2 2 2 5" xfId="58"/>
    <cellStyle name="Обычный 8 2 2 2 5 2" xfId="195"/>
    <cellStyle name="Обычный 8 2 2 2 6" xfId="59"/>
    <cellStyle name="Обычный 8 2 2 2 6 2" xfId="196"/>
    <cellStyle name="Обычный 8 2 2 2 7" xfId="60"/>
    <cellStyle name="Обычный 8 2 2 2 7 2" xfId="197"/>
    <cellStyle name="Обычный 8 2 2 2 8" xfId="106"/>
    <cellStyle name="Обычный 8 2 2 2 8 2" xfId="235"/>
    <cellStyle name="Обычный 8 2 2 2 9" xfId="139"/>
    <cellStyle name="Обычный 8 2 2 2 9 2" xfId="269"/>
    <cellStyle name="Обычный 8 2 2 3" xfId="102"/>
    <cellStyle name="Обычный 8 2 2 3 2" xfId="112"/>
    <cellStyle name="Обычный 8 2 2 3 2 2" xfId="116"/>
    <cellStyle name="Обычный 8 2 2 3 2 2 2" xfId="245"/>
    <cellStyle name="Обычный 8 2 2 3 2 2 3" xfId="295"/>
    <cellStyle name="Обычный 8 2 2 3 2 3" xfId="241"/>
    <cellStyle name="Обычный 8 2 2 3 3" xfId="233"/>
    <cellStyle name="Обычный 8 2 2 4" xfId="123"/>
    <cellStyle name="Обычный 8 2 2 4 2" xfId="252"/>
    <cellStyle name="Обычный 8 2 2 5" xfId="137"/>
    <cellStyle name="Обычный 8 2 2 5 2" xfId="267"/>
    <cellStyle name="Обычный 8 2 2 6" xfId="151"/>
    <cellStyle name="Обычный 8 2 2 6 2" xfId="281"/>
    <cellStyle name="Обычный 8 2 2 7" xfId="190"/>
    <cellStyle name="Обычный 8 2 2 7 2" xfId="303"/>
    <cellStyle name="Обычный 8 2 2 8" xfId="302"/>
    <cellStyle name="Обычный 8 2 21" xfId="142"/>
    <cellStyle name="Обычный 8 2 21 2" xfId="272"/>
    <cellStyle name="Обычный 8 2 3" xfId="61"/>
    <cellStyle name="Обычный 8 2 3 2" xfId="62"/>
    <cellStyle name="Обычный 8 2 3 2 2" xfId="199"/>
    <cellStyle name="Обычный 8 2 3 3" xfId="63"/>
    <cellStyle name="Обычный 8 2 3 3 2" xfId="120"/>
    <cellStyle name="Обычный 8 2 3 3 2 2" xfId="249"/>
    <cellStyle name="Обычный 8 2 3 3 3" xfId="200"/>
    <cellStyle name="Обычный 8 2 3 4" xfId="64"/>
    <cellStyle name="Обычный 8 2 3 4 2" xfId="201"/>
    <cellStyle name="Обычный 8 2 3 5" xfId="65"/>
    <cellStyle name="Обычный 8 2 3 5 2" xfId="107"/>
    <cellStyle name="Обычный 8 2 3 5 2 2" xfId="236"/>
    <cellStyle name="Обычный 8 2 3 5 2 3" xfId="297"/>
    <cellStyle name="Обычный 8 2 3 5 3" xfId="127"/>
    <cellStyle name="Обычный 8 2 3 5 3 2" xfId="257"/>
    <cellStyle name="Обычный 8 2 3 5 3 3" xfId="298"/>
    <cellStyle name="Обычный 8 2 3 5 4" xfId="157"/>
    <cellStyle name="Обычный 8 2 3 5 4 2" xfId="287"/>
    <cellStyle name="Обычный 8 2 3 5 4 3" xfId="301"/>
    <cellStyle name="Обычный 8 2 3 5 5" xfId="165"/>
    <cellStyle name="Обычный 8 2 3 5 6" xfId="202"/>
    <cellStyle name="Обычный 8 2 3 6" xfId="97"/>
    <cellStyle name="Обычный 8 2 3 6 2" xfId="230"/>
    <cellStyle name="Обычный 8 2 3 7" xfId="134"/>
    <cellStyle name="Обычный 8 2 3 7 2" xfId="264"/>
    <cellStyle name="Обычный 8 2 3 8" xfId="148"/>
    <cellStyle name="Обычный 8 2 3 8 2" xfId="278"/>
    <cellStyle name="Обычный 8 2 3 9" xfId="198"/>
    <cellStyle name="Обычный 8 2 4" xfId="66"/>
    <cellStyle name="Обычный 8 2 4 2" xfId="203"/>
    <cellStyle name="Обычный 8 2 5" xfId="67"/>
    <cellStyle name="Обычный 8 2 5 2" xfId="118"/>
    <cellStyle name="Обычный 8 2 5 2 2" xfId="247"/>
    <cellStyle name="Обычный 8 2 5 3" xfId="204"/>
    <cellStyle name="Обычный 8 2 6" xfId="68"/>
    <cellStyle name="Обычный 8 2 6 2" xfId="146"/>
    <cellStyle name="Обычный 8 2 6 2 2" xfId="276"/>
    <cellStyle name="Обычный 8 2 6 3" xfId="205"/>
    <cellStyle name="Обычный 8 2 7" xfId="95"/>
    <cellStyle name="Обычный 8 2 7 2" xfId="143"/>
    <cellStyle name="Обычный 8 2 7 2 2" xfId="273"/>
    <cellStyle name="Обычный 8 2 7 3" xfId="228"/>
    <cellStyle name="Обычный 8 2 8" xfId="132"/>
    <cellStyle name="Обычный 8 2 8 2" xfId="154"/>
    <cellStyle name="Обычный 8 2 8 2 2" xfId="284"/>
    <cellStyle name="Обычный 8 2 8 3" xfId="155"/>
    <cellStyle name="Обычный 8 2 8 3 2" xfId="285"/>
    <cellStyle name="Обычный 8 2 8 4" xfId="262"/>
    <cellStyle name="Обычный 8 2 9" xfId="140"/>
    <cellStyle name="Обычный 8 2 9 2" xfId="158"/>
    <cellStyle name="Обычный 8 2 9 2 2" xfId="288"/>
    <cellStyle name="Обычный 8 2 9 3" xfId="161"/>
    <cellStyle name="Обычный 8 2 9 3 2" xfId="289"/>
    <cellStyle name="Обычный 8 2 9 4" xfId="270"/>
    <cellStyle name="Обычный 9" xfId="69"/>
    <cellStyle name="Обычный 9 2" xfId="70"/>
    <cellStyle name="Обычный 9 2 2" xfId="207"/>
    <cellStyle name="Обычный 9 3" xfId="206"/>
    <cellStyle name="Обычный_План ФХД на 15.12.2011 г." xfId="292"/>
    <cellStyle name="Обычный_ШР рязр. культ." xfId="71"/>
    <cellStyle name="Пояснение 2" xfId="103"/>
    <cellStyle name="Процентный 2" xfId="72"/>
    <cellStyle name="Процентный 3" xfId="73"/>
    <cellStyle name="Финансовый" xfId="305" builtinId="3"/>
    <cellStyle name="Финансовый 10" xfId="74"/>
    <cellStyle name="Финансовый 10 2" xfId="208"/>
    <cellStyle name="Финансовый 11" xfId="75"/>
    <cellStyle name="Финансовый 11 2" xfId="209"/>
    <cellStyle name="Финансовый 12" xfId="76"/>
    <cellStyle name="Финансовый 12 2" xfId="210"/>
    <cellStyle name="Финансовый 13" xfId="77"/>
    <cellStyle name="Финансовый 13 2" xfId="211"/>
    <cellStyle name="Финансовый 14" xfId="255"/>
    <cellStyle name="Финансовый 2" xfId="78"/>
    <cellStyle name="Финансовый 2 2" xfId="79"/>
    <cellStyle name="Финансовый 2 2 2" xfId="80"/>
    <cellStyle name="Финансовый 2 2 2 2" xfId="213"/>
    <cellStyle name="Финансовый 2 2 3" xfId="212"/>
    <cellStyle name="Финансовый 2 3" xfId="81"/>
    <cellStyle name="Финансовый 2 3 2" xfId="124"/>
    <cellStyle name="Финансовый 2 3 2 2" xfId="253"/>
    <cellStyle name="Финансовый 2 3 3" xfId="214"/>
    <cellStyle name="Финансовый 2 4" xfId="82"/>
    <cellStyle name="Финансовый 2 4 2" xfId="215"/>
    <cellStyle name="Финансовый 2 5" xfId="105"/>
    <cellStyle name="Финансовый 2 5 2" xfId="234"/>
    <cellStyle name="Финансовый 3" xfId="83"/>
    <cellStyle name="Финансовый 3 2" xfId="84"/>
    <cellStyle name="Финансовый 3 2 2" xfId="217"/>
    <cellStyle name="Финансовый 3 3" xfId="85"/>
    <cellStyle name="Финансовый 3 3 2" xfId="218"/>
    <cellStyle name="Финансовый 3 4" xfId="86"/>
    <cellStyle name="Финансовый 3 4 2" xfId="219"/>
    <cellStyle name="Финансовый 3 5" xfId="216"/>
    <cellStyle name="Финансовый 4" xfId="87"/>
    <cellStyle name="Финансовый 4 2" xfId="88"/>
    <cellStyle name="Финансовый 4 2 2" xfId="221"/>
    <cellStyle name="Финансовый 4 3" xfId="220"/>
    <cellStyle name="Финансовый 5" xfId="89"/>
    <cellStyle name="Финансовый 5 2" xfId="222"/>
    <cellStyle name="Финансовый 6" xfId="90"/>
    <cellStyle name="Финансовый 6 2" xfId="223"/>
    <cellStyle name="Финансовый 7" xfId="91"/>
    <cellStyle name="Финансовый 7 2" xfId="224"/>
    <cellStyle name="Финансовый 8" xfId="92"/>
    <cellStyle name="Финансовый 8 2" xfId="225"/>
    <cellStyle name="Финансовый 9" xfId="93"/>
    <cellStyle name="Финансовый 9 2" xfId="226"/>
  </cellStyles>
  <dxfs count="0"/>
  <tableStyles count="0" defaultTableStyle="TableStyleMedium9" defaultPivotStyle="PivotStyleLight16"/>
  <colors>
    <mruColors>
      <color rgb="FFCCFFFF"/>
      <color rgb="FFFFFFCC"/>
      <color rgb="FFE1A51F"/>
      <color rgb="FFFFCCCC"/>
      <color rgb="FFCCFFCC"/>
      <color rgb="FFFF9999"/>
      <color rgb="FFCCCCFF"/>
      <color rgb="FFFF99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8.xml"/><Relationship Id="rId47" Type="http://schemas.openxmlformats.org/officeDocument/2006/relationships/externalLink" Target="externalLinks/externalLink13.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 Id="rId46"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externalLink" Target="externalLinks/externalLink6.xml"/><Relationship Id="rId45" Type="http://schemas.openxmlformats.org/officeDocument/2006/relationships/externalLink" Target="externalLinks/externalLink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externalLink" Target="externalLinks/externalLink9.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cnts4\userland\&#1041;&#1072;&#1083;&#1072;&#1085;&#1089;\An(EsMon)\SC_W\&#1055;&#1088;&#1086;&#1075;&#1085;&#1086;&#1079;\&#1055;&#1088;&#1086;&#1075;05_00(27.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cnts4\userland\&#1041;&#1072;&#1083;&#1072;&#1085;&#1089;\An(EsMon)\7.02.01\V&#1045;&#1052;_2001.5.0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cnts4\userland\SC_W\&#1055;&#1088;&#1086;&#1075;&#1085;&#1086;&#1079;\&#1055;&#1088;&#1086;&#1075;05_00(27.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1061;&#1072;&#1085;&#1086;&#1074;&#1072;\&#1043;&#1088;(27.07.00)5&#106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KULT11\plan\&#1050;&#1091;&#1088;&#1072;&#1085;&#1086;&#1074;\Pr(2000)Tabl\9&#1072;&#1087;&#1088;2003\V&#1094;&#1077;&#1083;2.1_2002.1.04.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nts4\userland\&#1041;&#1072;&#1083;&#1072;&#1085;&#1089;\An(EsMon)\7.02.01\SC_W\&#1055;&#1088;&#1086;&#1075;&#1085;&#1086;&#1079;\&#1055;&#1088;&#1086;&#1075;05_00(27.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cnts4\userland\&#1041;&#1072;&#1083;&#1072;&#1085;&#1089;\An(EsMon)\7.02.01\&#1061;&#1072;&#1085;&#1086;&#1074;&#1072;\&#1043;&#1088;(27.07.00)5&#106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cnts4\userland\&#1041;&#1072;&#1083;&#1072;&#1085;&#1089;\An(EsMon)\&#1061;&#1072;&#1085;&#1086;&#1074;&#1072;\&#1043;&#1088;(27.07.00)5&#106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1061;&#1072;&#1085;&#1086;&#1074;&#1072;\&#1043;&#1088;(27.07.00)5&#106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SC_W\&#1055;&#1088;&#1086;&#1075;&#1085;&#1086;&#1079;\&#1055;&#1088;&#1086;&#1075;05_00(27.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SC_W\&#1055;&#1088;&#1086;&#1075;&#1085;&#1086;&#1079;\&#1055;&#1088;&#1086;&#1075;05_00(27.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cnts4\userland\&#1061;&#1072;&#1085;&#1086;&#1074;&#1072;\&#1043;&#1088;(27.07.00)5&#106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72.23.21.7\&#1087;&#1088;&#1080;&#1077;&#1084;&#1085;&#1072;&#1103;\&#1050;&#1091;&#1088;&#1072;&#1085;&#1086;&#1074;\Pr(2000)Tabl\9&#1072;&#1087;&#1088;2003\V&#1094;&#1077;&#1083;2.1_2002.1.04.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 val="2002_v1_"/>
    </sheetNames>
    <sheetDataSet>
      <sheetData sheetId="0"/>
      <sheetData sheetId="1"/>
      <sheetData sheetId="2" refreshError="1"/>
      <sheetData sheetId="3" refreshError="1"/>
      <sheetData sheetId="4" refreshError="1"/>
      <sheetData sheetId="5" refreshError="1"/>
      <sheetData sheetId="6" refreshError="1"/>
      <sheetData sheetId="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Гр5_о_"/>
      <sheetName val="ПРОГНОЗ_1"/>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
      <sheetName val="Печ"/>
      <sheetName val="2002(v1) "/>
      <sheetName val="2004(v1)  "/>
      <sheetName val="2002-03(v2) "/>
      <sheetName val="2002-03(v1)  "/>
      <sheetName val="I"/>
      <sheetName val="динамика цвет мет "/>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Гр5_о_"/>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Гр5_о_"/>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Гр5_о_"/>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 val="Гр5(о)"/>
    </sheet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Гр5_о_"/>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
      <sheetName val="Печ"/>
      <sheetName val="2002(v1) "/>
      <sheetName val="2004(v1)  "/>
      <sheetName val="2002-03(v2) "/>
      <sheetName val="2002-03(v1)  "/>
      <sheetName val="I"/>
      <sheetName val="динамика цвет мет "/>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CC"/>
    <pageSetUpPr fitToPage="1"/>
  </sheetPr>
  <dimension ref="A2:W46"/>
  <sheetViews>
    <sheetView view="pageBreakPreview" zoomScale="80" zoomScaleSheetLayoutView="80" workbookViewId="0">
      <pane xSplit="1" ySplit="9" topLeftCell="B10"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5" x14ac:dyDescent="0.25"/>
  <cols>
    <col min="1" max="1" width="59.6640625" style="7" customWidth="1"/>
    <col min="2" max="2" width="11.6640625" style="7" customWidth="1"/>
    <col min="3" max="3" width="14.6640625" style="7" customWidth="1"/>
    <col min="4" max="4" width="14" style="7" customWidth="1"/>
    <col min="5" max="20" width="14.83203125" style="13" customWidth="1"/>
    <col min="21" max="21" width="12.5" style="7" customWidth="1"/>
    <col min="22" max="22" width="15.5" style="7" bestFit="1" customWidth="1"/>
    <col min="23" max="23" width="14.33203125" style="7" customWidth="1"/>
    <col min="24" max="24" width="11.5" style="7" bestFit="1" customWidth="1"/>
    <col min="25" max="16384" width="9.33203125" style="7"/>
  </cols>
  <sheetData>
    <row r="2" spans="1:23" x14ac:dyDescent="0.25">
      <c r="A2" s="1406" t="s">
        <v>168</v>
      </c>
      <c r="B2" s="1406"/>
      <c r="C2" s="1406"/>
      <c r="D2" s="1406"/>
      <c r="E2" s="1406"/>
      <c r="F2" s="1406"/>
      <c r="G2" s="1406"/>
      <c r="H2" s="1406"/>
      <c r="I2" s="1406"/>
      <c r="J2" s="1406"/>
      <c r="K2" s="1406"/>
      <c r="L2" s="1406"/>
      <c r="M2" s="1406"/>
      <c r="N2" s="1406"/>
      <c r="O2" s="1406"/>
      <c r="P2" s="1406"/>
      <c r="Q2" s="1406"/>
      <c r="R2" s="1406"/>
      <c r="S2" s="1406"/>
      <c r="T2" s="1406"/>
      <c r="U2" s="1406"/>
      <c r="V2" s="1406"/>
      <c r="W2" s="1406"/>
    </row>
    <row r="4" spans="1:23" x14ac:dyDescent="0.25">
      <c r="A4" s="1406" t="s">
        <v>169</v>
      </c>
      <c r="B4" s="1406"/>
      <c r="C4" s="1406"/>
      <c r="D4" s="1406"/>
      <c r="E4" s="1406"/>
      <c r="F4" s="1406"/>
      <c r="G4" s="1406"/>
      <c r="H4" s="1406"/>
      <c r="I4" s="1406"/>
      <c r="J4" s="1406"/>
      <c r="K4" s="1406"/>
      <c r="L4" s="1406"/>
      <c r="M4" s="1406"/>
      <c r="N4" s="1406"/>
      <c r="O4" s="1406"/>
      <c r="P4" s="1406"/>
      <c r="Q4" s="1406"/>
      <c r="R4" s="1406"/>
      <c r="S4" s="1406"/>
      <c r="T4" s="1406"/>
      <c r="U4" s="1406"/>
      <c r="V4" s="1406"/>
      <c r="W4" s="1406"/>
    </row>
    <row r="5" spans="1:23" x14ac:dyDescent="0.25">
      <c r="A5" s="291"/>
      <c r="B5" s="291"/>
      <c r="C5" s="291"/>
      <c r="D5" s="291"/>
      <c r="E5" s="291"/>
      <c r="F5" s="291"/>
      <c r="G5" s="291"/>
      <c r="H5" s="291"/>
      <c r="I5" s="291"/>
      <c r="J5" s="291"/>
      <c r="K5" s="291"/>
      <c r="L5" s="291"/>
      <c r="M5" s="291"/>
      <c r="N5" s="291"/>
      <c r="O5" s="291"/>
      <c r="P5" s="291"/>
      <c r="Q5" s="291"/>
      <c r="R5" s="291"/>
      <c r="S5" s="291"/>
      <c r="T5" s="291"/>
      <c r="U5" s="291"/>
      <c r="V5" s="291"/>
      <c r="W5" s="291"/>
    </row>
    <row r="6" spans="1:23" x14ac:dyDescent="0.25">
      <c r="A6" s="291"/>
      <c r="B6" s="291"/>
      <c r="C6" s="291"/>
      <c r="D6" s="291"/>
      <c r="E6" s="291"/>
      <c r="F6" s="291"/>
      <c r="G6" s="291"/>
      <c r="H6" s="291"/>
      <c r="I6" s="291"/>
      <c r="J6" s="291"/>
      <c r="K6" s="291"/>
      <c r="L6" s="291"/>
      <c r="M6" s="291"/>
      <c r="N6" s="291"/>
      <c r="O6" s="291"/>
      <c r="P6" s="291"/>
      <c r="Q6" s="291"/>
      <c r="R6" s="291"/>
      <c r="S6" s="291"/>
      <c r="T6" s="291"/>
      <c r="U6" s="291"/>
      <c r="V6" s="291"/>
      <c r="W6" s="291"/>
    </row>
    <row r="7" spans="1:23" x14ac:dyDescent="0.25">
      <c r="A7" s="7" t="s">
        <v>170</v>
      </c>
    </row>
    <row r="8" spans="1:23" ht="42.75" customHeight="1" x14ac:dyDescent="0.25">
      <c r="A8" s="1407" t="s">
        <v>95</v>
      </c>
      <c r="B8" s="1408" t="s">
        <v>98</v>
      </c>
      <c r="C8" s="1410" t="s">
        <v>140</v>
      </c>
      <c r="D8" s="1411"/>
      <c r="E8" s="1412"/>
      <c r="F8" s="1410" t="s">
        <v>152</v>
      </c>
      <c r="G8" s="1411"/>
      <c r="H8" s="1412"/>
      <c r="I8" s="1413" t="s">
        <v>165</v>
      </c>
      <c r="J8" s="1414"/>
      <c r="K8" s="1415"/>
      <c r="L8" s="1413" t="s">
        <v>172</v>
      </c>
      <c r="M8" s="1414"/>
      <c r="N8" s="1415"/>
      <c r="O8" s="1413" t="s">
        <v>8</v>
      </c>
      <c r="P8" s="1414"/>
      <c r="Q8" s="1415"/>
      <c r="R8" s="1413" t="s">
        <v>173</v>
      </c>
      <c r="S8" s="1414"/>
      <c r="T8" s="1415"/>
      <c r="U8" s="1416" t="s">
        <v>174</v>
      </c>
      <c r="V8" s="1416"/>
      <c r="W8" s="1416"/>
    </row>
    <row r="9" spans="1:23" ht="27.75" customHeight="1" x14ac:dyDescent="0.25">
      <c r="A9" s="1407"/>
      <c r="B9" s="1409"/>
      <c r="C9" s="292">
        <v>991</v>
      </c>
      <c r="D9" s="292">
        <v>992</v>
      </c>
      <c r="E9" s="15">
        <v>911</v>
      </c>
      <c r="F9" s="292">
        <v>991</v>
      </c>
      <c r="G9" s="292">
        <v>992</v>
      </c>
      <c r="H9" s="15">
        <v>911</v>
      </c>
      <c r="I9" s="294">
        <v>991</v>
      </c>
      <c r="J9" s="294">
        <v>992</v>
      </c>
      <c r="K9" s="294">
        <v>911</v>
      </c>
      <c r="L9" s="294">
        <v>991</v>
      </c>
      <c r="M9" s="294">
        <v>992</v>
      </c>
      <c r="N9" s="294"/>
      <c r="O9" s="294">
        <v>991</v>
      </c>
      <c r="P9" s="294">
        <v>992</v>
      </c>
      <c r="Q9" s="294">
        <v>911</v>
      </c>
      <c r="R9" s="294">
        <v>991</v>
      </c>
      <c r="S9" s="294">
        <v>992</v>
      </c>
      <c r="T9" s="294">
        <v>911</v>
      </c>
      <c r="U9" s="292">
        <v>991</v>
      </c>
      <c r="V9" s="293">
        <v>992</v>
      </c>
      <c r="W9" s="292">
        <v>911</v>
      </c>
    </row>
    <row r="10" spans="1:23" s="13" customFormat="1" ht="38.25" customHeight="1" x14ac:dyDescent="0.25">
      <c r="A10" s="273" t="s">
        <v>111</v>
      </c>
      <c r="B10" s="8">
        <f>'музей 2020'!C28</f>
        <v>64.5</v>
      </c>
      <c r="C10" s="10">
        <f>'музей 2020'!G34</f>
        <v>39360.400000000001</v>
      </c>
      <c r="D10" s="10">
        <f>'музей 2020'!H34</f>
        <v>11661.7</v>
      </c>
      <c r="E10" s="10">
        <v>897</v>
      </c>
      <c r="F10" s="10"/>
      <c r="G10" s="10"/>
      <c r="H10" s="10"/>
      <c r="I10" s="295">
        <f>'музей 2020'!V28</f>
        <v>39360.400000000001</v>
      </c>
      <c r="J10" s="295">
        <f>'музей 2020'!W28</f>
        <v>11654.6</v>
      </c>
      <c r="K10" s="295">
        <f>'музей 2020'!AH28</f>
        <v>1677</v>
      </c>
      <c r="L10" s="295">
        <v>12072.6</v>
      </c>
      <c r="M10" s="295">
        <v>3617.2</v>
      </c>
      <c r="N10" s="295"/>
      <c r="O10" s="295">
        <f t="shared" ref="O10:Q15" si="0">I10+L10</f>
        <v>51433</v>
      </c>
      <c r="P10" s="295">
        <f t="shared" si="0"/>
        <v>15271.8</v>
      </c>
      <c r="Q10" s="295">
        <f t="shared" si="0"/>
        <v>1677</v>
      </c>
      <c r="R10" s="295">
        <v>51466.7</v>
      </c>
      <c r="S10" s="295">
        <v>15317.8</v>
      </c>
      <c r="T10" s="295">
        <v>1677</v>
      </c>
      <c r="U10" s="10">
        <f t="shared" ref="U10:W11" si="1">R10-O10</f>
        <v>33.700000000000003</v>
      </c>
      <c r="V10" s="10">
        <f t="shared" si="1"/>
        <v>46</v>
      </c>
      <c r="W10" s="10">
        <f t="shared" si="1"/>
        <v>0</v>
      </c>
    </row>
    <row r="11" spans="1:23" s="13" customFormat="1" x14ac:dyDescent="0.25">
      <c r="A11" s="273" t="s">
        <v>133</v>
      </c>
      <c r="B11" s="9" t="e">
        <f>#REF!</f>
        <v>#REF!</v>
      </c>
      <c r="C11" s="10" t="e">
        <f>#REF!</f>
        <v>#REF!</v>
      </c>
      <c r="D11" s="10" t="e">
        <f>#REF!</f>
        <v>#REF!</v>
      </c>
      <c r="E11" s="10">
        <v>3224</v>
      </c>
      <c r="F11" s="10" t="e">
        <f>#REF!</f>
        <v>#REF!</v>
      </c>
      <c r="G11" s="10" t="e">
        <f>#REF!</f>
        <v>#REF!</v>
      </c>
      <c r="H11" s="10"/>
      <c r="I11" s="295" t="e">
        <f>#REF!</f>
        <v>#REF!</v>
      </c>
      <c r="J11" s="295" t="e">
        <f>#REF!</f>
        <v>#REF!</v>
      </c>
      <c r="K11" s="295" t="e">
        <f>#REF!</f>
        <v>#REF!</v>
      </c>
      <c r="L11" s="295">
        <v>24676.400000000001</v>
      </c>
      <c r="M11" s="295">
        <v>7431.5</v>
      </c>
      <c r="N11" s="295"/>
      <c r="O11" s="295" t="e">
        <f t="shared" si="0"/>
        <v>#REF!</v>
      </c>
      <c r="P11" s="295" t="e">
        <f t="shared" si="0"/>
        <v>#REF!</v>
      </c>
      <c r="Q11" s="295" t="e">
        <f t="shared" si="0"/>
        <v>#REF!</v>
      </c>
      <c r="R11" s="295">
        <v>104789.4</v>
      </c>
      <c r="S11" s="295">
        <v>31487.5</v>
      </c>
      <c r="T11" s="295">
        <v>4140.5</v>
      </c>
      <c r="U11" s="10" t="e">
        <f t="shared" si="1"/>
        <v>#REF!</v>
      </c>
      <c r="V11" s="10" t="e">
        <f t="shared" si="1"/>
        <v>#REF!</v>
      </c>
      <c r="W11" s="10" t="e">
        <f t="shared" si="1"/>
        <v>#REF!</v>
      </c>
    </row>
    <row r="12" spans="1:23" s="13" customFormat="1" x14ac:dyDescent="0.25">
      <c r="A12" s="273" t="s">
        <v>112</v>
      </c>
      <c r="B12" s="8">
        <f>'Родина 2020'!C21</f>
        <v>15.5</v>
      </c>
      <c r="C12" s="10">
        <f>'Родина 2020'!G28</f>
        <v>8874.7000000000007</v>
      </c>
      <c r="D12" s="10">
        <f>'Родина 2020'!H28</f>
        <v>2640.7</v>
      </c>
      <c r="E12" s="10">
        <v>546</v>
      </c>
      <c r="F12" s="10"/>
      <c r="G12" s="10"/>
      <c r="H12" s="10"/>
      <c r="I12" s="295">
        <f>'Родина 2020'!V21</f>
        <v>8874.7000000000007</v>
      </c>
      <c r="J12" s="295">
        <f>'Родина 2020'!W21</f>
        <v>2635.8</v>
      </c>
      <c r="K12" s="295">
        <f>'Родина 2020'!AH21</f>
        <v>253.5</v>
      </c>
      <c r="L12" s="295">
        <v>2722.1</v>
      </c>
      <c r="M12" s="295">
        <v>816</v>
      </c>
      <c r="N12" s="295"/>
      <c r="O12" s="295">
        <f t="shared" si="0"/>
        <v>11596.8</v>
      </c>
      <c r="P12" s="295">
        <f t="shared" si="0"/>
        <v>3451.8</v>
      </c>
      <c r="Q12" s="295">
        <f t="shared" si="0"/>
        <v>253.5</v>
      </c>
      <c r="R12" s="1417">
        <v>114402.6</v>
      </c>
      <c r="S12" s="1417">
        <v>33648.800000000003</v>
      </c>
      <c r="T12" s="1417">
        <v>2996.5</v>
      </c>
      <c r="U12" s="1420">
        <f>R12-O12-O13-O14-O15</f>
        <v>-133</v>
      </c>
      <c r="V12" s="1420">
        <f>S12-P12-P13-P14-P15</f>
        <v>-94.1</v>
      </c>
      <c r="W12" s="1420">
        <f>T12-Q12-Q13-Q14-Q15</f>
        <v>0</v>
      </c>
    </row>
    <row r="13" spans="1:23" s="13" customFormat="1" x14ac:dyDescent="0.25">
      <c r="A13" s="273" t="s">
        <v>113</v>
      </c>
      <c r="B13" s="9">
        <f>'ГЦК+Энергия 2020'!C52</f>
        <v>59.75</v>
      </c>
      <c r="C13" s="10">
        <f>'ГЦК+Энергия 2020'!G57</f>
        <v>46179.199999999997</v>
      </c>
      <c r="D13" s="10">
        <f>'ГЦК+Энергия 2020'!H57</f>
        <v>13446.9</v>
      </c>
      <c r="E13" s="10">
        <v>1351.3</v>
      </c>
      <c r="F13" s="10">
        <f>'ГЦК+Энергия 2020'!I57</f>
        <v>678.3</v>
      </c>
      <c r="G13" s="10">
        <f>'ГЦК+Энергия 2020'!J57</f>
        <v>204.8</v>
      </c>
      <c r="H13" s="10"/>
      <c r="I13" s="295">
        <f>'ГЦК+Энергия 2020'!V52</f>
        <v>45500.9</v>
      </c>
      <c r="J13" s="295">
        <f>'ГЦК+Энергия 2020'!W52</f>
        <v>13348.7</v>
      </c>
      <c r="K13" s="295">
        <f>'ГЦК+Энергия 2020'!AH52</f>
        <v>1924</v>
      </c>
      <c r="L13" s="295">
        <v>14164.1</v>
      </c>
      <c r="M13" s="295">
        <v>4215.2</v>
      </c>
      <c r="N13" s="295"/>
      <c r="O13" s="295">
        <f t="shared" si="0"/>
        <v>59665</v>
      </c>
      <c r="P13" s="295">
        <f t="shared" si="0"/>
        <v>17563.900000000001</v>
      </c>
      <c r="Q13" s="295">
        <f t="shared" si="0"/>
        <v>1924</v>
      </c>
      <c r="R13" s="1418"/>
      <c r="S13" s="1418"/>
      <c r="T13" s="1418"/>
      <c r="U13" s="1421"/>
      <c r="V13" s="1421"/>
      <c r="W13" s="1421"/>
    </row>
    <row r="14" spans="1:23" s="13" customFormat="1" ht="19.5" customHeight="1" x14ac:dyDescent="0.25">
      <c r="A14" s="273" t="s">
        <v>114</v>
      </c>
      <c r="B14" s="9">
        <f>'Юбилейный 2020'!C25</f>
        <v>19</v>
      </c>
      <c r="C14" s="10">
        <f>'Юбилейный 2020'!G31</f>
        <v>14722.5</v>
      </c>
      <c r="D14" s="10">
        <f>'Юбилейный 2020'!H31</f>
        <v>4245.1000000000004</v>
      </c>
      <c r="E14" s="10">
        <v>429</v>
      </c>
      <c r="F14" s="10"/>
      <c r="G14" s="10"/>
      <c r="H14" s="10"/>
      <c r="I14" s="295">
        <f>'Юбилейный 2020'!V25</f>
        <v>14722.5</v>
      </c>
      <c r="J14" s="295">
        <f>'Юбилейный 2020'!W25</f>
        <v>4305.6000000000004</v>
      </c>
      <c r="K14" s="295">
        <f>'Юбилейный 2020'!AH25</f>
        <v>370.5</v>
      </c>
      <c r="L14" s="295">
        <v>4515.6000000000004</v>
      </c>
      <c r="M14" s="295">
        <v>1337.9</v>
      </c>
      <c r="N14" s="295"/>
      <c r="O14" s="295">
        <f t="shared" si="0"/>
        <v>19238.099999999999</v>
      </c>
      <c r="P14" s="295">
        <f t="shared" si="0"/>
        <v>5643.5</v>
      </c>
      <c r="Q14" s="295">
        <f t="shared" si="0"/>
        <v>370.5</v>
      </c>
      <c r="R14" s="1418"/>
      <c r="S14" s="1418"/>
      <c r="T14" s="1418"/>
      <c r="U14" s="1421"/>
      <c r="V14" s="1421"/>
      <c r="W14" s="1421"/>
    </row>
    <row r="15" spans="1:23" s="13" customFormat="1" ht="32.25" customHeight="1" x14ac:dyDescent="0.25">
      <c r="A15" s="273" t="s">
        <v>115</v>
      </c>
      <c r="B15" s="9">
        <f>'Высоцкий 2020'!C28</f>
        <v>25</v>
      </c>
      <c r="C15" s="10">
        <f>'Высоцкий 2020'!G33</f>
        <v>18394</v>
      </c>
      <c r="D15" s="10">
        <f>'Высоцкий 2020'!H33</f>
        <v>5393.9</v>
      </c>
      <c r="E15" s="10">
        <v>799.5</v>
      </c>
      <c r="F15" s="10"/>
      <c r="G15" s="10"/>
      <c r="H15" s="10"/>
      <c r="I15" s="295">
        <f>'Высоцкий 2020'!V28</f>
        <v>18394</v>
      </c>
      <c r="J15" s="295">
        <f>'Высоцкий 2020'!W28</f>
        <v>5400.8</v>
      </c>
      <c r="K15" s="295">
        <f>'Высоцкий 2020'!AH28</f>
        <v>448.5</v>
      </c>
      <c r="L15" s="295">
        <v>5641.7</v>
      </c>
      <c r="M15" s="295">
        <v>1682.9</v>
      </c>
      <c r="N15" s="295"/>
      <c r="O15" s="295">
        <f t="shared" si="0"/>
        <v>24035.7</v>
      </c>
      <c r="P15" s="295">
        <f t="shared" si="0"/>
        <v>7083.7</v>
      </c>
      <c r="Q15" s="295">
        <f t="shared" si="0"/>
        <v>448.5</v>
      </c>
      <c r="R15" s="1419"/>
      <c r="S15" s="1419"/>
      <c r="T15" s="1419"/>
      <c r="U15" s="1422"/>
      <c r="V15" s="1422"/>
      <c r="W15" s="1422"/>
    </row>
    <row r="16" spans="1:23" x14ac:dyDescent="0.25">
      <c r="A16" s="16" t="s">
        <v>99</v>
      </c>
      <c r="B16" s="17" t="e">
        <f t="shared" ref="B16:W16" si="2">SUM(B10:B15)</f>
        <v>#REF!</v>
      </c>
      <c r="C16" s="18" t="e">
        <f t="shared" si="2"/>
        <v>#REF!</v>
      </c>
      <c r="D16" s="18" t="e">
        <f t="shared" si="2"/>
        <v>#REF!</v>
      </c>
      <c r="E16" s="18">
        <f t="shared" si="2"/>
        <v>7246.8</v>
      </c>
      <c r="F16" s="18" t="e">
        <f t="shared" si="2"/>
        <v>#REF!</v>
      </c>
      <c r="G16" s="18" t="e">
        <f t="shared" si="2"/>
        <v>#REF!</v>
      </c>
      <c r="H16" s="18">
        <f t="shared" si="2"/>
        <v>0</v>
      </c>
      <c r="I16" s="18" t="e">
        <f t="shared" si="2"/>
        <v>#REF!</v>
      </c>
      <c r="J16" s="18" t="e">
        <f t="shared" si="2"/>
        <v>#REF!</v>
      </c>
      <c r="K16" s="18" t="e">
        <f t="shared" si="2"/>
        <v>#REF!</v>
      </c>
      <c r="L16" s="18">
        <f t="shared" si="2"/>
        <v>63792.5</v>
      </c>
      <c r="M16" s="18">
        <f t="shared" si="2"/>
        <v>19100.7</v>
      </c>
      <c r="N16" s="18">
        <f t="shared" si="2"/>
        <v>0</v>
      </c>
      <c r="O16" s="18" t="e">
        <f t="shared" si="2"/>
        <v>#REF!</v>
      </c>
      <c r="P16" s="18" t="e">
        <f t="shared" si="2"/>
        <v>#REF!</v>
      </c>
      <c r="Q16" s="18" t="e">
        <f t="shared" si="2"/>
        <v>#REF!</v>
      </c>
      <c r="R16" s="18">
        <f t="shared" si="2"/>
        <v>270658.7</v>
      </c>
      <c r="S16" s="18">
        <f t="shared" si="2"/>
        <v>80454.100000000006</v>
      </c>
      <c r="T16" s="18">
        <f t="shared" si="2"/>
        <v>8814</v>
      </c>
      <c r="U16" s="18" t="e">
        <f t="shared" si="2"/>
        <v>#REF!</v>
      </c>
      <c r="V16" s="18" t="e">
        <f t="shared" si="2"/>
        <v>#REF!</v>
      </c>
      <c r="W16" s="18" t="e">
        <f t="shared" si="2"/>
        <v>#REF!</v>
      </c>
    </row>
    <row r="17" spans="1:23" x14ac:dyDescent="0.25">
      <c r="C17" s="11"/>
      <c r="D17" s="11"/>
      <c r="E17" s="12"/>
      <c r="F17" s="12"/>
      <c r="G17" s="12"/>
      <c r="H17" s="12"/>
      <c r="I17" s="12"/>
      <c r="J17" s="12"/>
      <c r="K17" s="12"/>
      <c r="L17" s="12"/>
      <c r="M17" s="12"/>
      <c r="N17" s="12"/>
      <c r="O17" s="12"/>
      <c r="P17" s="12"/>
      <c r="Q17" s="12"/>
      <c r="R17" s="12"/>
      <c r="S17" s="12"/>
      <c r="T17" s="12"/>
    </row>
    <row r="18" spans="1:23" x14ac:dyDescent="0.25">
      <c r="U18" s="1406" t="s">
        <v>171</v>
      </c>
      <c r="V18" s="1406"/>
      <c r="W18" s="1406"/>
    </row>
    <row r="19" spans="1:23" s="20" customFormat="1" ht="20.25" x14ac:dyDescent="0.3">
      <c r="A19" s="1" t="s">
        <v>138</v>
      </c>
      <c r="C19" s="2"/>
      <c r="D19" s="6" t="s">
        <v>166</v>
      </c>
      <c r="E19" s="3"/>
      <c r="F19" s="4"/>
      <c r="G19" s="4"/>
      <c r="H19" s="5"/>
      <c r="I19" s="5"/>
      <c r="J19" s="4"/>
    </row>
    <row r="21" spans="1:23" x14ac:dyDescent="0.25">
      <c r="A21" s="7" t="s">
        <v>151</v>
      </c>
    </row>
    <row r="22" spans="1:23" s="11" customFormat="1" x14ac:dyDescent="0.25">
      <c r="D22" s="11" t="e">
        <f>D16-G16</f>
        <v>#REF!</v>
      </c>
      <c r="E22" s="12"/>
      <c r="F22" s="12"/>
      <c r="G22" s="12"/>
      <c r="H22" s="12"/>
      <c r="I22" s="12"/>
      <c r="J22" s="12"/>
      <c r="K22" s="12"/>
      <c r="L22" s="12"/>
      <c r="M22" s="12"/>
      <c r="N22" s="12"/>
      <c r="O22" s="12"/>
      <c r="P22" s="12"/>
      <c r="Q22" s="12"/>
      <c r="R22" s="12"/>
      <c r="S22" s="12"/>
      <c r="T22" s="12"/>
    </row>
    <row r="23" spans="1:23" s="11" customFormat="1" x14ac:dyDescent="0.25">
      <c r="E23" s="12"/>
      <c r="F23" s="12"/>
      <c r="G23" s="12"/>
      <c r="H23" s="12"/>
      <c r="I23" s="12"/>
      <c r="J23" s="12"/>
      <c r="K23" s="12"/>
      <c r="L23" s="12"/>
      <c r="M23" s="12"/>
      <c r="N23" s="12"/>
      <c r="O23" s="12"/>
      <c r="P23" s="12"/>
      <c r="Q23" s="12"/>
      <c r="R23" s="12"/>
      <c r="S23" s="12"/>
      <c r="T23" s="12"/>
    </row>
    <row r="24" spans="1:23" s="11" customFormat="1" x14ac:dyDescent="0.25">
      <c r="E24" s="12"/>
      <c r="F24" s="12"/>
      <c r="G24" s="12"/>
      <c r="H24" s="12"/>
      <c r="I24" s="12"/>
      <c r="J24" s="12"/>
      <c r="K24" s="12"/>
      <c r="L24" s="12"/>
      <c r="M24" s="12"/>
      <c r="N24" s="12"/>
      <c r="O24" s="12"/>
      <c r="P24" s="12"/>
      <c r="Q24" s="12"/>
      <c r="R24" s="12"/>
      <c r="S24" s="12"/>
      <c r="T24" s="12"/>
    </row>
    <row r="25" spans="1:23" s="11" customFormat="1" x14ac:dyDescent="0.25">
      <c r="E25" s="12"/>
      <c r="F25" s="12"/>
      <c r="G25" s="12"/>
      <c r="H25" s="12"/>
      <c r="I25" s="12"/>
      <c r="J25" s="12"/>
      <c r="K25" s="12"/>
      <c r="L25" s="12"/>
      <c r="M25" s="12"/>
      <c r="N25" s="12"/>
      <c r="O25" s="12"/>
      <c r="P25" s="12"/>
      <c r="Q25" s="12"/>
      <c r="R25" s="12"/>
      <c r="S25" s="12"/>
      <c r="T25" s="12"/>
    </row>
    <row r="26" spans="1:23" s="11" customFormat="1" x14ac:dyDescent="0.25">
      <c r="E26" s="12"/>
      <c r="F26" s="12"/>
      <c r="G26" s="12"/>
      <c r="H26" s="12"/>
      <c r="I26" s="12"/>
      <c r="J26" s="12"/>
      <c r="K26" s="12"/>
      <c r="L26" s="12"/>
      <c r="M26" s="12"/>
      <c r="N26" s="12"/>
      <c r="O26" s="12"/>
      <c r="P26" s="12"/>
      <c r="Q26" s="12"/>
      <c r="R26" s="12"/>
      <c r="S26" s="12"/>
      <c r="T26" s="12"/>
    </row>
    <row r="27" spans="1:23" s="11" customFormat="1" x14ac:dyDescent="0.25">
      <c r="E27" s="12"/>
      <c r="F27" s="12"/>
      <c r="G27" s="12"/>
      <c r="H27" s="12"/>
      <c r="I27" s="12"/>
      <c r="J27" s="12"/>
      <c r="K27" s="12"/>
      <c r="L27" s="12"/>
      <c r="M27" s="12"/>
      <c r="N27" s="12"/>
      <c r="O27" s="12"/>
      <c r="P27" s="12"/>
      <c r="Q27" s="12"/>
      <c r="R27" s="12"/>
      <c r="S27" s="12"/>
      <c r="T27" s="12"/>
    </row>
    <row r="28" spans="1:23" s="11" customFormat="1" x14ac:dyDescent="0.25">
      <c r="E28" s="12"/>
      <c r="F28" s="12"/>
      <c r="G28" s="12"/>
      <c r="H28" s="12"/>
      <c r="I28" s="12"/>
      <c r="J28" s="12"/>
      <c r="K28" s="12"/>
      <c r="L28" s="12"/>
      <c r="M28" s="12"/>
      <c r="N28" s="12"/>
      <c r="O28" s="12"/>
      <c r="P28" s="12"/>
      <c r="Q28" s="12"/>
      <c r="R28" s="12"/>
      <c r="S28" s="12"/>
      <c r="T28" s="12"/>
    </row>
    <row r="29" spans="1:23" s="11" customFormat="1" x14ac:dyDescent="0.25">
      <c r="E29" s="12"/>
      <c r="F29" s="12"/>
      <c r="G29" s="12"/>
      <c r="H29" s="12"/>
      <c r="I29" s="12"/>
      <c r="J29" s="12"/>
      <c r="K29" s="12"/>
      <c r="L29" s="12"/>
      <c r="M29" s="12"/>
      <c r="N29" s="12"/>
      <c r="O29" s="12"/>
      <c r="P29" s="12"/>
      <c r="Q29" s="12"/>
      <c r="R29" s="12"/>
      <c r="S29" s="12"/>
      <c r="T29" s="12"/>
    </row>
    <row r="30" spans="1:23" s="11" customFormat="1" x14ac:dyDescent="0.25">
      <c r="E30" s="12"/>
      <c r="F30" s="12"/>
      <c r="G30" s="12"/>
      <c r="H30" s="12"/>
      <c r="I30" s="12"/>
      <c r="J30" s="12"/>
      <c r="K30" s="12"/>
      <c r="L30" s="12"/>
      <c r="M30" s="12"/>
      <c r="N30" s="12"/>
      <c r="O30" s="12"/>
      <c r="P30" s="12"/>
      <c r="Q30" s="12"/>
      <c r="R30" s="12"/>
      <c r="S30" s="12"/>
      <c r="T30" s="12"/>
    </row>
    <row r="31" spans="1:23" s="11" customFormat="1" x14ac:dyDescent="0.25">
      <c r="E31" s="12"/>
      <c r="F31" s="12"/>
      <c r="G31" s="12"/>
      <c r="H31" s="12"/>
      <c r="I31" s="12"/>
      <c r="J31" s="12"/>
      <c r="K31" s="12"/>
      <c r="L31" s="12"/>
      <c r="M31" s="12"/>
      <c r="N31" s="12"/>
      <c r="O31" s="12"/>
      <c r="P31" s="12"/>
      <c r="Q31" s="12"/>
      <c r="R31" s="12"/>
      <c r="S31" s="12"/>
      <c r="T31" s="12"/>
    </row>
    <row r="32" spans="1:23" s="11" customFormat="1" x14ac:dyDescent="0.25">
      <c r="E32" s="12"/>
      <c r="F32" s="12"/>
      <c r="G32" s="12"/>
      <c r="H32" s="12"/>
      <c r="I32" s="12"/>
      <c r="J32" s="12"/>
      <c r="K32" s="12"/>
      <c r="L32" s="12"/>
      <c r="M32" s="12"/>
      <c r="N32" s="12"/>
      <c r="O32" s="12"/>
      <c r="P32" s="12"/>
      <c r="Q32" s="12"/>
      <c r="R32" s="12"/>
      <c r="S32" s="12"/>
      <c r="T32" s="12"/>
    </row>
    <row r="33" spans="5:20" s="11" customFormat="1" x14ac:dyDescent="0.25">
      <c r="E33" s="12"/>
      <c r="F33" s="12"/>
      <c r="G33" s="12"/>
      <c r="H33" s="12"/>
      <c r="I33" s="12"/>
      <c r="J33" s="12"/>
      <c r="K33" s="12"/>
      <c r="L33" s="12"/>
      <c r="M33" s="12"/>
      <c r="N33" s="12"/>
      <c r="O33" s="12"/>
      <c r="P33" s="12"/>
      <c r="Q33" s="12"/>
      <c r="R33" s="12"/>
      <c r="S33" s="12"/>
      <c r="T33" s="12"/>
    </row>
    <row r="34" spans="5:20" s="11" customFormat="1" x14ac:dyDescent="0.25">
      <c r="E34" s="12"/>
      <c r="F34" s="12"/>
      <c r="G34" s="12"/>
      <c r="H34" s="12"/>
      <c r="I34" s="12"/>
      <c r="J34" s="12"/>
      <c r="K34" s="12"/>
      <c r="L34" s="12"/>
      <c r="M34" s="12"/>
      <c r="N34" s="12"/>
      <c r="O34" s="12"/>
      <c r="P34" s="12"/>
      <c r="Q34" s="12"/>
      <c r="R34" s="12"/>
      <c r="S34" s="12"/>
      <c r="T34" s="12"/>
    </row>
    <row r="35" spans="5:20" s="11" customFormat="1" x14ac:dyDescent="0.25">
      <c r="E35" s="12"/>
      <c r="F35" s="12"/>
      <c r="G35" s="12"/>
      <c r="H35" s="12"/>
      <c r="I35" s="12"/>
      <c r="J35" s="12"/>
      <c r="K35" s="12"/>
      <c r="L35" s="12"/>
      <c r="M35" s="12"/>
      <c r="N35" s="12"/>
      <c r="O35" s="12"/>
      <c r="P35" s="12"/>
      <c r="Q35" s="12"/>
      <c r="R35" s="12"/>
      <c r="S35" s="12"/>
      <c r="T35" s="12"/>
    </row>
    <row r="36" spans="5:20" s="11" customFormat="1" x14ac:dyDescent="0.25">
      <c r="E36" s="12"/>
      <c r="F36" s="12"/>
      <c r="G36" s="12"/>
      <c r="H36" s="12"/>
      <c r="I36" s="12"/>
      <c r="J36" s="12"/>
      <c r="K36" s="12"/>
      <c r="L36" s="12"/>
      <c r="M36" s="12"/>
      <c r="N36" s="12"/>
      <c r="O36" s="12"/>
      <c r="P36" s="12"/>
      <c r="Q36" s="12"/>
      <c r="R36" s="12"/>
      <c r="S36" s="12"/>
      <c r="T36" s="12"/>
    </row>
    <row r="37" spans="5:20" s="11" customFormat="1" x14ac:dyDescent="0.25">
      <c r="E37" s="12"/>
      <c r="F37" s="12"/>
      <c r="G37" s="12"/>
      <c r="H37" s="12"/>
      <c r="I37" s="12"/>
      <c r="J37" s="12"/>
      <c r="K37" s="12"/>
      <c r="L37" s="12"/>
      <c r="M37" s="12"/>
      <c r="N37" s="12"/>
      <c r="O37" s="12"/>
      <c r="P37" s="12"/>
      <c r="Q37" s="12"/>
      <c r="R37" s="12"/>
      <c r="S37" s="12"/>
      <c r="T37" s="12"/>
    </row>
    <row r="38" spans="5:20" s="11" customFormat="1" x14ac:dyDescent="0.25">
      <c r="E38" s="12"/>
      <c r="F38" s="12"/>
      <c r="G38" s="12"/>
      <c r="H38" s="12"/>
      <c r="I38" s="12"/>
      <c r="J38" s="12"/>
      <c r="K38" s="12"/>
      <c r="L38" s="12"/>
      <c r="M38" s="12"/>
      <c r="N38" s="12"/>
      <c r="O38" s="12"/>
      <c r="P38" s="12"/>
      <c r="Q38" s="12"/>
      <c r="R38" s="12"/>
      <c r="S38" s="12"/>
      <c r="T38" s="12"/>
    </row>
    <row r="39" spans="5:20" s="11" customFormat="1" x14ac:dyDescent="0.25">
      <c r="E39" s="12"/>
      <c r="F39" s="12"/>
      <c r="G39" s="12"/>
      <c r="H39" s="12"/>
      <c r="I39" s="12"/>
      <c r="J39" s="12"/>
      <c r="K39" s="12"/>
      <c r="L39" s="12"/>
      <c r="M39" s="12"/>
      <c r="N39" s="12"/>
      <c r="O39" s="12"/>
      <c r="P39" s="12"/>
      <c r="Q39" s="12"/>
      <c r="R39" s="12"/>
      <c r="S39" s="12"/>
      <c r="T39" s="12"/>
    </row>
    <row r="40" spans="5:20" s="11" customFormat="1" x14ac:dyDescent="0.25">
      <c r="E40" s="12"/>
      <c r="F40" s="12"/>
      <c r="G40" s="12"/>
      <c r="H40" s="12"/>
      <c r="I40" s="12"/>
      <c r="J40" s="12"/>
      <c r="K40" s="12"/>
      <c r="L40" s="12"/>
      <c r="M40" s="12"/>
      <c r="N40" s="12"/>
      <c r="O40" s="12"/>
      <c r="P40" s="12"/>
      <c r="Q40" s="12"/>
      <c r="R40" s="12"/>
      <c r="S40" s="12"/>
      <c r="T40" s="12"/>
    </row>
    <row r="41" spans="5:20" s="11" customFormat="1" x14ac:dyDescent="0.25">
      <c r="E41" s="12"/>
      <c r="F41" s="12"/>
      <c r="G41" s="12"/>
      <c r="H41" s="12"/>
      <c r="I41" s="12"/>
      <c r="J41" s="12"/>
      <c r="K41" s="12"/>
      <c r="L41" s="12"/>
      <c r="M41" s="12"/>
      <c r="N41" s="12"/>
      <c r="O41" s="12"/>
      <c r="P41" s="12"/>
      <c r="Q41" s="12"/>
      <c r="R41" s="12"/>
      <c r="S41" s="12"/>
      <c r="T41" s="12"/>
    </row>
    <row r="42" spans="5:20" s="11" customFormat="1" x14ac:dyDescent="0.25">
      <c r="E42" s="12"/>
      <c r="F42" s="12"/>
      <c r="G42" s="12"/>
      <c r="H42" s="12"/>
      <c r="I42" s="12"/>
      <c r="J42" s="12"/>
      <c r="K42" s="12"/>
      <c r="L42" s="12"/>
      <c r="M42" s="12"/>
      <c r="N42" s="12"/>
      <c r="O42" s="12"/>
      <c r="P42" s="12"/>
      <c r="Q42" s="12"/>
      <c r="R42" s="12"/>
      <c r="S42" s="12"/>
      <c r="T42" s="12"/>
    </row>
    <row r="43" spans="5:20" s="11" customFormat="1" x14ac:dyDescent="0.25">
      <c r="E43" s="12"/>
      <c r="F43" s="12"/>
      <c r="G43" s="12"/>
      <c r="H43" s="12"/>
      <c r="I43" s="12"/>
      <c r="J43" s="12"/>
      <c r="K43" s="12"/>
      <c r="L43" s="12"/>
      <c r="M43" s="12"/>
      <c r="N43" s="12"/>
      <c r="O43" s="12"/>
      <c r="P43" s="12"/>
      <c r="Q43" s="12"/>
      <c r="R43" s="12"/>
      <c r="S43" s="12"/>
      <c r="T43" s="12"/>
    </row>
    <row r="44" spans="5:20" s="11" customFormat="1" x14ac:dyDescent="0.25">
      <c r="E44" s="12"/>
      <c r="F44" s="12"/>
      <c r="G44" s="12"/>
      <c r="H44" s="12"/>
      <c r="I44" s="12"/>
      <c r="J44" s="12"/>
      <c r="K44" s="12"/>
      <c r="L44" s="12"/>
      <c r="M44" s="12"/>
      <c r="N44" s="12"/>
      <c r="O44" s="12"/>
      <c r="P44" s="12"/>
      <c r="Q44" s="12"/>
      <c r="R44" s="12"/>
      <c r="S44" s="12"/>
      <c r="T44" s="12"/>
    </row>
    <row r="45" spans="5:20" s="11" customFormat="1" x14ac:dyDescent="0.25">
      <c r="E45" s="12"/>
      <c r="F45" s="12"/>
      <c r="G45" s="12"/>
      <c r="H45" s="12"/>
      <c r="I45" s="12"/>
      <c r="J45" s="12"/>
      <c r="K45" s="12"/>
      <c r="L45" s="12"/>
      <c r="M45" s="12"/>
      <c r="N45" s="12"/>
      <c r="O45" s="12"/>
      <c r="P45" s="12"/>
      <c r="Q45" s="12"/>
      <c r="R45" s="12"/>
      <c r="S45" s="12"/>
      <c r="T45" s="12"/>
    </row>
    <row r="46" spans="5:20" s="11" customFormat="1" x14ac:dyDescent="0.25">
      <c r="E46" s="12"/>
      <c r="F46" s="12"/>
      <c r="G46" s="12"/>
      <c r="H46" s="12"/>
      <c r="I46" s="12"/>
      <c r="J46" s="12"/>
      <c r="K46" s="12"/>
      <c r="L46" s="12"/>
      <c r="M46" s="12"/>
      <c r="N46" s="12"/>
      <c r="O46" s="12"/>
      <c r="P46" s="12"/>
      <c r="Q46" s="12"/>
      <c r="R46" s="12"/>
      <c r="S46" s="12"/>
      <c r="T46" s="12"/>
    </row>
  </sheetData>
  <mergeCells count="18">
    <mergeCell ref="U18:W18"/>
    <mergeCell ref="L8:N8"/>
    <mergeCell ref="O8:Q8"/>
    <mergeCell ref="R8:T8"/>
    <mergeCell ref="R12:R15"/>
    <mergeCell ref="S12:S15"/>
    <mergeCell ref="T12:T15"/>
    <mergeCell ref="U12:U15"/>
    <mergeCell ref="V12:V15"/>
    <mergeCell ref="W12:W15"/>
    <mergeCell ref="A2:W2"/>
    <mergeCell ref="A4:W4"/>
    <mergeCell ref="A8:A9"/>
    <mergeCell ref="B8:B9"/>
    <mergeCell ref="C8:E8"/>
    <mergeCell ref="F8:H8"/>
    <mergeCell ref="I8:K8"/>
    <mergeCell ref="U8:W8"/>
  </mergeCells>
  <pageMargins left="0.19685039370078741" right="0.19685039370078741" top="0.74803149606299213" bottom="0.74803149606299213" header="0.31496062992125984" footer="0.31496062992125984"/>
  <pageSetup paperSize="9" scale="4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P17"/>
  <sheetViews>
    <sheetView view="pageBreakPreview" zoomScaleNormal="70" zoomScaleSheetLayoutView="100" workbookViewId="0">
      <selection activeCell="F25" sqref="F25"/>
    </sheetView>
  </sheetViews>
  <sheetFormatPr defaultColWidth="10.6640625" defaultRowHeight="15" x14ac:dyDescent="0.25"/>
  <cols>
    <col min="1" max="1" width="23.5" style="302" customWidth="1"/>
    <col min="2" max="2" width="11.33203125" style="335" customWidth="1"/>
    <col min="3" max="3" width="18.5" style="302" customWidth="1"/>
    <col min="4" max="4" width="21.5" style="302" customWidth="1"/>
    <col min="5" max="5" width="17" style="302" customWidth="1"/>
    <col min="6" max="6" width="21.5" style="302" customWidth="1"/>
    <col min="7" max="7" width="17.83203125" style="302" customWidth="1"/>
    <col min="8" max="11" width="18.1640625" style="302" customWidth="1"/>
    <col min="12" max="12" width="20.83203125" style="302" customWidth="1"/>
    <col min="13" max="15" width="18.1640625" style="302" customWidth="1"/>
    <col min="16" max="16" width="23.83203125" style="302" customWidth="1"/>
    <col min="17" max="16384" width="10.6640625" style="302"/>
  </cols>
  <sheetData>
    <row r="1" spans="1:16" ht="33" customHeight="1" x14ac:dyDescent="0.25">
      <c r="A1" s="1578" t="s">
        <v>436</v>
      </c>
      <c r="B1" s="1578"/>
      <c r="C1" s="1578"/>
      <c r="D1" s="1578"/>
      <c r="E1" s="1578"/>
      <c r="F1" s="1578"/>
      <c r="G1" s="1578"/>
      <c r="H1" s="1578"/>
      <c r="I1" s="1578"/>
      <c r="J1" s="1578"/>
      <c r="K1" s="1578"/>
      <c r="L1" s="338"/>
      <c r="M1" s="338"/>
      <c r="N1" s="338"/>
      <c r="O1" s="338"/>
    </row>
    <row r="3" spans="1:16" s="324" customFormat="1" ht="28.5" customHeight="1" x14ac:dyDescent="0.25">
      <c r="A3" s="1577" t="s">
        <v>437</v>
      </c>
      <c r="B3" s="1580" t="s">
        <v>184</v>
      </c>
      <c r="C3" s="1577" t="s">
        <v>438</v>
      </c>
      <c r="D3" s="1577"/>
      <c r="E3" s="1577"/>
      <c r="F3" s="1577" t="s">
        <v>439</v>
      </c>
      <c r="G3" s="1577"/>
      <c r="H3" s="1577"/>
      <c r="I3" s="1577" t="s">
        <v>272</v>
      </c>
      <c r="J3" s="1577"/>
      <c r="K3" s="1577"/>
      <c r="L3" s="1579"/>
      <c r="M3" s="323"/>
      <c r="N3" s="323"/>
      <c r="O3" s="323"/>
      <c r="P3" s="1579"/>
    </row>
    <row r="4" spans="1:16" s="326" customFormat="1" x14ac:dyDescent="0.25">
      <c r="A4" s="1577"/>
      <c r="B4" s="1580"/>
      <c r="C4" s="333" t="s">
        <v>194</v>
      </c>
      <c r="D4" s="333" t="s">
        <v>386</v>
      </c>
      <c r="E4" s="333" t="s">
        <v>411</v>
      </c>
      <c r="F4" s="333" t="s">
        <v>194</v>
      </c>
      <c r="G4" s="333" t="s">
        <v>386</v>
      </c>
      <c r="H4" s="333" t="s">
        <v>411</v>
      </c>
      <c r="I4" s="333" t="s">
        <v>194</v>
      </c>
      <c r="J4" s="333" t="s">
        <v>386</v>
      </c>
      <c r="K4" s="333" t="s">
        <v>411</v>
      </c>
      <c r="L4" s="1579"/>
      <c r="M4" s="325"/>
      <c r="N4" s="325"/>
      <c r="O4" s="325"/>
      <c r="P4" s="1579"/>
    </row>
    <row r="5" spans="1:16" s="327" customFormat="1" ht="45" x14ac:dyDescent="0.2">
      <c r="A5" s="1577"/>
      <c r="B5" s="1580"/>
      <c r="C5" s="333" t="s">
        <v>186</v>
      </c>
      <c r="D5" s="333" t="s">
        <v>187</v>
      </c>
      <c r="E5" s="333" t="s">
        <v>188</v>
      </c>
      <c r="F5" s="333" t="s">
        <v>186</v>
      </c>
      <c r="G5" s="333" t="s">
        <v>187</v>
      </c>
      <c r="H5" s="333" t="s">
        <v>188</v>
      </c>
      <c r="I5" s="333" t="s">
        <v>186</v>
      </c>
      <c r="J5" s="333" t="s">
        <v>187</v>
      </c>
      <c r="K5" s="333" t="s">
        <v>188</v>
      </c>
      <c r="L5" s="325"/>
      <c r="N5" s="325"/>
    </row>
    <row r="6" spans="1:16" s="326" customFormat="1" ht="14.25" customHeight="1" x14ac:dyDescent="0.25">
      <c r="A6" s="333">
        <v>1</v>
      </c>
      <c r="B6" s="336">
        <v>2</v>
      </c>
      <c r="C6" s="333">
        <v>3</v>
      </c>
      <c r="D6" s="333">
        <v>4</v>
      </c>
      <c r="E6" s="333">
        <v>5</v>
      </c>
      <c r="F6" s="333">
        <v>6</v>
      </c>
      <c r="G6" s="333">
        <v>7</v>
      </c>
      <c r="H6" s="333">
        <v>8</v>
      </c>
      <c r="I6" s="333">
        <v>9</v>
      </c>
      <c r="J6" s="334"/>
      <c r="K6" s="334"/>
      <c r="L6" s="325"/>
      <c r="M6" s="328"/>
      <c r="N6" s="328"/>
      <c r="O6" s="328"/>
    </row>
    <row r="7" spans="1:16" s="329" customFormat="1" ht="14.25" customHeight="1" x14ac:dyDescent="0.25">
      <c r="A7" s="334"/>
      <c r="B7" s="336" t="s">
        <v>307</v>
      </c>
      <c r="C7" s="334"/>
      <c r="D7" s="334"/>
      <c r="E7" s="334"/>
      <c r="F7" s="334"/>
      <c r="G7" s="334"/>
      <c r="H7" s="334"/>
      <c r="I7" s="334">
        <f t="shared" ref="I7:K9" si="0">C7*F7</f>
        <v>0</v>
      </c>
      <c r="J7" s="334">
        <f t="shared" si="0"/>
        <v>0</v>
      </c>
      <c r="K7" s="334">
        <f t="shared" si="0"/>
        <v>0</v>
      </c>
      <c r="L7" s="330"/>
      <c r="M7" s="330"/>
      <c r="N7" s="330"/>
      <c r="O7" s="330"/>
    </row>
    <row r="8" spans="1:16" s="329" customFormat="1" ht="14.25" customHeight="1" x14ac:dyDescent="0.25">
      <c r="A8" s="334"/>
      <c r="B8" s="336" t="s">
        <v>440</v>
      </c>
      <c r="C8" s="334"/>
      <c r="D8" s="334"/>
      <c r="E8" s="334"/>
      <c r="F8" s="334"/>
      <c r="G8" s="334"/>
      <c r="H8" s="334"/>
      <c r="I8" s="334">
        <f t="shared" si="0"/>
        <v>0</v>
      </c>
      <c r="J8" s="334">
        <f t="shared" si="0"/>
        <v>0</v>
      </c>
      <c r="K8" s="334">
        <f t="shared" si="0"/>
        <v>0</v>
      </c>
      <c r="L8" s="330"/>
      <c r="M8" s="330"/>
      <c r="N8" s="330"/>
      <c r="O8" s="330"/>
    </row>
    <row r="9" spans="1:16" s="331" customFormat="1" x14ac:dyDescent="0.2">
      <c r="A9" s="334"/>
      <c r="B9" s="337"/>
      <c r="C9" s="334"/>
      <c r="D9" s="334"/>
      <c r="E9" s="334"/>
      <c r="F9" s="334"/>
      <c r="G9" s="334"/>
      <c r="H9" s="334"/>
      <c r="I9" s="334">
        <f t="shared" si="0"/>
        <v>0</v>
      </c>
      <c r="J9" s="334">
        <f t="shared" si="0"/>
        <v>0</v>
      </c>
      <c r="K9" s="334">
        <f t="shared" si="0"/>
        <v>0</v>
      </c>
      <c r="L9" s="332"/>
      <c r="M9" s="332"/>
      <c r="N9" s="332"/>
      <c r="O9" s="332"/>
      <c r="P9" s="332"/>
    </row>
    <row r="10" spans="1:16" x14ac:dyDescent="0.25">
      <c r="A10" s="334" t="s">
        <v>72</v>
      </c>
      <c r="B10" s="336">
        <v>9000</v>
      </c>
      <c r="C10" s="333">
        <f t="shared" ref="C10:K10" si="1">SUM(C7:C9)</f>
        <v>0</v>
      </c>
      <c r="D10" s="333">
        <f t="shared" si="1"/>
        <v>0</v>
      </c>
      <c r="E10" s="333">
        <f t="shared" si="1"/>
        <v>0</v>
      </c>
      <c r="F10" s="333">
        <f t="shared" si="1"/>
        <v>0</v>
      </c>
      <c r="G10" s="333">
        <f t="shared" si="1"/>
        <v>0</v>
      </c>
      <c r="H10" s="333">
        <f t="shared" si="1"/>
        <v>0</v>
      </c>
      <c r="I10" s="333">
        <f t="shared" si="1"/>
        <v>0</v>
      </c>
      <c r="J10" s="333">
        <f t="shared" si="1"/>
        <v>0</v>
      </c>
      <c r="K10" s="333">
        <f t="shared" si="1"/>
        <v>0</v>
      </c>
    </row>
    <row r="12" spans="1:16" x14ac:dyDescent="0.25">
      <c r="B12" s="335" t="s">
        <v>274</v>
      </c>
    </row>
    <row r="15" spans="1:16" x14ac:dyDescent="0.25">
      <c r="B15" s="335" t="s">
        <v>275</v>
      </c>
    </row>
    <row r="17" spans="8:12" x14ac:dyDescent="0.25">
      <c r="H17" s="309"/>
      <c r="I17" s="309"/>
      <c r="J17" s="309"/>
      <c r="K17" s="309"/>
      <c r="L17" s="309"/>
    </row>
  </sheetData>
  <mergeCells count="8">
    <mergeCell ref="F3:H3"/>
    <mergeCell ref="I3:K3"/>
    <mergeCell ref="A1:K1"/>
    <mergeCell ref="P3:P4"/>
    <mergeCell ref="L3:L4"/>
    <mergeCell ref="A3:A5"/>
    <mergeCell ref="B3:B5"/>
    <mergeCell ref="C3:E3"/>
  </mergeCells>
  <pageMargins left="0.70866141732283472" right="0.70866141732283472" top="0.74803149606299213" bottom="0.74803149606299213" header="0.31496062992125984" footer="0.31496062992125984"/>
  <pageSetup paperSize="9" scale="7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K15"/>
  <sheetViews>
    <sheetView view="pageBreakPreview" zoomScale="80" zoomScaleSheetLayoutView="80" workbookViewId="0">
      <selection activeCell="A7" sqref="A7:XFD8"/>
    </sheetView>
  </sheetViews>
  <sheetFormatPr defaultColWidth="9.33203125" defaultRowHeight="39" customHeight="1" x14ac:dyDescent="0.25"/>
  <cols>
    <col min="1" max="1" width="9.33203125" style="758"/>
    <col min="2" max="2" width="17.6640625" style="758" customWidth="1"/>
    <col min="3" max="3" width="11.1640625" style="758" customWidth="1"/>
    <col min="4" max="4" width="23.5" style="758" customWidth="1"/>
    <col min="5" max="5" width="24.1640625" style="758" customWidth="1"/>
    <col min="6" max="6" width="22" style="758" customWidth="1"/>
    <col min="7" max="7" width="24" style="758" customWidth="1"/>
    <col min="8" max="9" width="22" style="758" customWidth="1"/>
    <col min="10" max="10" width="23.1640625" style="758" customWidth="1"/>
    <col min="11" max="11" width="21.33203125" style="758" customWidth="1"/>
    <col min="12" max="16384" width="9.33203125" style="758"/>
  </cols>
  <sheetData>
    <row r="1" spans="1:11" ht="15.75" customHeight="1" x14ac:dyDescent="0.25">
      <c r="A1" s="1581" t="s">
        <v>790</v>
      </c>
      <c r="B1" s="1581"/>
      <c r="C1" s="1581"/>
      <c r="D1" s="1581"/>
      <c r="E1" s="1581"/>
      <c r="F1" s="1581"/>
      <c r="G1" s="1581"/>
      <c r="H1" s="1581"/>
      <c r="I1" s="1581"/>
      <c r="J1" s="1581"/>
      <c r="K1" s="1581"/>
    </row>
    <row r="2" spans="1:11" ht="18" customHeight="1" x14ac:dyDescent="0.25">
      <c r="D2" s="759"/>
      <c r="E2" s="759"/>
      <c r="F2" s="759"/>
      <c r="G2" s="759"/>
      <c r="H2" s="759"/>
      <c r="I2" s="759"/>
      <c r="J2" s="759"/>
      <c r="K2" s="759"/>
    </row>
    <row r="3" spans="1:11" ht="17.25" customHeight="1" x14ac:dyDescent="0.25">
      <c r="A3" s="1582" t="s">
        <v>824</v>
      </c>
      <c r="B3" s="1582"/>
      <c r="C3" s="1582"/>
      <c r="D3" s="1582"/>
      <c r="E3" s="1582"/>
      <c r="F3" s="1582"/>
      <c r="G3" s="1582"/>
      <c r="H3" s="1582"/>
      <c r="I3" s="1582"/>
      <c r="J3" s="1582"/>
      <c r="K3" s="1582"/>
    </row>
    <row r="4" spans="1:11" ht="18.75" customHeight="1" x14ac:dyDescent="0.25">
      <c r="A4" s="1566" t="s">
        <v>718</v>
      </c>
      <c r="B4" s="1566" t="s">
        <v>471</v>
      </c>
      <c r="C4" s="1566" t="s">
        <v>347</v>
      </c>
      <c r="D4" s="1506" t="s">
        <v>287</v>
      </c>
      <c r="E4" s="1506" t="s">
        <v>288</v>
      </c>
      <c r="F4" s="1566" t="s">
        <v>289</v>
      </c>
      <c r="G4" s="1566" t="s">
        <v>290</v>
      </c>
      <c r="H4" s="1541" t="s">
        <v>185</v>
      </c>
      <c r="I4" s="1542"/>
      <c r="J4" s="1542"/>
      <c r="K4" s="1543"/>
    </row>
    <row r="5" spans="1:11" ht="25.5" customHeight="1" x14ac:dyDescent="0.25">
      <c r="A5" s="1567"/>
      <c r="B5" s="1567"/>
      <c r="C5" s="1567"/>
      <c r="D5" s="1506"/>
      <c r="E5" s="1506"/>
      <c r="F5" s="1567"/>
      <c r="G5" s="1567"/>
      <c r="H5" s="749">
        <v>2025</v>
      </c>
      <c r="I5" s="769" t="s">
        <v>877</v>
      </c>
      <c r="J5" s="751" t="s">
        <v>723</v>
      </c>
      <c r="K5" s="751" t="s">
        <v>871</v>
      </c>
    </row>
    <row r="6" spans="1:11" s="828" customFormat="1" ht="15.75" customHeight="1" x14ac:dyDescent="0.2">
      <c r="A6" s="826">
        <v>1</v>
      </c>
      <c r="B6" s="826">
        <v>2</v>
      </c>
      <c r="C6" s="826">
        <v>3</v>
      </c>
      <c r="D6" s="823">
        <v>4</v>
      </c>
      <c r="E6" s="823">
        <v>5</v>
      </c>
      <c r="F6" s="823">
        <v>6</v>
      </c>
      <c r="G6" s="823">
        <v>7</v>
      </c>
      <c r="H6" s="823">
        <v>8</v>
      </c>
      <c r="I6" s="823">
        <v>9</v>
      </c>
      <c r="J6" s="826">
        <v>10</v>
      </c>
      <c r="K6" s="826">
        <v>11</v>
      </c>
    </row>
    <row r="7" spans="1:11" ht="15.75" hidden="1" x14ac:dyDescent="0.25">
      <c r="A7" s="1130">
        <v>1430</v>
      </c>
      <c r="B7" s="1130">
        <v>150</v>
      </c>
      <c r="C7" s="1130">
        <v>155</v>
      </c>
      <c r="D7" s="1129"/>
      <c r="E7" s="1129"/>
      <c r="F7" s="1129"/>
      <c r="G7" s="1129"/>
      <c r="H7" s="1128"/>
      <c r="I7" s="1128"/>
      <c r="J7" s="752"/>
      <c r="K7" s="752"/>
    </row>
    <row r="8" spans="1:11" ht="15.75" hidden="1" x14ac:dyDescent="0.25">
      <c r="A8" s="1130">
        <v>1430</v>
      </c>
      <c r="B8" s="1130">
        <v>150</v>
      </c>
      <c r="C8" s="1130">
        <v>155</v>
      </c>
      <c r="D8" s="347"/>
      <c r="E8" s="1129"/>
      <c r="F8" s="1129"/>
      <c r="G8" s="1129"/>
      <c r="H8" s="1128"/>
      <c r="I8" s="1128"/>
      <c r="J8" s="752"/>
      <c r="K8" s="752"/>
    </row>
    <row r="9" spans="1:11" ht="22.5" customHeight="1" x14ac:dyDescent="0.25">
      <c r="A9" s="752"/>
      <c r="B9" s="752"/>
      <c r="C9" s="752"/>
      <c r="D9" s="525" t="s">
        <v>405</v>
      </c>
      <c r="E9" s="555"/>
      <c r="F9" s="555"/>
      <c r="G9" s="555"/>
      <c r="H9" s="498">
        <f>SUM(H7:H8)</f>
        <v>0</v>
      </c>
      <c r="I9" s="498">
        <f>SUM(I7:I8)</f>
        <v>0</v>
      </c>
      <c r="J9" s="498">
        <f>SUM(J7:J8)</f>
        <v>0</v>
      </c>
      <c r="K9" s="498">
        <f>SUM(K7:K8)</f>
        <v>0</v>
      </c>
    </row>
    <row r="10" spans="1:11" ht="24" customHeight="1" x14ac:dyDescent="0.25"/>
    <row r="11" spans="1:11" ht="23.25" customHeight="1" x14ac:dyDescent="0.25">
      <c r="F11" s="760"/>
    </row>
    <row r="12" spans="1:11" ht="23.25" customHeight="1" x14ac:dyDescent="0.25">
      <c r="F12" s="760"/>
    </row>
    <row r="13" spans="1:11" ht="39" customHeight="1" x14ac:dyDescent="0.25">
      <c r="F13" s="760"/>
    </row>
    <row r="14" spans="1:11" ht="15" customHeight="1" x14ac:dyDescent="0.25">
      <c r="F14" s="760"/>
      <c r="H14" s="770"/>
      <c r="I14" s="770">
        <v>0</v>
      </c>
      <c r="J14" s="770">
        <v>0</v>
      </c>
      <c r="K14" s="770">
        <v>0</v>
      </c>
    </row>
    <row r="15" spans="1:11" ht="15" customHeight="1" x14ac:dyDescent="0.25">
      <c r="A15" s="758" t="s">
        <v>128</v>
      </c>
      <c r="F15" s="506"/>
      <c r="H15" s="770">
        <f>H9-H14</f>
        <v>0</v>
      </c>
      <c r="I15" s="770">
        <f>I9-I14</f>
        <v>0</v>
      </c>
      <c r="J15" s="770">
        <f t="shared" ref="J15:K15" si="0">J9-J14</f>
        <v>0</v>
      </c>
      <c r="K15" s="770">
        <f t="shared" si="0"/>
        <v>0</v>
      </c>
    </row>
  </sheetData>
  <mergeCells count="10">
    <mergeCell ref="A1:K1"/>
    <mergeCell ref="A3:K3"/>
    <mergeCell ref="A4:A5"/>
    <mergeCell ref="B4:B5"/>
    <mergeCell ref="C4:C5"/>
    <mergeCell ref="D4:D5"/>
    <mergeCell ref="E4:E5"/>
    <mergeCell ref="F4:F5"/>
    <mergeCell ref="G4:G5"/>
    <mergeCell ref="H4:K4"/>
  </mergeCells>
  <pageMargins left="0.7" right="0.7" top="0.75" bottom="0.75" header="0.3" footer="0.3"/>
  <pageSetup paperSize="9" scale="4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N21"/>
  <sheetViews>
    <sheetView view="pageBreakPreview" zoomScale="80" zoomScaleSheetLayoutView="80" workbookViewId="0">
      <selection activeCell="K27" sqref="K27"/>
    </sheetView>
  </sheetViews>
  <sheetFormatPr defaultColWidth="9.33203125" defaultRowHeight="15" x14ac:dyDescent="0.25"/>
  <cols>
    <col min="1" max="1" width="52.33203125" style="302" customWidth="1"/>
    <col min="2" max="2" width="8.6640625" style="335" customWidth="1"/>
    <col min="3" max="4" width="11.83203125" style="742" customWidth="1"/>
    <col min="5" max="5" width="14.5" style="742" customWidth="1"/>
    <col min="6" max="6" width="15" style="742" customWidth="1"/>
    <col min="7" max="7" width="13.33203125" style="743" customWidth="1"/>
    <col min="8" max="8" width="11.83203125" style="743" customWidth="1"/>
    <col min="9" max="9" width="14.5" style="743" customWidth="1"/>
    <col min="10" max="10" width="15.1640625" style="743" customWidth="1"/>
    <col min="11" max="11" width="13.6640625" style="743" customWidth="1"/>
    <col min="12" max="12" width="11.83203125" style="743" customWidth="1"/>
    <col min="13" max="13" width="14.83203125" style="743" customWidth="1"/>
    <col min="14" max="14" width="15.1640625" style="743" customWidth="1"/>
    <col min="15" max="16384" width="9.33203125" style="302"/>
  </cols>
  <sheetData>
    <row r="1" spans="1:14" ht="30.75" customHeight="1" x14ac:dyDescent="0.25">
      <c r="A1" s="1585" t="s">
        <v>294</v>
      </c>
      <c r="B1" s="1585"/>
      <c r="C1" s="1585"/>
      <c r="D1" s="1585"/>
      <c r="E1" s="1585"/>
      <c r="F1" s="1585"/>
      <c r="G1" s="1586"/>
      <c r="H1" s="1586"/>
      <c r="I1" s="1586"/>
      <c r="J1" s="1586"/>
      <c r="K1" s="1586"/>
      <c r="L1" s="1586"/>
      <c r="M1" s="1586"/>
      <c r="N1" s="1586"/>
    </row>
    <row r="2" spans="1:14" ht="19.5" customHeight="1" x14ac:dyDescent="0.25">
      <c r="A2" s="1583" t="str">
        <f>'Поступления всего'!A2:F2</f>
        <v>МБУ ДО "Норильская детская музыкальная школа"</v>
      </c>
      <c r="B2" s="1583"/>
      <c r="C2" s="1583"/>
      <c r="D2" s="1583"/>
      <c r="E2" s="1583"/>
      <c r="F2" s="1583"/>
      <c r="G2" s="1584"/>
      <c r="H2" s="1584"/>
      <c r="I2" s="1584"/>
      <c r="J2" s="1584"/>
      <c r="K2" s="1584"/>
      <c r="L2" s="1584"/>
      <c r="M2" s="1584"/>
      <c r="N2" s="1584"/>
    </row>
    <row r="3" spans="1:14" x14ac:dyDescent="0.25">
      <c r="A3" s="1590"/>
      <c r="B3" s="1590"/>
      <c r="C3" s="1590"/>
      <c r="D3" s="1590"/>
      <c r="E3" s="1590"/>
      <c r="F3" s="1590"/>
    </row>
    <row r="4" spans="1:14" x14ac:dyDescent="0.25">
      <c r="A4" s="1591" t="s">
        <v>183</v>
      </c>
      <c r="B4" s="1484" t="s">
        <v>184</v>
      </c>
      <c r="C4" s="1522" t="s">
        <v>185</v>
      </c>
      <c r="D4" s="1523"/>
      <c r="E4" s="1523"/>
      <c r="F4" s="1524"/>
      <c r="G4" s="1587" t="s">
        <v>185</v>
      </c>
      <c r="H4" s="1588"/>
      <c r="I4" s="1588"/>
      <c r="J4" s="1589"/>
      <c r="K4" s="1587" t="s">
        <v>185</v>
      </c>
      <c r="L4" s="1588"/>
      <c r="M4" s="1588"/>
      <c r="N4" s="1589"/>
    </row>
    <row r="5" spans="1:14" x14ac:dyDescent="0.25">
      <c r="A5" s="1591"/>
      <c r="B5" s="1484"/>
      <c r="C5" s="1522" t="s">
        <v>462</v>
      </c>
      <c r="D5" s="1523"/>
      <c r="E5" s="1523"/>
      <c r="F5" s="1524"/>
      <c r="G5" s="1587" t="s">
        <v>717</v>
      </c>
      <c r="H5" s="1588"/>
      <c r="I5" s="1588"/>
      <c r="J5" s="1589"/>
      <c r="K5" s="1587" t="s">
        <v>878</v>
      </c>
      <c r="L5" s="1588"/>
      <c r="M5" s="1588"/>
      <c r="N5" s="1589"/>
    </row>
    <row r="6" spans="1:14" ht="165" x14ac:dyDescent="0.25">
      <c r="A6" s="1591"/>
      <c r="B6" s="1484"/>
      <c r="C6" s="499" t="s">
        <v>687</v>
      </c>
      <c r="D6" s="499" t="s">
        <v>684</v>
      </c>
      <c r="E6" s="499" t="s">
        <v>683</v>
      </c>
      <c r="F6" s="499" t="s">
        <v>685</v>
      </c>
      <c r="G6" s="744" t="s">
        <v>688</v>
      </c>
      <c r="H6" s="744" t="s">
        <v>684</v>
      </c>
      <c r="I6" s="744" t="s">
        <v>683</v>
      </c>
      <c r="J6" s="744" t="s">
        <v>689</v>
      </c>
      <c r="K6" s="744" t="s">
        <v>688</v>
      </c>
      <c r="L6" s="744" t="s">
        <v>684</v>
      </c>
      <c r="M6" s="744" t="s">
        <v>683</v>
      </c>
      <c r="N6" s="744" t="s">
        <v>686</v>
      </c>
    </row>
    <row r="7" spans="1:14" x14ac:dyDescent="0.25">
      <c r="A7" s="322">
        <v>1</v>
      </c>
      <c r="B7" s="341">
        <v>2</v>
      </c>
      <c r="C7" s="499">
        <v>3</v>
      </c>
      <c r="D7" s="499">
        <v>4</v>
      </c>
      <c r="E7" s="499">
        <v>5</v>
      </c>
      <c r="F7" s="499">
        <v>6</v>
      </c>
      <c r="G7" s="744">
        <v>7</v>
      </c>
      <c r="H7" s="744">
        <v>8</v>
      </c>
      <c r="I7" s="744">
        <v>9</v>
      </c>
      <c r="J7" s="744">
        <v>10</v>
      </c>
      <c r="K7" s="744">
        <v>11</v>
      </c>
      <c r="L7" s="744">
        <v>12</v>
      </c>
      <c r="M7" s="744">
        <v>13</v>
      </c>
      <c r="N7" s="744">
        <v>14</v>
      </c>
    </row>
    <row r="8" spans="1:14" ht="32.25" customHeight="1" x14ac:dyDescent="0.25">
      <c r="A8" s="303" t="s">
        <v>295</v>
      </c>
      <c r="B8" s="341" t="s">
        <v>417</v>
      </c>
      <c r="C8" s="353"/>
      <c r="D8" s="353"/>
      <c r="E8" s="353"/>
      <c r="F8" s="353"/>
      <c r="G8" s="745"/>
      <c r="H8" s="745"/>
      <c r="I8" s="745"/>
      <c r="J8" s="745"/>
      <c r="K8" s="745"/>
      <c r="L8" s="745"/>
      <c r="M8" s="745"/>
      <c r="N8" s="745"/>
    </row>
    <row r="9" spans="1:14" ht="13.5" customHeight="1" x14ac:dyDescent="0.25">
      <c r="A9" s="303" t="s">
        <v>203</v>
      </c>
      <c r="B9" s="341" t="s">
        <v>434</v>
      </c>
      <c r="C9" s="353"/>
      <c r="D9" s="353"/>
      <c r="E9" s="353"/>
      <c r="F9" s="353"/>
      <c r="G9" s="745"/>
      <c r="H9" s="745"/>
      <c r="I9" s="745"/>
      <c r="J9" s="745"/>
      <c r="K9" s="745"/>
      <c r="L9" s="745"/>
      <c r="M9" s="745"/>
      <c r="N9" s="745"/>
    </row>
    <row r="10" spans="1:14" x14ac:dyDescent="0.25">
      <c r="A10" s="303"/>
      <c r="B10" s="341"/>
      <c r="C10" s="353"/>
      <c r="D10" s="353"/>
      <c r="E10" s="353"/>
      <c r="F10" s="353"/>
      <c r="G10" s="745"/>
      <c r="H10" s="745"/>
      <c r="I10" s="745"/>
      <c r="J10" s="745"/>
      <c r="K10" s="745"/>
      <c r="L10" s="745"/>
      <c r="M10" s="745"/>
      <c r="N10" s="745"/>
    </row>
    <row r="11" spans="1:14" ht="45" x14ac:dyDescent="0.25">
      <c r="A11" s="303" t="s">
        <v>296</v>
      </c>
      <c r="B11" s="341" t="s">
        <v>418</v>
      </c>
      <c r="C11" s="741"/>
      <c r="D11" s="741"/>
      <c r="E11" s="741"/>
      <c r="F11" s="741"/>
      <c r="G11" s="746"/>
      <c r="H11" s="746"/>
      <c r="I11" s="746"/>
      <c r="J11" s="746"/>
      <c r="K11" s="746"/>
      <c r="L11" s="746"/>
      <c r="M11" s="746"/>
      <c r="N11" s="746"/>
    </row>
    <row r="12" spans="1:14" x14ac:dyDescent="0.25">
      <c r="A12" s="303" t="s">
        <v>203</v>
      </c>
      <c r="B12" s="341" t="s">
        <v>433</v>
      </c>
      <c r="C12" s="741"/>
      <c r="D12" s="741"/>
      <c r="E12" s="741"/>
      <c r="F12" s="741"/>
      <c r="G12" s="746"/>
      <c r="H12" s="746"/>
      <c r="I12" s="746"/>
      <c r="J12" s="746"/>
      <c r="K12" s="746"/>
      <c r="L12" s="746"/>
      <c r="M12" s="746"/>
      <c r="N12" s="746"/>
    </row>
    <row r="13" spans="1:14" ht="17.25" customHeight="1" x14ac:dyDescent="0.25">
      <c r="A13" s="303"/>
      <c r="B13" s="341"/>
      <c r="C13" s="353"/>
      <c r="D13" s="353"/>
      <c r="E13" s="353"/>
      <c r="F13" s="353"/>
      <c r="G13" s="745"/>
      <c r="H13" s="745"/>
      <c r="I13" s="745"/>
      <c r="J13" s="745"/>
      <c r="K13" s="745"/>
      <c r="L13" s="745"/>
      <c r="M13" s="745"/>
      <c r="N13" s="745"/>
    </row>
    <row r="14" spans="1:14" ht="43.5" customHeight="1" x14ac:dyDescent="0.25">
      <c r="A14" s="303" t="s">
        <v>297</v>
      </c>
      <c r="B14" s="341" t="s">
        <v>419</v>
      </c>
      <c r="C14" s="353"/>
      <c r="D14" s="353"/>
      <c r="E14" s="353"/>
      <c r="F14" s="353"/>
      <c r="G14" s="745"/>
      <c r="H14" s="745"/>
      <c r="I14" s="745"/>
      <c r="J14" s="745"/>
      <c r="K14" s="745"/>
      <c r="L14" s="745"/>
      <c r="M14" s="745"/>
      <c r="N14" s="745"/>
    </row>
    <row r="15" spans="1:14" x14ac:dyDescent="0.25">
      <c r="A15" s="303" t="s">
        <v>203</v>
      </c>
      <c r="B15" s="341" t="s">
        <v>446</v>
      </c>
      <c r="C15" s="353"/>
      <c r="D15" s="353"/>
      <c r="E15" s="353"/>
      <c r="F15" s="353"/>
      <c r="G15" s="745"/>
      <c r="H15" s="745"/>
      <c r="I15" s="745"/>
      <c r="J15" s="745"/>
      <c r="K15" s="745"/>
      <c r="L15" s="745"/>
      <c r="M15" s="745"/>
      <c r="N15" s="745"/>
    </row>
    <row r="16" spans="1:14" x14ac:dyDescent="0.25">
      <c r="A16" s="303"/>
      <c r="B16" s="341"/>
      <c r="C16" s="353"/>
      <c r="D16" s="353"/>
      <c r="E16" s="353"/>
      <c r="F16" s="353"/>
      <c r="G16" s="745"/>
      <c r="H16" s="745"/>
      <c r="I16" s="745"/>
      <c r="J16" s="745"/>
      <c r="K16" s="745"/>
      <c r="L16" s="745"/>
      <c r="M16" s="745"/>
      <c r="N16" s="745"/>
    </row>
    <row r="17" spans="1:14" x14ac:dyDescent="0.25">
      <c r="A17" s="303" t="s">
        <v>385</v>
      </c>
      <c r="B17" s="341" t="s">
        <v>429</v>
      </c>
      <c r="C17" s="353"/>
      <c r="D17" s="353"/>
      <c r="E17" s="353"/>
      <c r="F17" s="353"/>
      <c r="G17" s="745"/>
      <c r="H17" s="745"/>
      <c r="I17" s="745"/>
      <c r="J17" s="745"/>
      <c r="K17" s="745"/>
      <c r="L17" s="745"/>
      <c r="M17" s="745"/>
      <c r="N17" s="745"/>
    </row>
    <row r="18" spans="1:14" ht="18" customHeight="1" x14ac:dyDescent="0.25">
      <c r="A18" s="303" t="s">
        <v>203</v>
      </c>
      <c r="B18" s="341" t="s">
        <v>447</v>
      </c>
      <c r="C18" s="353"/>
      <c r="D18" s="353"/>
      <c r="E18" s="353"/>
      <c r="F18" s="353"/>
      <c r="G18" s="745"/>
      <c r="H18" s="745"/>
      <c r="I18" s="745"/>
      <c r="J18" s="745"/>
      <c r="K18" s="745"/>
      <c r="L18" s="745"/>
      <c r="M18" s="745"/>
      <c r="N18" s="745"/>
    </row>
    <row r="19" spans="1:14" ht="18" hidden="1" customHeight="1" x14ac:dyDescent="0.25">
      <c r="A19" s="303" t="s">
        <v>382</v>
      </c>
      <c r="B19" s="341"/>
      <c r="C19" s="353"/>
      <c r="D19" s="353"/>
      <c r="E19" s="353"/>
      <c r="F19" s="353"/>
      <c r="G19" s="745"/>
      <c r="H19" s="745"/>
      <c r="I19" s="745"/>
      <c r="J19" s="745"/>
      <c r="K19" s="745"/>
      <c r="L19" s="745"/>
      <c r="M19" s="745"/>
      <c r="N19" s="745"/>
    </row>
    <row r="20" spans="1:14" ht="18" hidden="1" customHeight="1" x14ac:dyDescent="0.25">
      <c r="A20" s="303" t="s">
        <v>458</v>
      </c>
      <c r="B20" s="343"/>
      <c r="C20" s="353"/>
      <c r="D20" s="353"/>
      <c r="E20" s="353"/>
      <c r="F20" s="353"/>
      <c r="G20" s="745"/>
      <c r="H20" s="745"/>
      <c r="I20" s="745"/>
      <c r="J20" s="745"/>
      <c r="K20" s="745"/>
      <c r="L20" s="745"/>
      <c r="M20" s="745"/>
      <c r="N20" s="745"/>
    </row>
    <row r="21" spans="1:14" s="308" customFormat="1" ht="17.25" customHeight="1" x14ac:dyDescent="0.2">
      <c r="A21" s="305" t="s">
        <v>97</v>
      </c>
      <c r="B21" s="342"/>
      <c r="C21" s="673">
        <f>C8+C11+C14+C17</f>
        <v>0</v>
      </c>
      <c r="D21" s="673">
        <f t="shared" ref="D21:N21" si="0">D8+D11+D14+D17</f>
        <v>0</v>
      </c>
      <c r="E21" s="673">
        <f t="shared" si="0"/>
        <v>0</v>
      </c>
      <c r="F21" s="673">
        <f t="shared" si="0"/>
        <v>0</v>
      </c>
      <c r="G21" s="747">
        <f t="shared" si="0"/>
        <v>0</v>
      </c>
      <c r="H21" s="747">
        <f t="shared" si="0"/>
        <v>0</v>
      </c>
      <c r="I21" s="747">
        <f t="shared" si="0"/>
        <v>0</v>
      </c>
      <c r="J21" s="747">
        <f t="shared" si="0"/>
        <v>0</v>
      </c>
      <c r="K21" s="747">
        <f t="shared" si="0"/>
        <v>0</v>
      </c>
      <c r="L21" s="747">
        <f t="shared" si="0"/>
        <v>0</v>
      </c>
      <c r="M21" s="747">
        <f t="shared" si="0"/>
        <v>0</v>
      </c>
      <c r="N21" s="747">
        <f t="shared" si="0"/>
        <v>0</v>
      </c>
    </row>
  </sheetData>
  <mergeCells count="11">
    <mergeCell ref="A2:N2"/>
    <mergeCell ref="A1:N1"/>
    <mergeCell ref="G4:J4"/>
    <mergeCell ref="G5:J5"/>
    <mergeCell ref="K4:N4"/>
    <mergeCell ref="K5:N5"/>
    <mergeCell ref="A3:F3"/>
    <mergeCell ref="A4:A6"/>
    <mergeCell ref="B4:B6"/>
    <mergeCell ref="C4:F4"/>
    <mergeCell ref="C5:F5"/>
  </mergeCells>
  <pageMargins left="0.32" right="0.33" top="0.75" bottom="0.75" header="0.3" footer="0.3"/>
  <pageSetup paperSize="9" scale="4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FF"/>
  </sheetPr>
  <dimension ref="A1:O106"/>
  <sheetViews>
    <sheetView view="pageBreakPreview" zoomScale="70" zoomScaleSheetLayoutView="70" workbookViewId="0">
      <pane ySplit="7" topLeftCell="A8" activePane="bottomLeft" state="frozen"/>
      <selection pane="bottomLeft" activeCell="C102" sqref="C102"/>
    </sheetView>
  </sheetViews>
  <sheetFormatPr defaultColWidth="9.33203125" defaultRowHeight="15" x14ac:dyDescent="0.25"/>
  <cols>
    <col min="1" max="1" width="58.83203125" style="345" customWidth="1"/>
    <col min="2" max="2" width="10" style="502" customWidth="1"/>
    <col min="3" max="3" width="16.83203125" style="502" customWidth="1"/>
    <col min="4" max="4" width="15.5" style="502" customWidth="1"/>
    <col min="5" max="6" width="17.83203125" style="502" customWidth="1"/>
    <col min="7" max="7" width="16.83203125" style="351" customWidth="1"/>
    <col min="8" max="8" width="17.1640625" style="351" customWidth="1"/>
    <col min="9" max="9" width="19" style="351" customWidth="1"/>
    <col min="10" max="10" width="16.5" style="351" customWidth="1"/>
    <col min="11" max="11" width="16.6640625" style="351" customWidth="1"/>
    <col min="12" max="12" width="17.1640625" style="351" customWidth="1"/>
    <col min="13" max="13" width="17.83203125" style="351" customWidth="1"/>
    <col min="14" max="14" width="16.83203125" style="351" customWidth="1"/>
    <col min="15" max="15" width="12.83203125" style="497" customWidth="1"/>
    <col min="16" max="16384" width="9.33203125" style="345"/>
  </cols>
  <sheetData>
    <row r="1" spans="1:15" s="302" customFormat="1" x14ac:dyDescent="0.25">
      <c r="A1" s="1601"/>
      <c r="B1" s="1601"/>
      <c r="C1" s="1601"/>
      <c r="D1" s="1601"/>
      <c r="E1" s="1601"/>
      <c r="F1" s="1601"/>
      <c r="G1" s="1601"/>
      <c r="H1" s="1601"/>
      <c r="I1" s="1601"/>
      <c r="J1" s="1601"/>
      <c r="K1" s="1601"/>
      <c r="L1" s="1601"/>
      <c r="M1" s="1601"/>
      <c r="N1" s="1601"/>
      <c r="O1" s="556"/>
    </row>
    <row r="2" spans="1:15" ht="20.25" x14ac:dyDescent="0.25">
      <c r="A2" s="1602" t="str">
        <f>'Поступления всего'!A2:F2</f>
        <v>МБУ ДО "Норильская детская музыкальная школа"</v>
      </c>
      <c r="B2" s="1602"/>
      <c r="C2" s="1602"/>
      <c r="D2" s="1602"/>
      <c r="E2" s="1602"/>
      <c r="F2" s="1602"/>
      <c r="G2" s="1602"/>
      <c r="H2" s="1602"/>
      <c r="I2" s="1602"/>
      <c r="J2" s="1602"/>
      <c r="K2" s="1602"/>
      <c r="L2" s="1602"/>
      <c r="M2" s="1602"/>
      <c r="N2" s="1602"/>
    </row>
    <row r="3" spans="1:15" x14ac:dyDescent="0.25">
      <c r="A3" s="346"/>
      <c r="B3" s="501"/>
      <c r="C3" s="501"/>
      <c r="D3" s="501"/>
      <c r="E3" s="501"/>
      <c r="F3" s="501"/>
      <c r="G3" s="771"/>
      <c r="H3" s="771"/>
      <c r="I3" s="771"/>
      <c r="J3" s="771"/>
      <c r="K3" s="771"/>
      <c r="L3" s="771"/>
      <c r="M3" s="771"/>
      <c r="N3" s="772"/>
    </row>
    <row r="4" spans="1:15" x14ac:dyDescent="0.25">
      <c r="A4" s="1506" t="s">
        <v>183</v>
      </c>
      <c r="B4" s="1603" t="s">
        <v>184</v>
      </c>
      <c r="C4" s="1541" t="s">
        <v>185</v>
      </c>
      <c r="D4" s="1542"/>
      <c r="E4" s="1542"/>
      <c r="F4" s="1542"/>
      <c r="G4" s="1542"/>
      <c r="H4" s="1542"/>
      <c r="I4" s="1542"/>
      <c r="J4" s="1542"/>
      <c r="K4" s="1542"/>
      <c r="L4" s="1542"/>
      <c r="M4" s="1542"/>
      <c r="N4" s="1543"/>
    </row>
    <row r="5" spans="1:15" x14ac:dyDescent="0.25">
      <c r="A5" s="1506"/>
      <c r="B5" s="1603"/>
      <c r="C5" s="1604" t="s">
        <v>461</v>
      </c>
      <c r="D5" s="1605"/>
      <c r="E5" s="1605"/>
      <c r="F5" s="1606"/>
      <c r="G5" s="1541" t="s">
        <v>723</v>
      </c>
      <c r="H5" s="1542"/>
      <c r="I5" s="1542"/>
      <c r="J5" s="1543"/>
      <c r="K5" s="1604" t="s">
        <v>871</v>
      </c>
      <c r="L5" s="1605"/>
      <c r="M5" s="1605"/>
      <c r="N5" s="1606"/>
    </row>
    <row r="6" spans="1:15" ht="117.6" customHeight="1" x14ac:dyDescent="0.25">
      <c r="A6" s="1506"/>
      <c r="B6" s="1603"/>
      <c r="C6" s="352" t="s">
        <v>782</v>
      </c>
      <c r="D6" s="352" t="s">
        <v>783</v>
      </c>
      <c r="E6" s="352" t="s">
        <v>645</v>
      </c>
      <c r="F6" s="352" t="s">
        <v>644</v>
      </c>
      <c r="G6" s="352" t="s">
        <v>784</v>
      </c>
      <c r="H6" s="352" t="s">
        <v>785</v>
      </c>
      <c r="I6" s="352" t="s">
        <v>643</v>
      </c>
      <c r="J6" s="352" t="s">
        <v>642</v>
      </c>
      <c r="K6" s="352" t="s">
        <v>782</v>
      </c>
      <c r="L6" s="352" t="s">
        <v>783</v>
      </c>
      <c r="M6" s="352" t="s">
        <v>646</v>
      </c>
      <c r="N6" s="352" t="s">
        <v>642</v>
      </c>
    </row>
    <row r="7" spans="1:15" s="302" customFormat="1" x14ac:dyDescent="0.25">
      <c r="A7" s="824">
        <v>1</v>
      </c>
      <c r="B7" s="352">
        <v>2</v>
      </c>
      <c r="C7" s="825">
        <v>3</v>
      </c>
      <c r="D7" s="352">
        <v>4</v>
      </c>
      <c r="E7" s="825">
        <v>5</v>
      </c>
      <c r="F7" s="352">
        <v>6</v>
      </c>
      <c r="G7" s="825">
        <v>7</v>
      </c>
      <c r="H7" s="352">
        <v>8</v>
      </c>
      <c r="I7" s="825">
        <v>9</v>
      </c>
      <c r="J7" s="352">
        <v>10</v>
      </c>
      <c r="K7" s="825">
        <v>11</v>
      </c>
      <c r="L7" s="352">
        <v>12</v>
      </c>
      <c r="M7" s="825">
        <v>13</v>
      </c>
      <c r="N7" s="352">
        <v>14</v>
      </c>
      <c r="O7" s="556"/>
    </row>
    <row r="8" spans="1:15" s="362" customFormat="1" x14ac:dyDescent="0.25">
      <c r="A8" s="1592" t="s">
        <v>463</v>
      </c>
      <c r="B8" s="1593"/>
      <c r="C8" s="1593"/>
      <c r="D8" s="1593"/>
      <c r="E8" s="1593"/>
      <c r="F8" s="1593"/>
      <c r="G8" s="1593"/>
      <c r="H8" s="1593"/>
      <c r="I8" s="1593"/>
      <c r="J8" s="1593"/>
      <c r="K8" s="1593"/>
      <c r="L8" s="1593"/>
      <c r="M8" s="1593"/>
      <c r="N8" s="1594"/>
      <c r="O8" s="556"/>
    </row>
    <row r="9" spans="1:15" ht="30" x14ac:dyDescent="0.25">
      <c r="A9" s="347" t="s">
        <v>189</v>
      </c>
      <c r="B9" s="827" t="s">
        <v>417</v>
      </c>
      <c r="C9" s="353"/>
      <c r="D9" s="353"/>
      <c r="E9" s="353"/>
      <c r="F9" s="353"/>
      <c r="G9" s="353"/>
      <c r="H9" s="353"/>
      <c r="I9" s="353"/>
      <c r="J9" s="353"/>
      <c r="K9" s="353"/>
      <c r="L9" s="353"/>
      <c r="M9" s="353"/>
      <c r="N9" s="353"/>
    </row>
    <row r="10" spans="1:15" ht="30" x14ac:dyDescent="0.25">
      <c r="A10" s="347" t="s">
        <v>190</v>
      </c>
      <c r="B10" s="827" t="s">
        <v>418</v>
      </c>
      <c r="C10" s="496"/>
      <c r="D10" s="496"/>
      <c r="E10" s="496"/>
      <c r="F10" s="496"/>
      <c r="G10" s="496"/>
      <c r="H10" s="353"/>
      <c r="I10" s="353"/>
      <c r="J10" s="353"/>
      <c r="K10" s="353"/>
      <c r="L10" s="353"/>
      <c r="M10" s="353"/>
      <c r="N10" s="353"/>
    </row>
    <row r="11" spans="1:15" x14ac:dyDescent="0.25">
      <c r="A11" s="347" t="s">
        <v>191</v>
      </c>
      <c r="B11" s="827" t="s">
        <v>419</v>
      </c>
      <c r="C11" s="353">
        <f>'расходы 831, 841 25'!H9+'расходы 831, 841 25'!I9</f>
        <v>68111100</v>
      </c>
      <c r="D11" s="353">
        <f>'расходы 831, 841 25'!J9+'расходы 831, 841 25'!K9</f>
        <v>0</v>
      </c>
      <c r="E11" s="353"/>
      <c r="F11" s="353">
        <f>'расходы 820 25'!H10+'расходы 820 25'!I10</f>
        <v>0</v>
      </c>
      <c r="G11" s="353">
        <f>'расходы 831, 841 26-27'!H10</f>
        <v>68111100</v>
      </c>
      <c r="H11" s="353">
        <f>'расходы 831, 841 26-27'!I10+'расходы 831, 841 26-27'!J10</f>
        <v>0</v>
      </c>
      <c r="I11" s="353"/>
      <c r="J11" s="353">
        <f>'расходы 820 26-27'!H10</f>
        <v>0</v>
      </c>
      <c r="K11" s="353">
        <f>'расходы 831, 841 26-27'!M10</f>
        <v>68111100</v>
      </c>
      <c r="L11" s="353">
        <f>'расходы 831, 841 26-27'!O10</f>
        <v>0</v>
      </c>
      <c r="M11" s="353"/>
      <c r="N11" s="353">
        <f>'расходы 820 26-27'!K10</f>
        <v>0</v>
      </c>
      <c r="O11" s="497">
        <v>991</v>
      </c>
    </row>
    <row r="12" spans="1:15" ht="30" x14ac:dyDescent="0.25">
      <c r="A12" s="347" t="s">
        <v>192</v>
      </c>
      <c r="B12" s="827" t="s">
        <v>429</v>
      </c>
      <c r="C12" s="353"/>
      <c r="D12" s="353"/>
      <c r="E12" s="353"/>
      <c r="F12" s="353"/>
      <c r="G12" s="353"/>
      <c r="H12" s="353"/>
      <c r="I12" s="353"/>
      <c r="J12" s="353"/>
      <c r="K12" s="353"/>
      <c r="L12" s="353"/>
      <c r="M12" s="353"/>
      <c r="N12" s="353"/>
    </row>
    <row r="13" spans="1:15" ht="30" x14ac:dyDescent="0.25">
      <c r="A13" s="347" t="s">
        <v>193</v>
      </c>
      <c r="B13" s="827" t="s">
        <v>430</v>
      </c>
      <c r="C13" s="353"/>
      <c r="D13" s="353"/>
      <c r="E13" s="353"/>
      <c r="F13" s="353"/>
      <c r="G13" s="353"/>
      <c r="H13" s="353"/>
      <c r="I13" s="353"/>
      <c r="J13" s="353"/>
      <c r="K13" s="353"/>
      <c r="L13" s="353"/>
      <c r="M13" s="353"/>
      <c r="N13" s="353"/>
    </row>
    <row r="14" spans="1:15" s="348" customFormat="1" ht="28.5" x14ac:dyDescent="0.2">
      <c r="A14" s="354" t="s">
        <v>234</v>
      </c>
      <c r="B14" s="684" t="s">
        <v>431</v>
      </c>
      <c r="C14" s="358">
        <f>C9-C10+C11-C12+C13</f>
        <v>68111100</v>
      </c>
      <c r="D14" s="358">
        <f>D9-D10+D11-D12+D13</f>
        <v>0</v>
      </c>
      <c r="E14" s="358">
        <f t="shared" ref="E14:F14" si="0">E9-E10+E11-E12+E13</f>
        <v>0</v>
      </c>
      <c r="F14" s="358">
        <f t="shared" si="0"/>
        <v>0</v>
      </c>
      <c r="G14" s="358">
        <f>G9-G10+G11-G12+G13</f>
        <v>68111100</v>
      </c>
      <c r="H14" s="358">
        <f>H9-H10+H11-H12+H13</f>
        <v>0</v>
      </c>
      <c r="I14" s="358">
        <f t="shared" ref="I14:N14" si="1">I9-I10+I11-I12+I13</f>
        <v>0</v>
      </c>
      <c r="J14" s="358">
        <f t="shared" si="1"/>
        <v>0</v>
      </c>
      <c r="K14" s="358">
        <f t="shared" si="1"/>
        <v>68111100</v>
      </c>
      <c r="L14" s="358">
        <f t="shared" si="1"/>
        <v>0</v>
      </c>
      <c r="M14" s="358">
        <f t="shared" si="1"/>
        <v>0</v>
      </c>
      <c r="N14" s="358">
        <f t="shared" si="1"/>
        <v>0</v>
      </c>
      <c r="O14" s="497"/>
    </row>
    <row r="15" spans="1:15" x14ac:dyDescent="0.25">
      <c r="A15" s="1595" t="s">
        <v>465</v>
      </c>
      <c r="B15" s="1596"/>
      <c r="C15" s="1596"/>
      <c r="D15" s="1596"/>
      <c r="E15" s="1596"/>
      <c r="F15" s="1596"/>
      <c r="G15" s="1596"/>
      <c r="H15" s="1596"/>
      <c r="I15" s="1596"/>
      <c r="J15" s="1596"/>
      <c r="K15" s="1596"/>
      <c r="L15" s="1596"/>
      <c r="M15" s="1596"/>
      <c r="N15" s="1597"/>
    </row>
    <row r="16" spans="1:15" ht="57" x14ac:dyDescent="0.25">
      <c r="A16" s="305" t="s">
        <v>222</v>
      </c>
      <c r="B16" s="685" t="s">
        <v>417</v>
      </c>
      <c r="C16" s="353"/>
      <c r="D16" s="353"/>
      <c r="E16" s="353"/>
      <c r="F16" s="353"/>
      <c r="G16" s="353"/>
      <c r="H16" s="353"/>
      <c r="I16" s="353"/>
      <c r="J16" s="353"/>
      <c r="K16" s="353"/>
      <c r="L16" s="353"/>
      <c r="M16" s="353"/>
      <c r="N16" s="353"/>
    </row>
    <row r="17" spans="1:15" ht="42.75" x14ac:dyDescent="0.25">
      <c r="A17" s="305" t="s">
        <v>190</v>
      </c>
      <c r="B17" s="685" t="s">
        <v>418</v>
      </c>
      <c r="C17" s="353"/>
      <c r="D17" s="353"/>
      <c r="E17" s="353"/>
      <c r="F17" s="353"/>
      <c r="G17" s="353"/>
      <c r="H17" s="353"/>
      <c r="I17" s="353"/>
      <c r="J17" s="353"/>
      <c r="K17" s="353"/>
      <c r="L17" s="353"/>
      <c r="M17" s="353"/>
      <c r="N17" s="353"/>
    </row>
    <row r="18" spans="1:15" ht="28.5" x14ac:dyDescent="0.25">
      <c r="A18" s="355" t="s">
        <v>218</v>
      </c>
      <c r="B18" s="686" t="s">
        <v>419</v>
      </c>
      <c r="C18" s="500">
        <f t="shared" ref="C18:N18" si="2">SUM(C19:C26)</f>
        <v>0</v>
      </c>
      <c r="D18" s="500">
        <f t="shared" si="2"/>
        <v>1251300</v>
      </c>
      <c r="E18" s="500">
        <f t="shared" si="2"/>
        <v>347700</v>
      </c>
      <c r="F18" s="500">
        <f t="shared" si="2"/>
        <v>0</v>
      </c>
      <c r="G18" s="500">
        <f t="shared" si="2"/>
        <v>0</v>
      </c>
      <c r="H18" s="500">
        <f t="shared" si="2"/>
        <v>1251300</v>
      </c>
      <c r="I18" s="500">
        <f t="shared" si="2"/>
        <v>347700</v>
      </c>
      <c r="J18" s="500">
        <f t="shared" si="2"/>
        <v>0</v>
      </c>
      <c r="K18" s="500">
        <f t="shared" si="2"/>
        <v>0</v>
      </c>
      <c r="L18" s="500">
        <f t="shared" si="2"/>
        <v>1251300</v>
      </c>
      <c r="M18" s="500">
        <f t="shared" si="2"/>
        <v>347700</v>
      </c>
      <c r="N18" s="500">
        <f t="shared" si="2"/>
        <v>0</v>
      </c>
    </row>
    <row r="19" spans="1:15" ht="47.25" customHeight="1" x14ac:dyDescent="0.25">
      <c r="A19" s="1106" t="s">
        <v>880</v>
      </c>
      <c r="B19" s="352" t="s">
        <v>446</v>
      </c>
      <c r="C19" s="353"/>
      <c r="D19" s="353"/>
      <c r="E19" s="353">
        <f>'расходы 810 25'!H10</f>
        <v>347700</v>
      </c>
      <c r="F19" s="353">
        <f>'расходы 820 25'!H14+'расходы 820 25'!I14</f>
        <v>0</v>
      </c>
      <c r="G19" s="353"/>
      <c r="H19" s="353"/>
      <c r="I19" s="353">
        <f>'расходы 810 26-27'!H10</f>
        <v>347700</v>
      </c>
      <c r="J19" s="353"/>
      <c r="K19" s="353"/>
      <c r="L19" s="353"/>
      <c r="M19" s="353">
        <f>'расходы 810 26-27'!K10</f>
        <v>347700</v>
      </c>
      <c r="N19" s="353"/>
      <c r="O19" s="497">
        <v>212</v>
      </c>
    </row>
    <row r="20" spans="1:15" ht="30" x14ac:dyDescent="0.25">
      <c r="A20" s="303" t="s">
        <v>220</v>
      </c>
      <c r="B20" s="352" t="s">
        <v>448</v>
      </c>
      <c r="C20" s="353"/>
      <c r="D20" s="353">
        <f>'расходы 831, 841 25'!J14</f>
        <v>1251300</v>
      </c>
      <c r="E20" s="353"/>
      <c r="F20" s="353"/>
      <c r="G20" s="353"/>
      <c r="H20" s="353">
        <f>'расходы 831, 841 26-27'!I14</f>
        <v>1251300</v>
      </c>
      <c r="I20" s="353"/>
      <c r="J20" s="353"/>
      <c r="K20" s="353"/>
      <c r="L20" s="353">
        <f>'расходы 831, 841 26-27'!N14</f>
        <v>1251300</v>
      </c>
      <c r="M20" s="353"/>
      <c r="N20" s="353"/>
      <c r="O20" s="497">
        <v>911</v>
      </c>
    </row>
    <row r="21" spans="1:15" x14ac:dyDescent="0.25">
      <c r="A21" s="303" t="s">
        <v>221</v>
      </c>
      <c r="B21" s="352" t="s">
        <v>449</v>
      </c>
      <c r="C21" s="353"/>
      <c r="D21" s="353">
        <f>'расходы 831, 841 25'!J15</f>
        <v>0</v>
      </c>
      <c r="E21" s="353"/>
      <c r="F21" s="353"/>
      <c r="G21" s="353"/>
      <c r="H21" s="353"/>
      <c r="I21" s="353"/>
      <c r="J21" s="353"/>
      <c r="K21" s="353"/>
      <c r="L21" s="353"/>
      <c r="M21" s="353"/>
      <c r="N21" s="353"/>
      <c r="O21" s="497">
        <v>917</v>
      </c>
    </row>
    <row r="22" spans="1:15" x14ac:dyDescent="0.25">
      <c r="A22" s="303"/>
      <c r="B22" s="352" t="s">
        <v>453</v>
      </c>
      <c r="C22" s="353"/>
      <c r="D22" s="353"/>
      <c r="E22" s="353"/>
      <c r="F22" s="353"/>
      <c r="G22" s="353"/>
      <c r="H22" s="353"/>
      <c r="I22" s="353"/>
      <c r="J22" s="353"/>
      <c r="K22" s="353"/>
      <c r="L22" s="353"/>
      <c r="M22" s="353"/>
      <c r="N22" s="353"/>
    </row>
    <row r="23" spans="1:15" ht="25.5" x14ac:dyDescent="0.25">
      <c r="A23" s="1112" t="s">
        <v>883</v>
      </c>
      <c r="B23" s="352" t="s">
        <v>451</v>
      </c>
      <c r="C23" s="353">
        <f>'расходы 831, 841 25'!H18+'расходы 831, 841 25'!I18</f>
        <v>0</v>
      </c>
      <c r="D23" s="353">
        <f>'расходы 831, 841 25'!J18+'расходы 831, 841 25'!K18</f>
        <v>0</v>
      </c>
      <c r="E23" s="353"/>
      <c r="F23" s="353"/>
      <c r="G23" s="353"/>
      <c r="H23" s="353"/>
      <c r="I23" s="353"/>
      <c r="J23" s="353"/>
      <c r="K23" s="353"/>
      <c r="L23" s="353"/>
      <c r="M23" s="353"/>
      <c r="N23" s="353"/>
      <c r="O23" s="497" t="s">
        <v>225</v>
      </c>
    </row>
    <row r="24" spans="1:15" x14ac:dyDescent="0.25">
      <c r="A24" s="1106"/>
      <c r="B24" s="352"/>
      <c r="C24" s="353"/>
      <c r="D24" s="353"/>
      <c r="E24" s="353"/>
      <c r="F24" s="353"/>
      <c r="G24" s="353"/>
      <c r="H24" s="353"/>
      <c r="I24" s="353"/>
      <c r="J24" s="353"/>
      <c r="K24" s="353"/>
      <c r="L24" s="353"/>
      <c r="M24" s="353"/>
      <c r="N24" s="353"/>
    </row>
    <row r="25" spans="1:15" ht="57" x14ac:dyDescent="0.25">
      <c r="A25" s="305" t="s">
        <v>223</v>
      </c>
      <c r="B25" s="685" t="s">
        <v>429</v>
      </c>
      <c r="C25" s="353"/>
      <c r="D25" s="353"/>
      <c r="E25" s="353"/>
      <c r="F25" s="353"/>
      <c r="G25" s="353"/>
      <c r="H25" s="353"/>
      <c r="I25" s="353"/>
      <c r="J25" s="353"/>
      <c r="K25" s="353"/>
      <c r="L25" s="353"/>
      <c r="M25" s="353"/>
      <c r="N25" s="353"/>
    </row>
    <row r="26" spans="1:15" ht="42.75" x14ac:dyDescent="0.25">
      <c r="A26" s="305" t="s">
        <v>193</v>
      </c>
      <c r="B26" s="685" t="s">
        <v>430</v>
      </c>
      <c r="C26" s="353"/>
      <c r="D26" s="353"/>
      <c r="E26" s="353"/>
      <c r="F26" s="353"/>
      <c r="G26" s="353"/>
      <c r="H26" s="353"/>
      <c r="I26" s="353"/>
      <c r="J26" s="353"/>
      <c r="K26" s="353"/>
      <c r="L26" s="353"/>
      <c r="M26" s="353"/>
      <c r="N26" s="353"/>
    </row>
    <row r="27" spans="1:15" ht="57" x14ac:dyDescent="0.25">
      <c r="A27" s="354" t="s">
        <v>224</v>
      </c>
      <c r="B27" s="684" t="s">
        <v>431</v>
      </c>
      <c r="C27" s="358">
        <f t="shared" ref="C27:N27" si="3">C16-C17+C18-C25+C26</f>
        <v>0</v>
      </c>
      <c r="D27" s="358">
        <f t="shared" si="3"/>
        <v>1251300</v>
      </c>
      <c r="E27" s="358">
        <f t="shared" si="3"/>
        <v>347700</v>
      </c>
      <c r="F27" s="358">
        <f t="shared" si="3"/>
        <v>0</v>
      </c>
      <c r="G27" s="358">
        <f t="shared" si="3"/>
        <v>0</v>
      </c>
      <c r="H27" s="358">
        <f t="shared" si="3"/>
        <v>1251300</v>
      </c>
      <c r="I27" s="358">
        <f t="shared" si="3"/>
        <v>347700</v>
      </c>
      <c r="J27" s="358">
        <f t="shared" si="3"/>
        <v>0</v>
      </c>
      <c r="K27" s="358">
        <f t="shared" si="3"/>
        <v>0</v>
      </c>
      <c r="L27" s="358">
        <f t="shared" si="3"/>
        <v>1251300</v>
      </c>
      <c r="M27" s="358">
        <f t="shared" si="3"/>
        <v>347700</v>
      </c>
      <c r="N27" s="358">
        <f t="shared" si="3"/>
        <v>0</v>
      </c>
    </row>
    <row r="28" spans="1:15" ht="29.25" customHeight="1" x14ac:dyDescent="0.25">
      <c r="A28" s="1595" t="s">
        <v>637</v>
      </c>
      <c r="B28" s="1596"/>
      <c r="C28" s="1596"/>
      <c r="D28" s="1596"/>
      <c r="E28" s="1596"/>
      <c r="F28" s="1596"/>
      <c r="G28" s="1596"/>
      <c r="H28" s="1596"/>
      <c r="I28" s="1596"/>
      <c r="J28" s="1596"/>
      <c r="K28" s="1596"/>
      <c r="L28" s="1596"/>
      <c r="M28" s="1596"/>
      <c r="N28" s="1597"/>
    </row>
    <row r="29" spans="1:15" ht="28.5" x14ac:dyDescent="0.25">
      <c r="A29" s="305" t="s">
        <v>226</v>
      </c>
      <c r="B29" s="685" t="s">
        <v>417</v>
      </c>
      <c r="C29" s="353"/>
      <c r="D29" s="353"/>
      <c r="E29" s="353"/>
      <c r="F29" s="353"/>
      <c r="G29" s="353"/>
      <c r="H29" s="353"/>
      <c r="I29" s="353"/>
      <c r="J29" s="353"/>
      <c r="K29" s="353"/>
      <c r="L29" s="353"/>
      <c r="M29" s="353"/>
      <c r="N29" s="353"/>
    </row>
    <row r="30" spans="1:15" ht="28.5" x14ac:dyDescent="0.25">
      <c r="A30" s="305" t="s">
        <v>227</v>
      </c>
      <c r="B30" s="685" t="s">
        <v>418</v>
      </c>
      <c r="C30" s="353"/>
      <c r="D30" s="353"/>
      <c r="E30" s="353"/>
      <c r="F30" s="353"/>
      <c r="G30" s="353"/>
      <c r="H30" s="353"/>
      <c r="I30" s="353"/>
      <c r="J30" s="353"/>
      <c r="K30" s="353"/>
      <c r="L30" s="353"/>
      <c r="M30" s="353"/>
      <c r="N30" s="353"/>
    </row>
    <row r="31" spans="1:15" ht="57" x14ac:dyDescent="0.25">
      <c r="A31" s="355" t="s">
        <v>228</v>
      </c>
      <c r="B31" s="686" t="s">
        <v>419</v>
      </c>
      <c r="C31" s="500">
        <f t="shared" ref="C31:N31" si="4">SUM(C32:C34)</f>
        <v>0</v>
      </c>
      <c r="D31" s="500">
        <f t="shared" si="4"/>
        <v>0</v>
      </c>
      <c r="E31" s="500">
        <f>SUM(E32:E34)</f>
        <v>0</v>
      </c>
      <c r="F31" s="500">
        <f t="shared" si="4"/>
        <v>0</v>
      </c>
      <c r="G31" s="500">
        <f t="shared" si="4"/>
        <v>0</v>
      </c>
      <c r="H31" s="500">
        <f t="shared" si="4"/>
        <v>0</v>
      </c>
      <c r="I31" s="500">
        <f t="shared" si="4"/>
        <v>0</v>
      </c>
      <c r="J31" s="500">
        <f t="shared" si="4"/>
        <v>0</v>
      </c>
      <c r="K31" s="500">
        <f t="shared" si="4"/>
        <v>0</v>
      </c>
      <c r="L31" s="500">
        <f t="shared" si="4"/>
        <v>0</v>
      </c>
      <c r="M31" s="500">
        <f t="shared" si="4"/>
        <v>0</v>
      </c>
      <c r="N31" s="500">
        <f t="shared" si="4"/>
        <v>0</v>
      </c>
    </row>
    <row r="32" spans="1:15" ht="120" x14ac:dyDescent="0.25">
      <c r="A32" s="303" t="s">
        <v>229</v>
      </c>
      <c r="B32" s="352" t="s">
        <v>446</v>
      </c>
      <c r="C32" s="353"/>
      <c r="D32" s="353"/>
      <c r="E32" s="353"/>
      <c r="F32" s="353">
        <f>'расходы 820 25'!H18+'расходы 820 25'!I18</f>
        <v>0</v>
      </c>
      <c r="G32" s="353"/>
      <c r="H32" s="353"/>
      <c r="I32" s="353"/>
      <c r="J32" s="353">
        <f>'расходы 820 26-27'!H18</f>
        <v>0</v>
      </c>
      <c r="K32" s="353"/>
      <c r="L32" s="353"/>
      <c r="M32" s="353"/>
      <c r="N32" s="353">
        <f>'расходы 820 26-27'!K18</f>
        <v>0</v>
      </c>
      <c r="O32" s="497">
        <v>966</v>
      </c>
    </row>
    <row r="33" spans="1:15" ht="28.5" x14ac:dyDescent="0.25">
      <c r="A33" s="305" t="s">
        <v>230</v>
      </c>
      <c r="B33" s="685" t="s">
        <v>429</v>
      </c>
      <c r="C33" s="353"/>
      <c r="D33" s="353"/>
      <c r="E33" s="353"/>
      <c r="F33" s="353"/>
      <c r="G33" s="353"/>
      <c r="H33" s="353"/>
      <c r="I33" s="353"/>
      <c r="J33" s="353"/>
      <c r="K33" s="353"/>
      <c r="L33" s="353"/>
      <c r="M33" s="353"/>
      <c r="N33" s="353"/>
    </row>
    <row r="34" spans="1:15" ht="28.5" x14ac:dyDescent="0.25">
      <c r="A34" s="305" t="s">
        <v>231</v>
      </c>
      <c r="B34" s="685" t="s">
        <v>430</v>
      </c>
      <c r="C34" s="353"/>
      <c r="D34" s="353"/>
      <c r="E34" s="353"/>
      <c r="F34" s="353"/>
      <c r="G34" s="353"/>
      <c r="H34" s="353"/>
      <c r="I34" s="353"/>
      <c r="J34" s="353"/>
      <c r="K34" s="353"/>
      <c r="L34" s="353"/>
      <c r="M34" s="353"/>
      <c r="N34" s="353"/>
    </row>
    <row r="35" spans="1:15" ht="57" x14ac:dyDescent="0.25">
      <c r="A35" s="354" t="s">
        <v>224</v>
      </c>
      <c r="B35" s="684" t="s">
        <v>431</v>
      </c>
      <c r="C35" s="358">
        <f t="shared" ref="C35:N35" si="5">C29-C30+C31-C33+C34</f>
        <v>0</v>
      </c>
      <c r="D35" s="358">
        <f t="shared" si="5"/>
        <v>0</v>
      </c>
      <c r="E35" s="358">
        <f t="shared" si="5"/>
        <v>0</v>
      </c>
      <c r="F35" s="358">
        <f t="shared" si="5"/>
        <v>0</v>
      </c>
      <c r="G35" s="358">
        <f t="shared" si="5"/>
        <v>0</v>
      </c>
      <c r="H35" s="358">
        <f t="shared" si="5"/>
        <v>0</v>
      </c>
      <c r="I35" s="358">
        <f t="shared" si="5"/>
        <v>0</v>
      </c>
      <c r="J35" s="358">
        <f t="shared" si="5"/>
        <v>0</v>
      </c>
      <c r="K35" s="358">
        <f t="shared" si="5"/>
        <v>0</v>
      </c>
      <c r="L35" s="358">
        <f t="shared" si="5"/>
        <v>0</v>
      </c>
      <c r="M35" s="358">
        <f t="shared" si="5"/>
        <v>0</v>
      </c>
      <c r="N35" s="358">
        <f t="shared" si="5"/>
        <v>0</v>
      </c>
    </row>
    <row r="36" spans="1:15" ht="31.5" customHeight="1" x14ac:dyDescent="0.25">
      <c r="A36" s="1595" t="s">
        <v>464</v>
      </c>
      <c r="B36" s="1596"/>
      <c r="C36" s="1596"/>
      <c r="D36" s="1596"/>
      <c r="E36" s="1596"/>
      <c r="F36" s="1596"/>
      <c r="G36" s="1596"/>
      <c r="H36" s="1596"/>
      <c r="I36" s="1596"/>
      <c r="J36" s="1596"/>
      <c r="K36" s="1596"/>
      <c r="L36" s="1596"/>
      <c r="M36" s="1596"/>
      <c r="N36" s="1597"/>
    </row>
    <row r="37" spans="1:15" ht="30" x14ac:dyDescent="0.25">
      <c r="A37" s="299" t="s">
        <v>195</v>
      </c>
      <c r="B37" s="352" t="s">
        <v>417</v>
      </c>
      <c r="C37" s="353"/>
      <c r="D37" s="353"/>
      <c r="E37" s="353"/>
      <c r="F37" s="353"/>
      <c r="G37" s="353"/>
      <c r="H37" s="353"/>
      <c r="I37" s="353"/>
      <c r="J37" s="353"/>
      <c r="K37" s="353"/>
      <c r="L37" s="353"/>
      <c r="M37" s="353"/>
      <c r="N37" s="353"/>
    </row>
    <row r="38" spans="1:15" ht="45" x14ac:dyDescent="0.25">
      <c r="A38" s="299" t="s">
        <v>196</v>
      </c>
      <c r="B38" s="352" t="s">
        <v>418</v>
      </c>
      <c r="C38" s="353"/>
      <c r="D38" s="353"/>
      <c r="E38" s="353"/>
      <c r="F38" s="353"/>
      <c r="G38" s="353"/>
      <c r="H38" s="353"/>
      <c r="I38" s="353"/>
      <c r="J38" s="353"/>
      <c r="K38" s="353"/>
      <c r="L38" s="353"/>
      <c r="M38" s="353"/>
      <c r="N38" s="353"/>
    </row>
    <row r="39" spans="1:15" ht="30" x14ac:dyDescent="0.25">
      <c r="A39" s="299" t="s">
        <v>197</v>
      </c>
      <c r="B39" s="352" t="s">
        <v>419</v>
      </c>
      <c r="C39" s="353">
        <f>'расходы 831, 841 25'!H20+'расходы 831, 841 25'!I20</f>
        <v>20569600</v>
      </c>
      <c r="D39" s="353">
        <f>'расходы 831, 841 25'!J20+'расходы 831, 841 25'!K20</f>
        <v>0</v>
      </c>
      <c r="E39" s="353"/>
      <c r="F39" s="353">
        <f>'расходы 820 25'!H21+'расходы 820 25'!I21</f>
        <v>0</v>
      </c>
      <c r="G39" s="353">
        <f>'расходы 831, 841 26-27'!H16</f>
        <v>20569600</v>
      </c>
      <c r="H39" s="353">
        <f>'расходы 831, 841 26-27'!J16</f>
        <v>0</v>
      </c>
      <c r="I39" s="353"/>
      <c r="J39" s="353">
        <f>'расходы 820 26-27'!H21</f>
        <v>0</v>
      </c>
      <c r="K39" s="353">
        <f>'расходы 831, 841 26-27'!M16</f>
        <v>20569600</v>
      </c>
      <c r="L39" s="353">
        <f>'расходы 831, 841 26-27'!N16+'расходы 831, 841 26-27'!O16</f>
        <v>0</v>
      </c>
      <c r="M39" s="353"/>
      <c r="N39" s="353">
        <f>'расходы 820 26-27'!K21</f>
        <v>0</v>
      </c>
      <c r="O39" s="497">
        <v>992</v>
      </c>
    </row>
    <row r="40" spans="1:15" ht="30" x14ac:dyDescent="0.25">
      <c r="A40" s="299" t="s">
        <v>198</v>
      </c>
      <c r="B40" s="352" t="s">
        <v>429</v>
      </c>
      <c r="C40" s="353"/>
      <c r="D40" s="353"/>
      <c r="E40" s="353"/>
      <c r="F40" s="353"/>
      <c r="G40" s="353"/>
      <c r="H40" s="353"/>
      <c r="I40" s="353"/>
      <c r="J40" s="353"/>
      <c r="K40" s="353"/>
      <c r="L40" s="353"/>
      <c r="M40" s="353"/>
      <c r="N40" s="353"/>
    </row>
    <row r="41" spans="1:15" ht="45" x14ac:dyDescent="0.25">
      <c r="A41" s="299" t="s">
        <v>199</v>
      </c>
      <c r="B41" s="687" t="s">
        <v>430</v>
      </c>
      <c r="C41" s="353"/>
      <c r="D41" s="353"/>
      <c r="E41" s="353"/>
      <c r="F41" s="353"/>
      <c r="G41" s="353"/>
      <c r="H41" s="353"/>
      <c r="I41" s="353"/>
      <c r="J41" s="353"/>
      <c r="K41" s="353"/>
      <c r="L41" s="353"/>
      <c r="M41" s="353"/>
      <c r="N41" s="353"/>
    </row>
    <row r="42" spans="1:15" ht="42.75" x14ac:dyDescent="0.25">
      <c r="A42" s="355" t="s">
        <v>235</v>
      </c>
      <c r="B42" s="686" t="s">
        <v>431</v>
      </c>
      <c r="C42" s="500">
        <f>C37-C38+C39-C40+C41</f>
        <v>20569600</v>
      </c>
      <c r="D42" s="500">
        <f t="shared" ref="D42:N42" si="6">D37-D38+D39-D40+D41</f>
        <v>0</v>
      </c>
      <c r="E42" s="500">
        <f t="shared" si="6"/>
        <v>0</v>
      </c>
      <c r="F42" s="500">
        <f t="shared" si="6"/>
        <v>0</v>
      </c>
      <c r="G42" s="500">
        <f t="shared" si="6"/>
        <v>20569600</v>
      </c>
      <c r="H42" s="500">
        <f t="shared" si="6"/>
        <v>0</v>
      </c>
      <c r="I42" s="500">
        <f t="shared" si="6"/>
        <v>0</v>
      </c>
      <c r="J42" s="500">
        <f t="shared" si="6"/>
        <v>0</v>
      </c>
      <c r="K42" s="500">
        <f t="shared" si="6"/>
        <v>20569600</v>
      </c>
      <c r="L42" s="500">
        <f t="shared" si="6"/>
        <v>0</v>
      </c>
      <c r="M42" s="500">
        <f t="shared" si="6"/>
        <v>0</v>
      </c>
      <c r="N42" s="500">
        <f t="shared" si="6"/>
        <v>0</v>
      </c>
    </row>
    <row r="43" spans="1:15" ht="26.25" customHeight="1" x14ac:dyDescent="0.25">
      <c r="A43" s="1598" t="s">
        <v>638</v>
      </c>
      <c r="B43" s="1599"/>
      <c r="C43" s="1599"/>
      <c r="D43" s="1599"/>
      <c r="E43" s="1599"/>
      <c r="F43" s="1599"/>
      <c r="G43" s="1599"/>
      <c r="H43" s="1599"/>
      <c r="I43" s="1599"/>
      <c r="J43" s="1599"/>
      <c r="K43" s="1599"/>
      <c r="L43" s="1599"/>
      <c r="M43" s="1599"/>
      <c r="N43" s="1600"/>
    </row>
    <row r="44" spans="1:15" ht="71.25" x14ac:dyDescent="0.25">
      <c r="A44" s="305" t="s">
        <v>200</v>
      </c>
      <c r="B44" s="352" t="s">
        <v>417</v>
      </c>
      <c r="C44" s="353"/>
      <c r="D44" s="353"/>
      <c r="E44" s="353"/>
      <c r="F44" s="353"/>
      <c r="G44" s="353"/>
      <c r="H44" s="353"/>
      <c r="I44" s="353"/>
      <c r="J44" s="353"/>
      <c r="K44" s="353"/>
      <c r="L44" s="353"/>
      <c r="M44" s="353"/>
      <c r="N44" s="353"/>
    </row>
    <row r="45" spans="1:15" ht="42.75" x14ac:dyDescent="0.25">
      <c r="A45" s="305" t="s">
        <v>201</v>
      </c>
      <c r="B45" s="352" t="s">
        <v>418</v>
      </c>
      <c r="C45" s="353"/>
      <c r="D45" s="353"/>
      <c r="E45" s="353"/>
      <c r="F45" s="353"/>
      <c r="G45" s="353"/>
      <c r="H45" s="353"/>
      <c r="I45" s="353"/>
      <c r="J45" s="353"/>
      <c r="K45" s="353"/>
      <c r="L45" s="353"/>
      <c r="M45" s="353"/>
      <c r="N45" s="353"/>
    </row>
    <row r="46" spans="1:15" ht="28.5" x14ac:dyDescent="0.25">
      <c r="A46" s="354" t="s">
        <v>202</v>
      </c>
      <c r="B46" s="684" t="s">
        <v>419</v>
      </c>
      <c r="C46" s="358">
        <f t="shared" ref="C46:N46" si="7">C48+C49+C50+C51+C52+C53+C54+C55+C56+C57+C58+C59+C60+C61+C62+C63+C64+C65+C66+C67</f>
        <v>3940200</v>
      </c>
      <c r="D46" s="358">
        <f t="shared" si="7"/>
        <v>2450100</v>
      </c>
      <c r="E46" s="358">
        <f t="shared" si="7"/>
        <v>3200500</v>
      </c>
      <c r="F46" s="358">
        <f t="shared" si="7"/>
        <v>0</v>
      </c>
      <c r="G46" s="358">
        <f t="shared" si="7"/>
        <v>4069200</v>
      </c>
      <c r="H46" s="358">
        <f t="shared" si="7"/>
        <v>2450100</v>
      </c>
      <c r="I46" s="358">
        <f t="shared" si="7"/>
        <v>3401100</v>
      </c>
      <c r="J46" s="358">
        <f t="shared" si="7"/>
        <v>0</v>
      </c>
      <c r="K46" s="358">
        <f t="shared" si="7"/>
        <v>3417800</v>
      </c>
      <c r="L46" s="358">
        <f t="shared" si="7"/>
        <v>2450100</v>
      </c>
      <c r="M46" s="358">
        <f t="shared" si="7"/>
        <v>3571200</v>
      </c>
      <c r="N46" s="358">
        <f t="shared" si="7"/>
        <v>0</v>
      </c>
    </row>
    <row r="47" spans="1:15" x14ac:dyDescent="0.25">
      <c r="A47" s="303" t="s">
        <v>203</v>
      </c>
      <c r="B47" s="688"/>
      <c r="C47" s="353"/>
      <c r="D47" s="353"/>
      <c r="E47" s="353"/>
      <c r="F47" s="353"/>
      <c r="G47" s="353"/>
      <c r="H47" s="353"/>
      <c r="I47" s="353"/>
      <c r="J47" s="353"/>
      <c r="K47" s="353"/>
      <c r="L47" s="353"/>
      <c r="M47" s="353"/>
      <c r="N47" s="353"/>
    </row>
    <row r="48" spans="1:15" x14ac:dyDescent="0.25">
      <c r="A48" s="347" t="s">
        <v>205</v>
      </c>
      <c r="B48" s="827" t="s">
        <v>446</v>
      </c>
      <c r="C48" s="353">
        <f>'расходы 831, 841 25'!H24+'расходы 831, 841 25'!I25</f>
        <v>0</v>
      </c>
      <c r="D48" s="353">
        <f>'расходы 831, 841 25'!J24+'расходы 831, 841 25'!K24</f>
        <v>294500</v>
      </c>
      <c r="E48" s="353">
        <f>'расходы 810 25'!H14</f>
        <v>58500</v>
      </c>
      <c r="F48" s="353"/>
      <c r="G48" s="353"/>
      <c r="H48" s="353">
        <f>'расходы 831, 841 26-27'!J20</f>
        <v>294500</v>
      </c>
      <c r="I48" s="353">
        <f>'расходы 810 26-27'!H14</f>
        <v>68500</v>
      </c>
      <c r="J48" s="353">
        <f>'расходы 820 26-27'!H24</f>
        <v>0</v>
      </c>
      <c r="K48" s="353"/>
      <c r="L48" s="353">
        <f>'расходы 831, 841 26-27'!O20</f>
        <v>294500</v>
      </c>
      <c r="M48" s="353">
        <f>'расходы 810 26-27'!K14</f>
        <v>58500</v>
      </c>
      <c r="N48" s="353">
        <f>'расходы 820 26-27'!K24</f>
        <v>0</v>
      </c>
      <c r="O48" s="497">
        <v>922</v>
      </c>
    </row>
    <row r="49" spans="1:15" x14ac:dyDescent="0.25">
      <c r="A49" s="347" t="s">
        <v>204</v>
      </c>
      <c r="B49" s="827" t="s">
        <v>448</v>
      </c>
      <c r="C49" s="353">
        <f>'расходы 831, 841 25'!H26+'расходы 831, 841 25'!I26</f>
        <v>65000</v>
      </c>
      <c r="D49" s="353">
        <f>'расходы 831, 841 25'!J26+'расходы 831, 841 25'!K26</f>
        <v>0</v>
      </c>
      <c r="E49" s="353">
        <f>'расходы 810 25'!H17+'расходы 810 25'!I17+'расходы 810 25'!J17</f>
        <v>297000</v>
      </c>
      <c r="F49" s="353">
        <f>'расходы 820 25'!H25+'расходы 820 25'!I25</f>
        <v>0</v>
      </c>
      <c r="G49" s="353">
        <f>'расходы 831, 841 26-27'!H22</f>
        <v>65000</v>
      </c>
      <c r="H49" s="353">
        <f>'расходы 831, 841 26-27'!J22</f>
        <v>0</v>
      </c>
      <c r="I49" s="353">
        <f>'расходы 810 26-27'!H17</f>
        <v>297000</v>
      </c>
      <c r="J49" s="353">
        <f>'расходы 820 26-27'!H25</f>
        <v>0</v>
      </c>
      <c r="K49" s="353">
        <f>'расходы 831, 841 26-27'!M22</f>
        <v>65000</v>
      </c>
      <c r="L49" s="353">
        <f>'расходы 831, 841 26-27'!N22+'расходы 831, 841 26-27'!O22</f>
        <v>0</v>
      </c>
      <c r="M49" s="353">
        <f>'расходы 810 26-27'!K17</f>
        <v>297000</v>
      </c>
      <c r="N49" s="353">
        <f>'расходы 820 26-27'!K25</f>
        <v>0</v>
      </c>
      <c r="O49" s="497">
        <v>925</v>
      </c>
    </row>
    <row r="50" spans="1:15" x14ac:dyDescent="0.25">
      <c r="A50" s="347" t="s">
        <v>244</v>
      </c>
      <c r="B50" s="827" t="s">
        <v>450</v>
      </c>
      <c r="C50" s="353">
        <f>'расходы 831, 841 25'!H30+'расходы 831, 841 25'!I30</f>
        <v>14900</v>
      </c>
      <c r="D50" s="353">
        <f>'расходы 831, 841 25'!J30+'расходы 831, 841 25'!K30</f>
        <v>0</v>
      </c>
      <c r="E50" s="353"/>
      <c r="F50" s="353"/>
      <c r="G50" s="353">
        <f>'расходы 831, 841 26-27'!H26</f>
        <v>14900</v>
      </c>
      <c r="H50" s="353">
        <f>'расходы 831, 841 26-27'!J26</f>
        <v>0</v>
      </c>
      <c r="I50" s="353"/>
      <c r="J50" s="353"/>
      <c r="K50" s="353">
        <f>'расходы 831, 841 26-27'!M26</f>
        <v>14900</v>
      </c>
      <c r="L50" s="353">
        <f>'расходы 831, 841 26-27'!N26+'расходы 831, 841 26-27'!O26</f>
        <v>0</v>
      </c>
      <c r="M50" s="353"/>
      <c r="N50" s="353"/>
      <c r="O50" s="497">
        <v>934</v>
      </c>
    </row>
    <row r="51" spans="1:15" x14ac:dyDescent="0.25">
      <c r="A51" s="347" t="s">
        <v>238</v>
      </c>
      <c r="B51" s="827" t="s">
        <v>453</v>
      </c>
      <c r="C51" s="353">
        <f>'расходы 831, 841 25'!H28+'расходы 831, 841 25'!I28</f>
        <v>931300</v>
      </c>
      <c r="D51" s="353">
        <f>'расходы 831, 841 25'!J28+'расходы 831, 841 25'!K28</f>
        <v>0</v>
      </c>
      <c r="E51" s="353"/>
      <c r="F51" s="353"/>
      <c r="G51" s="353">
        <f>'расходы 831, 841 26-27'!H24</f>
        <v>972300</v>
      </c>
      <c r="H51" s="353">
        <f>'расходы 831, 841 26-27'!J24</f>
        <v>0</v>
      </c>
      <c r="I51" s="353"/>
      <c r="J51" s="353"/>
      <c r="K51" s="353">
        <f>'расходы 831, 841 26-27'!M24</f>
        <v>320900</v>
      </c>
      <c r="L51" s="353">
        <f>'расходы 831, 841 26-27'!N24+'расходы 831, 841 26-27'!O24</f>
        <v>0</v>
      </c>
      <c r="M51" s="353"/>
      <c r="N51" s="353"/>
      <c r="O51" s="497">
        <v>927</v>
      </c>
    </row>
    <row r="52" spans="1:15" x14ac:dyDescent="0.25">
      <c r="A52" s="347" t="s">
        <v>207</v>
      </c>
      <c r="B52" s="827" t="s">
        <v>451</v>
      </c>
      <c r="C52" s="353"/>
      <c r="D52" s="353"/>
      <c r="E52" s="353"/>
      <c r="F52" s="353"/>
      <c r="G52" s="353"/>
      <c r="H52" s="353"/>
      <c r="I52" s="353"/>
      <c r="J52" s="353"/>
      <c r="K52" s="353"/>
      <c r="L52" s="353"/>
      <c r="M52" s="353"/>
      <c r="N52" s="353"/>
      <c r="O52" s="497">
        <v>926</v>
      </c>
    </row>
    <row r="53" spans="1:15" ht="38.25" x14ac:dyDescent="0.25">
      <c r="A53" s="1106" t="s">
        <v>881</v>
      </c>
      <c r="B53" s="827" t="s">
        <v>452</v>
      </c>
      <c r="C53" s="353">
        <f>'расходы 831, 841 25'!H31+'расходы 831, 841 25'!I31</f>
        <v>305500</v>
      </c>
      <c r="D53" s="353">
        <f>'расходы 831, 841 25'!J31+'расходы 831, 841 25'!K31</f>
        <v>0</v>
      </c>
      <c r="E53" s="353">
        <f>'расходы 810 25'!H20</f>
        <v>86500</v>
      </c>
      <c r="F53" s="353">
        <f>'расходы 820 25'!H27+'расходы 820 25'!I27</f>
        <v>0</v>
      </c>
      <c r="G53" s="353">
        <f>'расходы 831, 841 26-27'!H27</f>
        <v>393500</v>
      </c>
      <c r="H53" s="353">
        <f>'расходы 831, 841 26-27'!J27</f>
        <v>0</v>
      </c>
      <c r="I53" s="353">
        <f>'расходы 810 26-27'!H20</f>
        <v>86500</v>
      </c>
      <c r="J53" s="353">
        <f>'расходы 820 26-27'!H27</f>
        <v>0</v>
      </c>
      <c r="K53" s="353">
        <f>'расходы 831, 841 26-27'!M27</f>
        <v>393500</v>
      </c>
      <c r="L53" s="353">
        <f>'расходы 831, 841 26-27'!N27+'расходы 831, 841 26-27'!O27</f>
        <v>0</v>
      </c>
      <c r="M53" s="353">
        <f>'расходы 810 26-27'!K20</f>
        <v>96500</v>
      </c>
      <c r="N53" s="353">
        <f>'расходы 820 26-27'!K27</f>
        <v>0</v>
      </c>
      <c r="O53" s="497">
        <v>941</v>
      </c>
    </row>
    <row r="54" spans="1:15" ht="30" x14ac:dyDescent="0.25">
      <c r="A54" s="347" t="s">
        <v>239</v>
      </c>
      <c r="B54" s="827" t="s">
        <v>420</v>
      </c>
      <c r="C54" s="353">
        <f>'расходы 831, 841 25'!H36+'расходы 831, 841 25'!I36</f>
        <v>2120400</v>
      </c>
      <c r="D54" s="353">
        <f>'расходы 831, 841 25'!J36+'расходы 831, 841 25'!K36</f>
        <v>0</v>
      </c>
      <c r="E54" s="353"/>
      <c r="F54" s="353">
        <f>'расходы 820 25'!H35+'расходы 820 25'!I35</f>
        <v>0</v>
      </c>
      <c r="G54" s="353">
        <f>'расходы 831, 841 26-27'!H32</f>
        <v>2120400</v>
      </c>
      <c r="H54" s="353">
        <f>'расходы 831, 841 26-27'!J32</f>
        <v>0</v>
      </c>
      <c r="I54" s="353"/>
      <c r="J54" s="353">
        <f>'расходы 820 26-27'!H35</f>
        <v>0</v>
      </c>
      <c r="K54" s="353">
        <f>'расходы 831, 841 26-27'!M32</f>
        <v>2120400</v>
      </c>
      <c r="L54" s="353">
        <f>'расходы 831, 841 26-27'!N32+'расходы 831, 841 26-27'!O32</f>
        <v>0</v>
      </c>
      <c r="M54" s="353"/>
      <c r="N54" s="353">
        <f>'расходы 820 26-27'!K35</f>
        <v>0</v>
      </c>
      <c r="O54" s="497">
        <v>953</v>
      </c>
    </row>
    <row r="55" spans="1:15" x14ac:dyDescent="0.25">
      <c r="A55" s="347" t="s">
        <v>208</v>
      </c>
      <c r="B55" s="827" t="s">
        <v>435</v>
      </c>
      <c r="C55" s="353"/>
      <c r="D55" s="353"/>
      <c r="E55" s="353"/>
      <c r="F55" s="353"/>
      <c r="G55" s="353"/>
      <c r="H55" s="353"/>
      <c r="I55" s="353"/>
      <c r="J55" s="353"/>
      <c r="K55" s="353"/>
      <c r="L55" s="353"/>
      <c r="M55" s="353"/>
      <c r="N55" s="353"/>
    </row>
    <row r="56" spans="1:15" ht="30" x14ac:dyDescent="0.25">
      <c r="A56" s="347" t="s">
        <v>209</v>
      </c>
      <c r="B56" s="827" t="s">
        <v>441</v>
      </c>
      <c r="C56" s="672"/>
      <c r="D56" s="672"/>
      <c r="E56" s="672"/>
      <c r="F56" s="672"/>
      <c r="G56" s="672"/>
      <c r="H56" s="672"/>
      <c r="I56" s="672"/>
      <c r="J56" s="672"/>
      <c r="K56" s="672"/>
      <c r="L56" s="672"/>
      <c r="M56" s="672"/>
      <c r="N56" s="672"/>
    </row>
    <row r="57" spans="1:15" x14ac:dyDescent="0.25">
      <c r="A57" s="347" t="s">
        <v>215</v>
      </c>
      <c r="B57" s="827" t="s">
        <v>442</v>
      </c>
      <c r="C57" s="353">
        <f>'расходы 831, 841 25'!H40+'расходы 831, 841 25'!I40</f>
        <v>137100</v>
      </c>
      <c r="D57" s="353">
        <f>'расходы 831, 841 25'!J40+'расходы 831, 841 25'!K40</f>
        <v>2081200</v>
      </c>
      <c r="E57" s="353">
        <f>'расходы 810 25'!H23+'расходы 810 25'!I23</f>
        <v>258000</v>
      </c>
      <c r="F57" s="353">
        <f>'расходы 820 25'!H39+'расходы 820 25'!I39</f>
        <v>0</v>
      </c>
      <c r="G57" s="353">
        <f>'расходы 831, 841 26-27'!H36</f>
        <v>137100</v>
      </c>
      <c r="H57" s="353">
        <f>'расходы 831, 841 26-27'!J36</f>
        <v>2081200</v>
      </c>
      <c r="I57" s="353">
        <f>'расходы 810 26-27'!H23</f>
        <v>410000</v>
      </c>
      <c r="J57" s="353">
        <f>'расходы 820 26-27'!H39</f>
        <v>0</v>
      </c>
      <c r="K57" s="353">
        <f>'расходы 831, 841 26-27'!M36</f>
        <v>137100</v>
      </c>
      <c r="L57" s="353">
        <f>'расходы 831, 841 26-27'!N36+'расходы 831, 841 26-27'!O36</f>
        <v>2081200</v>
      </c>
      <c r="M57" s="353">
        <f>'расходы 810 26-27'!K23</f>
        <v>243000</v>
      </c>
      <c r="N57" s="353">
        <f>'расходы 820 26-27'!K39</f>
        <v>0</v>
      </c>
      <c r="O57" s="497">
        <v>954</v>
      </c>
    </row>
    <row r="58" spans="1:15" ht="30" x14ac:dyDescent="0.25">
      <c r="A58" s="347" t="s">
        <v>240</v>
      </c>
      <c r="B58" s="827" t="s">
        <v>454</v>
      </c>
      <c r="C58" s="353"/>
      <c r="D58" s="353"/>
      <c r="E58" s="353">
        <f>'расходы 810 25'!H31+'расходы 810 25'!I31</f>
        <v>400000</v>
      </c>
      <c r="F58" s="353">
        <f>'расходы 820 25'!H44+'расходы 820 25'!I44</f>
        <v>0</v>
      </c>
      <c r="G58" s="353"/>
      <c r="H58" s="353">
        <f>'расходы 831, 841 26-27'!J39</f>
        <v>74400</v>
      </c>
      <c r="I58" s="353">
        <f>'расходы 810 26-27'!H32</f>
        <v>400000</v>
      </c>
      <c r="J58" s="353">
        <f>'расходы 820 26-27'!H44</f>
        <v>0</v>
      </c>
      <c r="K58" s="353"/>
      <c r="L58" s="353">
        <f>'расходы 831, 841 26-27'!O39</f>
        <v>74400</v>
      </c>
      <c r="M58" s="353">
        <f>'расходы 810 26-27'!K32</f>
        <v>400000</v>
      </c>
      <c r="N58" s="353">
        <f>'расходы 820 26-27'!K44</f>
        <v>0</v>
      </c>
      <c r="O58" s="497">
        <v>955</v>
      </c>
    </row>
    <row r="59" spans="1:15" ht="30" x14ac:dyDescent="0.25">
      <c r="A59" s="347" t="s">
        <v>241</v>
      </c>
      <c r="B59" s="827" t="s">
        <v>443</v>
      </c>
      <c r="C59" s="353"/>
      <c r="D59" s="353"/>
      <c r="E59" s="353"/>
      <c r="F59" s="353"/>
      <c r="G59" s="353"/>
      <c r="H59" s="353"/>
      <c r="I59" s="353"/>
      <c r="J59" s="353"/>
      <c r="K59" s="353"/>
      <c r="L59" s="353"/>
      <c r="M59" s="353"/>
      <c r="N59" s="353"/>
      <c r="O59" s="497">
        <v>956</v>
      </c>
    </row>
    <row r="60" spans="1:15" ht="30" x14ac:dyDescent="0.25">
      <c r="A60" s="347" t="s">
        <v>216</v>
      </c>
      <c r="B60" s="827" t="s">
        <v>444</v>
      </c>
      <c r="C60" s="353">
        <f>'расходы 831, 841 25'!H43+'расходы 831, 841 25'!I43</f>
        <v>0</v>
      </c>
      <c r="D60" s="353">
        <f>'расходы 831, 841 25'!J43+'расходы 831, 841 25'!K43</f>
        <v>74400</v>
      </c>
      <c r="E60" s="353">
        <f>'расходы 810 25'!H34+'расходы 810 25'!I34</f>
        <v>201000</v>
      </c>
      <c r="F60" s="353">
        <f>'расходы 820 25'!H46+'расходы 820 25'!I46</f>
        <v>0</v>
      </c>
      <c r="G60" s="353"/>
      <c r="H60" s="353"/>
      <c r="I60" s="353">
        <f>'расходы 810 26-27'!H35</f>
        <v>266100</v>
      </c>
      <c r="J60" s="353">
        <f>'расходы 820 26-27'!H46</f>
        <v>0</v>
      </c>
      <c r="K60" s="353"/>
      <c r="L60" s="353"/>
      <c r="M60" s="353">
        <f>'расходы 810 26-27'!K35</f>
        <v>201000</v>
      </c>
      <c r="N60" s="353">
        <f>'расходы 820 26-27'!K46</f>
        <v>0</v>
      </c>
      <c r="O60" s="497">
        <v>963</v>
      </c>
    </row>
    <row r="61" spans="1:15" x14ac:dyDescent="0.25">
      <c r="A61" s="347" t="s">
        <v>217</v>
      </c>
      <c r="B61" s="827" t="s">
        <v>455</v>
      </c>
      <c r="C61" s="353"/>
      <c r="D61" s="353"/>
      <c r="E61" s="353"/>
      <c r="F61" s="353"/>
      <c r="G61" s="353"/>
      <c r="H61" s="353"/>
      <c r="I61" s="353"/>
      <c r="J61" s="353"/>
      <c r="K61" s="353"/>
      <c r="L61" s="353"/>
      <c r="M61" s="353"/>
      <c r="N61" s="353"/>
    </row>
    <row r="62" spans="1:15" ht="60" x14ac:dyDescent="0.25">
      <c r="A62" s="347" t="s">
        <v>210</v>
      </c>
      <c r="B62" s="827" t="s">
        <v>456</v>
      </c>
      <c r="C62" s="353">
        <f>'расходы 831, 841 25'!H23</f>
        <v>366000</v>
      </c>
      <c r="D62" s="353"/>
      <c r="E62" s="353"/>
      <c r="F62" s="353"/>
      <c r="G62" s="353">
        <f>'расходы 831, 841 26-27'!H19</f>
        <v>366000</v>
      </c>
      <c r="H62" s="353"/>
      <c r="I62" s="353"/>
      <c r="J62" s="353"/>
      <c r="K62" s="353">
        <f>'расходы 831, 841 26-27'!M19</f>
        <v>366000</v>
      </c>
      <c r="L62" s="353"/>
      <c r="M62" s="353"/>
      <c r="N62" s="353"/>
      <c r="O62" s="497">
        <v>919</v>
      </c>
    </row>
    <row r="63" spans="1:15" x14ac:dyDescent="0.25">
      <c r="A63" s="347" t="s">
        <v>211</v>
      </c>
      <c r="B63" s="827" t="s">
        <v>457</v>
      </c>
      <c r="C63" s="353"/>
      <c r="D63" s="353"/>
      <c r="E63" s="353">
        <f>'расходы 810 25'!H44+'расходы 810 25'!I44</f>
        <v>634200</v>
      </c>
      <c r="F63" s="353">
        <f>'расходы 820 25'!H50+'расходы 820 25'!I50</f>
        <v>0</v>
      </c>
      <c r="G63" s="353"/>
      <c r="H63" s="353"/>
      <c r="I63" s="353">
        <f>'расходы 810 26-27'!H46</f>
        <v>628500</v>
      </c>
      <c r="J63" s="353">
        <f>'расходы 820 26-27'!H50</f>
        <v>0</v>
      </c>
      <c r="K63" s="353"/>
      <c r="L63" s="353"/>
      <c r="M63" s="353">
        <f>'расходы 810 26-27'!K46</f>
        <v>882600</v>
      </c>
      <c r="N63" s="353">
        <f>'расходы 820 26-27'!K50</f>
        <v>0</v>
      </c>
      <c r="O63" s="497">
        <v>971</v>
      </c>
    </row>
    <row r="64" spans="1:15" x14ac:dyDescent="0.25">
      <c r="A64" s="347" t="s">
        <v>212</v>
      </c>
      <c r="B64" s="901" t="s">
        <v>421</v>
      </c>
      <c r="C64" s="496"/>
      <c r="D64" s="496"/>
      <c r="E64" s="496">
        <f>'расходы 810 25'!H48</f>
        <v>806300</v>
      </c>
      <c r="F64" s="496">
        <f>'расходы 820 25'!H52+'расходы 820 25'!I52</f>
        <v>0</v>
      </c>
      <c r="G64" s="496"/>
      <c r="H64" s="496"/>
      <c r="I64" s="496">
        <f>'расходы 810 26-27'!H50</f>
        <v>874500</v>
      </c>
      <c r="J64" s="496">
        <f>'расходы 820 26-27'!H52</f>
        <v>0</v>
      </c>
      <c r="K64" s="496"/>
      <c r="L64" s="496"/>
      <c r="M64" s="496">
        <f>'расходы 810 26-27'!K50</f>
        <v>896600</v>
      </c>
      <c r="N64" s="496">
        <f>'расходы 820 26-27'!K52</f>
        <v>0</v>
      </c>
      <c r="O64" s="497" t="s">
        <v>636</v>
      </c>
    </row>
    <row r="65" spans="1:15" x14ac:dyDescent="0.25">
      <c r="A65" s="347" t="s">
        <v>242</v>
      </c>
      <c r="B65" s="827" t="s">
        <v>445</v>
      </c>
      <c r="C65" s="353"/>
      <c r="D65" s="353"/>
      <c r="E65" s="353"/>
      <c r="F65" s="353"/>
      <c r="G65" s="353"/>
      <c r="H65" s="353"/>
      <c r="I65" s="353"/>
      <c r="J65" s="353"/>
      <c r="K65" s="353"/>
      <c r="L65" s="353"/>
      <c r="M65" s="353"/>
      <c r="N65" s="353"/>
      <c r="O65" s="497">
        <v>996</v>
      </c>
    </row>
    <row r="66" spans="1:15" ht="120" x14ac:dyDescent="0.25">
      <c r="A66" s="347" t="s">
        <v>229</v>
      </c>
      <c r="B66" s="827" t="s">
        <v>695</v>
      </c>
      <c r="C66" s="353"/>
      <c r="D66" s="353"/>
      <c r="E66" s="353">
        <f>'расходы 810 25'!H41+'расходы 810 25'!I41</f>
        <v>459000</v>
      </c>
      <c r="F66" s="353">
        <f>'расходы 820 25'!H48+'расходы 820 25'!I48</f>
        <v>0</v>
      </c>
      <c r="G66" s="353"/>
      <c r="H66" s="353"/>
      <c r="I66" s="353">
        <f>'расходы 810 26-27'!H42</f>
        <v>370000</v>
      </c>
      <c r="J66" s="353">
        <f>'расходы 820 26-27'!H48</f>
        <v>0</v>
      </c>
      <c r="K66" s="353"/>
      <c r="L66" s="353"/>
      <c r="M66" s="353">
        <f>'расходы 810 26-27'!K42</f>
        <v>496000</v>
      </c>
      <c r="N66" s="353">
        <f>'расходы 820 26-27'!K48</f>
        <v>0</v>
      </c>
      <c r="O66" s="497">
        <v>966</v>
      </c>
    </row>
    <row r="67" spans="1:15" x14ac:dyDescent="0.25">
      <c r="A67" s="347" t="s">
        <v>701</v>
      </c>
      <c r="B67" s="827" t="s">
        <v>700</v>
      </c>
      <c r="C67" s="353"/>
      <c r="D67" s="353"/>
      <c r="E67" s="353"/>
      <c r="F67" s="353"/>
      <c r="G67" s="353"/>
      <c r="H67" s="353"/>
      <c r="I67" s="353"/>
      <c r="J67" s="353"/>
      <c r="K67" s="353"/>
      <c r="L67" s="353"/>
      <c r="M67" s="353"/>
      <c r="N67" s="353"/>
      <c r="O67" s="497">
        <v>944</v>
      </c>
    </row>
    <row r="68" spans="1:15" ht="71.25" x14ac:dyDescent="0.25">
      <c r="A68" s="305" t="s">
        <v>213</v>
      </c>
      <c r="B68" s="685" t="s">
        <v>429</v>
      </c>
      <c r="C68" s="353"/>
      <c r="D68" s="353"/>
      <c r="E68" s="353"/>
      <c r="F68" s="353"/>
      <c r="G68" s="353"/>
      <c r="H68" s="353"/>
      <c r="I68" s="353"/>
      <c r="J68" s="353"/>
      <c r="K68" s="353"/>
      <c r="L68" s="353"/>
      <c r="M68" s="353"/>
      <c r="N68" s="353"/>
    </row>
    <row r="69" spans="1:15" ht="42.75" x14ac:dyDescent="0.25">
      <c r="A69" s="305" t="s">
        <v>214</v>
      </c>
      <c r="B69" s="685" t="s">
        <v>430</v>
      </c>
      <c r="C69" s="353"/>
      <c r="D69" s="353"/>
      <c r="E69" s="353"/>
      <c r="F69" s="353"/>
      <c r="G69" s="353"/>
      <c r="H69" s="353"/>
      <c r="I69" s="353"/>
      <c r="J69" s="353"/>
      <c r="K69" s="353"/>
      <c r="L69" s="353"/>
      <c r="M69" s="353"/>
      <c r="N69" s="353"/>
    </row>
    <row r="70" spans="1:15" ht="42.75" x14ac:dyDescent="0.25">
      <c r="A70" s="354" t="s">
        <v>359</v>
      </c>
      <c r="B70" s="684" t="s">
        <v>431</v>
      </c>
      <c r="C70" s="358">
        <f t="shared" ref="C70:N70" si="8">C44-C45+C46-C68+C69</f>
        <v>3940200</v>
      </c>
      <c r="D70" s="358">
        <f t="shared" si="8"/>
        <v>2450100</v>
      </c>
      <c r="E70" s="358">
        <f t="shared" si="8"/>
        <v>3200500</v>
      </c>
      <c r="F70" s="358">
        <f t="shared" si="8"/>
        <v>0</v>
      </c>
      <c r="G70" s="358">
        <f t="shared" si="8"/>
        <v>4069200</v>
      </c>
      <c r="H70" s="358">
        <f t="shared" si="8"/>
        <v>2450100</v>
      </c>
      <c r="I70" s="358">
        <f t="shared" si="8"/>
        <v>3401100</v>
      </c>
      <c r="J70" s="358">
        <f t="shared" si="8"/>
        <v>0</v>
      </c>
      <c r="K70" s="358">
        <f t="shared" si="8"/>
        <v>3417800</v>
      </c>
      <c r="L70" s="358">
        <f t="shared" si="8"/>
        <v>2450100</v>
      </c>
      <c r="M70" s="358">
        <f t="shared" si="8"/>
        <v>3571200</v>
      </c>
      <c r="N70" s="358">
        <f t="shared" si="8"/>
        <v>0</v>
      </c>
    </row>
    <row r="71" spans="1:15" ht="22.5" customHeight="1" x14ac:dyDescent="0.25">
      <c r="A71" s="1598" t="s">
        <v>639</v>
      </c>
      <c r="B71" s="1599"/>
      <c r="C71" s="1599"/>
      <c r="D71" s="1599"/>
      <c r="E71" s="1599"/>
      <c r="F71" s="1599"/>
      <c r="G71" s="1599"/>
      <c r="H71" s="1599"/>
      <c r="I71" s="1599"/>
      <c r="J71" s="1599"/>
      <c r="K71" s="1599"/>
      <c r="L71" s="1599"/>
      <c r="M71" s="1599"/>
      <c r="N71" s="1600"/>
    </row>
    <row r="72" spans="1:15" ht="71.25" x14ac:dyDescent="0.25">
      <c r="A72" s="305" t="s">
        <v>200</v>
      </c>
      <c r="B72" s="685" t="s">
        <v>417</v>
      </c>
      <c r="C72" s="353"/>
      <c r="D72" s="353"/>
      <c r="E72" s="353"/>
      <c r="F72" s="353"/>
      <c r="G72" s="353"/>
      <c r="H72" s="353"/>
      <c r="I72" s="353"/>
      <c r="J72" s="353"/>
      <c r="K72" s="353"/>
      <c r="L72" s="353"/>
      <c r="M72" s="353"/>
      <c r="N72" s="353"/>
    </row>
    <row r="73" spans="1:15" ht="42.75" x14ac:dyDescent="0.25">
      <c r="A73" s="305" t="s">
        <v>201</v>
      </c>
      <c r="B73" s="685" t="s">
        <v>418</v>
      </c>
      <c r="C73" s="353"/>
      <c r="D73" s="353"/>
      <c r="E73" s="353"/>
      <c r="F73" s="353"/>
      <c r="G73" s="353"/>
      <c r="H73" s="353"/>
      <c r="I73" s="353"/>
      <c r="J73" s="353"/>
      <c r="K73" s="353"/>
      <c r="L73" s="353"/>
      <c r="M73" s="353"/>
      <c r="N73" s="353"/>
    </row>
    <row r="74" spans="1:15" ht="28.5" x14ac:dyDescent="0.25">
      <c r="A74" s="355" t="s">
        <v>202</v>
      </c>
      <c r="B74" s="686" t="s">
        <v>419</v>
      </c>
      <c r="C74" s="500">
        <f>SUM(C76:C77)</f>
        <v>983900</v>
      </c>
      <c r="D74" s="500">
        <f t="shared" ref="D74:N74" si="9">SUM(D76:D77)</f>
        <v>0</v>
      </c>
      <c r="E74" s="500">
        <f t="shared" si="9"/>
        <v>31600</v>
      </c>
      <c r="F74" s="500">
        <f t="shared" si="9"/>
        <v>0</v>
      </c>
      <c r="G74" s="500">
        <f t="shared" si="9"/>
        <v>1048000</v>
      </c>
      <c r="H74" s="500">
        <f t="shared" si="9"/>
        <v>0</v>
      </c>
      <c r="I74" s="500">
        <f t="shared" si="9"/>
        <v>31500</v>
      </c>
      <c r="J74" s="500">
        <f t="shared" si="9"/>
        <v>0</v>
      </c>
      <c r="K74" s="500">
        <f t="shared" si="9"/>
        <v>1116500</v>
      </c>
      <c r="L74" s="500">
        <f t="shared" si="9"/>
        <v>0</v>
      </c>
      <c r="M74" s="500">
        <f t="shared" si="9"/>
        <v>31500</v>
      </c>
      <c r="N74" s="500">
        <f t="shared" si="9"/>
        <v>0</v>
      </c>
    </row>
    <row r="75" spans="1:15" x14ac:dyDescent="0.25">
      <c r="A75" s="303" t="s">
        <v>203</v>
      </c>
      <c r="B75" s="688"/>
      <c r="C75" s="353"/>
      <c r="D75" s="353"/>
      <c r="E75" s="353"/>
      <c r="F75" s="353"/>
      <c r="G75" s="353"/>
      <c r="H75" s="353"/>
      <c r="I75" s="353"/>
      <c r="J75" s="353"/>
      <c r="K75" s="353"/>
      <c r="L75" s="353"/>
      <c r="M75" s="353"/>
      <c r="N75" s="353"/>
    </row>
    <row r="76" spans="1:15" x14ac:dyDescent="0.25">
      <c r="A76" s="347" t="s">
        <v>206</v>
      </c>
      <c r="B76" s="901" t="s">
        <v>446</v>
      </c>
      <c r="C76" s="496">
        <f>'расходы 831, 841 25'!H46+'расходы 831, 841 25'!I46+'расходы 831, 841 25'!H50+'расходы 831, 841 25'!I50+'расходы 831, 841 25'!H51</f>
        <v>983900</v>
      </c>
      <c r="D76" s="496">
        <f>'расходы 831, 841 25'!J46+'расходы 831, 841 25'!K46+'расходы 831, 841 25'!J50+'расходы 831, 841 25'!K50</f>
        <v>0</v>
      </c>
      <c r="E76" s="496">
        <f>'расходы 810 25'!H61</f>
        <v>31600</v>
      </c>
      <c r="F76" s="496"/>
      <c r="G76" s="496">
        <f>'расходы 831, 841 26-27'!H41</f>
        <v>1048000</v>
      </c>
      <c r="H76" s="496">
        <f>'расходы 831, 841 26-27'!J42+'расходы 831, 841 26-27'!J46</f>
        <v>0</v>
      </c>
      <c r="I76" s="496">
        <f>'расходы 810 26-27'!H64</f>
        <v>31500</v>
      </c>
      <c r="J76" s="496"/>
      <c r="K76" s="496">
        <f>'расходы 831, 841 26-27'!M41</f>
        <v>1116500</v>
      </c>
      <c r="L76" s="496">
        <f>'расходы 831, 841 26-27'!N42+'расходы 831, 841 26-27'!O42+'расходы 831, 841 26-27'!N46+'расходы 831, 841 26-27'!O46</f>
        <v>0</v>
      </c>
      <c r="M76" s="496">
        <f>'расходы 810 26-27'!K64</f>
        <v>31500</v>
      </c>
      <c r="N76" s="496"/>
      <c r="O76" s="497" t="s">
        <v>866</v>
      </c>
    </row>
    <row r="77" spans="1:15" x14ac:dyDescent="0.25">
      <c r="A77" s="303" t="s">
        <v>217</v>
      </c>
      <c r="B77" s="352" t="s">
        <v>448</v>
      </c>
      <c r="C77" s="353"/>
      <c r="D77" s="353"/>
      <c r="E77" s="353"/>
      <c r="F77" s="353"/>
      <c r="G77" s="353"/>
      <c r="H77" s="353"/>
      <c r="I77" s="353"/>
      <c r="J77" s="353"/>
      <c r="K77" s="353"/>
      <c r="L77" s="353"/>
      <c r="M77" s="353"/>
      <c r="N77" s="353"/>
    </row>
    <row r="78" spans="1:15" ht="71.25" x14ac:dyDescent="0.25">
      <c r="A78" s="305" t="s">
        <v>213</v>
      </c>
      <c r="B78" s="685" t="s">
        <v>429</v>
      </c>
      <c r="C78" s="353"/>
      <c r="D78" s="353"/>
      <c r="E78" s="353"/>
      <c r="F78" s="353"/>
      <c r="G78" s="353"/>
      <c r="H78" s="353"/>
      <c r="I78" s="353"/>
      <c r="J78" s="353"/>
      <c r="K78" s="353"/>
      <c r="L78" s="353"/>
      <c r="M78" s="353"/>
      <c r="N78" s="353"/>
    </row>
    <row r="79" spans="1:15" ht="42.75" x14ac:dyDescent="0.25">
      <c r="A79" s="305" t="s">
        <v>214</v>
      </c>
      <c r="B79" s="685" t="s">
        <v>430</v>
      </c>
      <c r="C79" s="353"/>
      <c r="D79" s="353"/>
      <c r="E79" s="353"/>
      <c r="F79" s="353"/>
      <c r="G79" s="353"/>
      <c r="H79" s="353"/>
      <c r="I79" s="353"/>
      <c r="J79" s="353"/>
      <c r="K79" s="353"/>
      <c r="L79" s="353"/>
      <c r="M79" s="353"/>
      <c r="N79" s="353"/>
    </row>
    <row r="80" spans="1:15" ht="42.75" x14ac:dyDescent="0.25">
      <c r="A80" s="354" t="s">
        <v>359</v>
      </c>
      <c r="B80" s="684" t="s">
        <v>431</v>
      </c>
      <c r="C80" s="358">
        <f t="shared" ref="C80:N80" si="10">C72-C73+C74-C78+C79</f>
        <v>983900</v>
      </c>
      <c r="D80" s="358">
        <f t="shared" si="10"/>
        <v>0</v>
      </c>
      <c r="E80" s="358">
        <f t="shared" si="10"/>
        <v>31600</v>
      </c>
      <c r="F80" s="358">
        <f t="shared" si="10"/>
        <v>0</v>
      </c>
      <c r="G80" s="358">
        <f t="shared" si="10"/>
        <v>1048000</v>
      </c>
      <c r="H80" s="358">
        <f t="shared" si="10"/>
        <v>0</v>
      </c>
      <c r="I80" s="358">
        <f t="shared" si="10"/>
        <v>31500</v>
      </c>
      <c r="J80" s="358">
        <f t="shared" si="10"/>
        <v>0</v>
      </c>
      <c r="K80" s="358">
        <f t="shared" si="10"/>
        <v>1116500</v>
      </c>
      <c r="L80" s="358">
        <f t="shared" si="10"/>
        <v>0</v>
      </c>
      <c r="M80" s="358">
        <f t="shared" si="10"/>
        <v>31500</v>
      </c>
      <c r="N80" s="358">
        <f t="shared" si="10"/>
        <v>0</v>
      </c>
    </row>
    <row r="81" spans="1:15" s="362" customFormat="1" ht="28.5" customHeight="1" x14ac:dyDescent="0.25">
      <c r="A81" s="1592" t="s">
        <v>640</v>
      </c>
      <c r="B81" s="1593"/>
      <c r="C81" s="1593"/>
      <c r="D81" s="1593"/>
      <c r="E81" s="1593"/>
      <c r="F81" s="1593"/>
      <c r="G81" s="1593"/>
      <c r="H81" s="1593"/>
      <c r="I81" s="1593"/>
      <c r="J81" s="1593"/>
      <c r="K81" s="1593"/>
      <c r="L81" s="1593"/>
      <c r="M81" s="1593"/>
      <c r="N81" s="1594"/>
      <c r="O81" s="556"/>
    </row>
    <row r="82" spans="1:15" s="362" customFormat="1" ht="30" customHeight="1" x14ac:dyDescent="0.25">
      <c r="A82" s="300" t="s">
        <v>236</v>
      </c>
      <c r="B82" s="689" t="s">
        <v>417</v>
      </c>
      <c r="C82" s="673"/>
      <c r="D82" s="673"/>
      <c r="E82" s="673"/>
      <c r="F82" s="673"/>
      <c r="G82" s="673"/>
      <c r="H82" s="673"/>
      <c r="I82" s="673"/>
      <c r="J82" s="673"/>
      <c r="K82" s="673"/>
      <c r="L82" s="673"/>
      <c r="M82" s="673"/>
      <c r="N82" s="673"/>
      <c r="O82" s="556"/>
    </row>
    <row r="83" spans="1:15" s="362" customFormat="1" ht="27" customHeight="1" x14ac:dyDescent="0.25">
      <c r="A83" s="300" t="s">
        <v>237</v>
      </c>
      <c r="B83" s="689" t="s">
        <v>418</v>
      </c>
      <c r="C83" s="673"/>
      <c r="D83" s="673"/>
      <c r="E83" s="673"/>
      <c r="F83" s="673"/>
      <c r="G83" s="673"/>
      <c r="H83" s="673"/>
      <c r="I83" s="673"/>
      <c r="J83" s="673"/>
      <c r="K83" s="673"/>
      <c r="L83" s="673"/>
      <c r="M83" s="673"/>
      <c r="N83" s="673"/>
      <c r="O83" s="556"/>
    </row>
    <row r="84" spans="1:15" s="362" customFormat="1" ht="27" customHeight="1" x14ac:dyDescent="0.25">
      <c r="A84" s="355" t="s">
        <v>778</v>
      </c>
      <c r="B84" s="686" t="s">
        <v>419</v>
      </c>
      <c r="C84" s="500">
        <f>SUM(C85:C90)</f>
        <v>0</v>
      </c>
      <c r="D84" s="500">
        <f t="shared" ref="D84:N84" si="11">SUM(D85:D90)</f>
        <v>100000</v>
      </c>
      <c r="E84" s="500">
        <f t="shared" si="11"/>
        <v>0</v>
      </c>
      <c r="F84" s="500">
        <f t="shared" si="11"/>
        <v>0</v>
      </c>
      <c r="G84" s="500">
        <f t="shared" si="11"/>
        <v>0</v>
      </c>
      <c r="H84" s="500">
        <f t="shared" si="11"/>
        <v>0</v>
      </c>
      <c r="I84" s="500">
        <f t="shared" si="11"/>
        <v>0</v>
      </c>
      <c r="J84" s="500">
        <f t="shared" si="11"/>
        <v>0</v>
      </c>
      <c r="K84" s="500">
        <f t="shared" si="11"/>
        <v>0</v>
      </c>
      <c r="L84" s="500">
        <f t="shared" si="11"/>
        <v>0</v>
      </c>
      <c r="M84" s="500">
        <f t="shared" si="11"/>
        <v>0</v>
      </c>
      <c r="N84" s="500">
        <f t="shared" si="11"/>
        <v>0</v>
      </c>
      <c r="O84" s="556"/>
    </row>
    <row r="85" spans="1:15" s="362" customFormat="1" ht="27" customHeight="1" x14ac:dyDescent="0.25">
      <c r="A85" s="299" t="s">
        <v>779</v>
      </c>
      <c r="B85" s="687" t="s">
        <v>446</v>
      </c>
      <c r="C85" s="673"/>
      <c r="D85" s="673"/>
      <c r="E85" s="673"/>
      <c r="F85" s="673"/>
      <c r="G85" s="673"/>
      <c r="H85" s="673"/>
      <c r="I85" s="673"/>
      <c r="J85" s="673"/>
      <c r="K85" s="673"/>
      <c r="L85" s="673"/>
      <c r="M85" s="673"/>
      <c r="N85" s="673"/>
      <c r="O85" s="556"/>
    </row>
    <row r="86" spans="1:15" s="362" customFormat="1" ht="27.75" customHeight="1" x14ac:dyDescent="0.25">
      <c r="A86" s="299" t="s">
        <v>780</v>
      </c>
      <c r="B86" s="687" t="s">
        <v>448</v>
      </c>
      <c r="C86" s="673"/>
      <c r="D86" s="673"/>
      <c r="E86" s="673"/>
      <c r="F86" s="673"/>
      <c r="G86" s="673"/>
      <c r="H86" s="673"/>
      <c r="I86" s="673"/>
      <c r="J86" s="673"/>
      <c r="K86" s="673"/>
      <c r="L86" s="673"/>
      <c r="M86" s="673"/>
      <c r="N86" s="673"/>
      <c r="O86" s="556"/>
    </row>
    <row r="87" spans="1:15" s="362" customFormat="1" ht="33.75" customHeight="1" x14ac:dyDescent="0.25">
      <c r="A87" s="299" t="s">
        <v>781</v>
      </c>
      <c r="B87" s="687" t="s">
        <v>449</v>
      </c>
      <c r="C87" s="673"/>
      <c r="D87" s="673"/>
      <c r="E87" s="673"/>
      <c r="F87" s="673"/>
      <c r="G87" s="673"/>
      <c r="H87" s="673"/>
      <c r="I87" s="673"/>
      <c r="J87" s="673"/>
      <c r="K87" s="673"/>
      <c r="L87" s="673"/>
      <c r="M87" s="673"/>
      <c r="N87" s="673"/>
      <c r="O87" s="556"/>
    </row>
    <row r="88" spans="1:15" s="362" customFormat="1" ht="27.75" customHeight="1" x14ac:dyDescent="0.25">
      <c r="A88" s="299" t="s">
        <v>641</v>
      </c>
      <c r="B88" s="687" t="s">
        <v>450</v>
      </c>
      <c r="C88" s="673"/>
      <c r="D88" s="673">
        <f>'расходы 831, 841 25'!J55</f>
        <v>100000</v>
      </c>
      <c r="E88" s="673"/>
      <c r="F88" s="673"/>
      <c r="G88" s="673"/>
      <c r="H88" s="673"/>
      <c r="I88" s="673"/>
      <c r="J88" s="673"/>
      <c r="K88" s="673"/>
      <c r="L88" s="673"/>
      <c r="M88" s="673"/>
      <c r="N88" s="673"/>
      <c r="O88" s="556">
        <v>917</v>
      </c>
    </row>
    <row r="89" spans="1:15" s="362" customFormat="1" ht="27.75" customHeight="1" x14ac:dyDescent="0.25">
      <c r="A89" s="300" t="s">
        <v>230</v>
      </c>
      <c r="B89" s="689" t="s">
        <v>429</v>
      </c>
      <c r="C89" s="673"/>
      <c r="D89" s="673"/>
      <c r="E89" s="673"/>
      <c r="F89" s="673"/>
      <c r="G89" s="673"/>
      <c r="H89" s="673"/>
      <c r="I89" s="673"/>
      <c r="J89" s="673"/>
      <c r="K89" s="673"/>
      <c r="L89" s="673"/>
      <c r="M89" s="673"/>
      <c r="N89" s="673"/>
      <c r="O89" s="556"/>
    </row>
    <row r="90" spans="1:15" s="362" customFormat="1" ht="27.75" customHeight="1" x14ac:dyDescent="0.25">
      <c r="A90" s="300" t="s">
        <v>231</v>
      </c>
      <c r="B90" s="689" t="s">
        <v>430</v>
      </c>
      <c r="C90" s="673"/>
      <c r="D90" s="673"/>
      <c r="E90" s="673"/>
      <c r="F90" s="673"/>
      <c r="G90" s="673"/>
      <c r="H90" s="673"/>
      <c r="I90" s="673"/>
      <c r="J90" s="673"/>
      <c r="K90" s="673"/>
      <c r="L90" s="673"/>
      <c r="M90" s="673"/>
      <c r="N90" s="673"/>
      <c r="O90" s="556"/>
    </row>
    <row r="91" spans="1:15" s="362" customFormat="1" ht="27.75" customHeight="1" x14ac:dyDescent="0.25">
      <c r="A91" s="354" t="s">
        <v>359</v>
      </c>
      <c r="B91" s="684" t="s">
        <v>431</v>
      </c>
      <c r="C91" s="358">
        <f>C82-C83+C84-C89+C90</f>
        <v>0</v>
      </c>
      <c r="D91" s="358">
        <f t="shared" ref="D91:N91" si="12">D82-D83+D84-D89+D90</f>
        <v>100000</v>
      </c>
      <c r="E91" s="358">
        <f t="shared" si="12"/>
        <v>0</v>
      </c>
      <c r="F91" s="358">
        <f t="shared" si="12"/>
        <v>0</v>
      </c>
      <c r="G91" s="358">
        <f t="shared" si="12"/>
        <v>0</v>
      </c>
      <c r="H91" s="358">
        <f t="shared" si="12"/>
        <v>0</v>
      </c>
      <c r="I91" s="358">
        <f t="shared" si="12"/>
        <v>0</v>
      </c>
      <c r="J91" s="358">
        <f t="shared" si="12"/>
        <v>0</v>
      </c>
      <c r="K91" s="358">
        <f t="shared" si="12"/>
        <v>0</v>
      </c>
      <c r="L91" s="358">
        <f t="shared" si="12"/>
        <v>0</v>
      </c>
      <c r="M91" s="358">
        <f t="shared" si="12"/>
        <v>0</v>
      </c>
      <c r="N91" s="358">
        <f t="shared" si="12"/>
        <v>0</v>
      </c>
      <c r="O91" s="556"/>
    </row>
    <row r="92" spans="1:15" s="362" customFormat="1" ht="16.5" customHeight="1" x14ac:dyDescent="0.25">
      <c r="A92" s="1592" t="s">
        <v>678</v>
      </c>
      <c r="B92" s="1593"/>
      <c r="C92" s="1593"/>
      <c r="D92" s="1593"/>
      <c r="E92" s="1593"/>
      <c r="F92" s="1593"/>
      <c r="G92" s="1593"/>
      <c r="H92" s="1593"/>
      <c r="I92" s="1593"/>
      <c r="J92" s="1593"/>
      <c r="K92" s="1593"/>
      <c r="L92" s="1593"/>
      <c r="M92" s="1593"/>
      <c r="N92" s="1594"/>
      <c r="O92" s="556"/>
    </row>
    <row r="93" spans="1:15" s="362" customFormat="1" ht="30.75" customHeight="1" x14ac:dyDescent="0.25">
      <c r="A93" s="300" t="s">
        <v>236</v>
      </c>
      <c r="B93" s="689" t="s">
        <v>417</v>
      </c>
      <c r="C93" s="673"/>
      <c r="D93" s="673"/>
      <c r="E93" s="673"/>
      <c r="F93" s="673"/>
      <c r="G93" s="673"/>
      <c r="H93" s="673"/>
      <c r="I93" s="673"/>
      <c r="J93" s="673"/>
      <c r="K93" s="673"/>
      <c r="L93" s="673"/>
      <c r="M93" s="673"/>
      <c r="N93" s="673"/>
      <c r="O93" s="556"/>
    </row>
    <row r="94" spans="1:15" s="362" customFormat="1" ht="27.75" customHeight="1" x14ac:dyDescent="0.25">
      <c r="A94" s="300" t="s">
        <v>237</v>
      </c>
      <c r="B94" s="689" t="s">
        <v>418</v>
      </c>
      <c r="C94" s="673"/>
      <c r="D94" s="673"/>
      <c r="E94" s="673"/>
      <c r="F94" s="673"/>
      <c r="G94" s="673"/>
      <c r="H94" s="673"/>
      <c r="I94" s="673"/>
      <c r="J94" s="673"/>
      <c r="K94" s="673"/>
      <c r="L94" s="673"/>
      <c r="M94" s="673"/>
      <c r="N94" s="673"/>
      <c r="O94" s="556"/>
    </row>
    <row r="95" spans="1:15" s="362" customFormat="1" ht="21" customHeight="1" x14ac:dyDescent="0.25">
      <c r="A95" s="355" t="s">
        <v>299</v>
      </c>
      <c r="B95" s="686" t="s">
        <v>419</v>
      </c>
      <c r="C95" s="500">
        <f>SUM(C96:C97)</f>
        <v>0</v>
      </c>
      <c r="D95" s="500">
        <f t="shared" ref="D95:N95" si="13">SUM(D96:D97)</f>
        <v>0</v>
      </c>
      <c r="E95" s="500">
        <f t="shared" si="13"/>
        <v>0</v>
      </c>
      <c r="F95" s="500">
        <f t="shared" si="13"/>
        <v>0</v>
      </c>
      <c r="G95" s="500">
        <f t="shared" si="13"/>
        <v>0</v>
      </c>
      <c r="H95" s="500">
        <f t="shared" si="13"/>
        <v>0</v>
      </c>
      <c r="I95" s="500">
        <f t="shared" si="13"/>
        <v>0</v>
      </c>
      <c r="J95" s="500">
        <f t="shared" si="13"/>
        <v>0</v>
      </c>
      <c r="K95" s="500">
        <f t="shared" si="13"/>
        <v>0</v>
      </c>
      <c r="L95" s="500">
        <f t="shared" si="13"/>
        <v>0</v>
      </c>
      <c r="M95" s="500">
        <f t="shared" si="13"/>
        <v>0</v>
      </c>
      <c r="N95" s="500">
        <f t="shared" si="13"/>
        <v>0</v>
      </c>
      <c r="O95" s="556">
        <v>850</v>
      </c>
    </row>
    <row r="96" spans="1:15" s="362" customFormat="1" ht="21" customHeight="1" x14ac:dyDescent="0.25">
      <c r="A96" s="359" t="s">
        <v>300</v>
      </c>
      <c r="B96" s="687" t="s">
        <v>446</v>
      </c>
      <c r="C96" s="673"/>
      <c r="D96" s="673"/>
      <c r="E96" s="673"/>
      <c r="F96" s="673"/>
      <c r="G96" s="673"/>
      <c r="H96" s="673"/>
      <c r="I96" s="673"/>
      <c r="J96" s="673"/>
      <c r="K96" s="673"/>
      <c r="L96" s="673"/>
      <c r="M96" s="673"/>
      <c r="N96" s="673"/>
      <c r="O96" s="556">
        <v>852</v>
      </c>
    </row>
    <row r="97" spans="1:15" s="362" customFormat="1" ht="45" customHeight="1" x14ac:dyDescent="0.25">
      <c r="A97" s="359" t="s">
        <v>301</v>
      </c>
      <c r="B97" s="687" t="s">
        <v>448</v>
      </c>
      <c r="C97" s="673"/>
      <c r="D97" s="673"/>
      <c r="E97" s="673"/>
      <c r="F97" s="673"/>
      <c r="G97" s="673"/>
      <c r="H97" s="673"/>
      <c r="I97" s="673"/>
      <c r="J97" s="673"/>
      <c r="K97" s="673"/>
      <c r="L97" s="673"/>
      <c r="M97" s="673"/>
      <c r="N97" s="673"/>
      <c r="O97" s="556">
        <v>853</v>
      </c>
    </row>
    <row r="98" spans="1:15" s="362" customFormat="1" ht="21" customHeight="1" x14ac:dyDescent="0.25">
      <c r="A98" s="300" t="s">
        <v>302</v>
      </c>
      <c r="B98" s="689" t="s">
        <v>449</v>
      </c>
      <c r="C98" s="673"/>
      <c r="D98" s="673"/>
      <c r="E98" s="673"/>
      <c r="F98" s="673"/>
      <c r="G98" s="673"/>
      <c r="H98" s="673"/>
      <c r="I98" s="673"/>
      <c r="J98" s="673"/>
      <c r="K98" s="673"/>
      <c r="L98" s="673"/>
      <c r="M98" s="673"/>
      <c r="N98" s="673"/>
      <c r="O98" s="556"/>
    </row>
    <row r="99" spans="1:15" s="362" customFormat="1" ht="21" customHeight="1" x14ac:dyDescent="0.25">
      <c r="A99" s="300" t="s">
        <v>303</v>
      </c>
      <c r="B99" s="689" t="s">
        <v>450</v>
      </c>
      <c r="C99" s="673"/>
      <c r="D99" s="673"/>
      <c r="E99" s="673"/>
      <c r="F99" s="673"/>
      <c r="G99" s="673"/>
      <c r="H99" s="673"/>
      <c r="I99" s="673"/>
      <c r="J99" s="673"/>
      <c r="K99" s="673"/>
      <c r="L99" s="673"/>
      <c r="M99" s="673"/>
      <c r="N99" s="673"/>
      <c r="O99" s="556"/>
    </row>
    <row r="100" spans="1:15" s="362" customFormat="1" ht="21" customHeight="1" x14ac:dyDescent="0.25">
      <c r="A100" s="300" t="s">
        <v>304</v>
      </c>
      <c r="B100" s="689" t="s">
        <v>453</v>
      </c>
      <c r="C100" s="673"/>
      <c r="D100" s="673"/>
      <c r="E100" s="673"/>
      <c r="F100" s="673"/>
      <c r="G100" s="673"/>
      <c r="H100" s="673"/>
      <c r="I100" s="673"/>
      <c r="J100" s="673"/>
      <c r="K100" s="673"/>
      <c r="L100" s="673"/>
      <c r="M100" s="673"/>
      <c r="N100" s="673"/>
      <c r="O100" s="556"/>
    </row>
    <row r="101" spans="1:15" s="362" customFormat="1" ht="27.75" customHeight="1" x14ac:dyDescent="0.25">
      <c r="A101" s="300" t="s">
        <v>230</v>
      </c>
      <c r="B101" s="689" t="s">
        <v>429</v>
      </c>
      <c r="C101" s="673"/>
      <c r="D101" s="673"/>
      <c r="E101" s="673"/>
      <c r="F101" s="673"/>
      <c r="G101" s="673"/>
      <c r="H101" s="673"/>
      <c r="I101" s="673"/>
      <c r="J101" s="673"/>
      <c r="K101" s="673"/>
      <c r="L101" s="673"/>
      <c r="M101" s="673"/>
      <c r="N101" s="673"/>
      <c r="O101" s="556"/>
    </row>
    <row r="102" spans="1:15" s="362" customFormat="1" ht="27.75" customHeight="1" x14ac:dyDescent="0.25">
      <c r="A102" s="300" t="s">
        <v>231</v>
      </c>
      <c r="B102" s="689" t="s">
        <v>430</v>
      </c>
      <c r="C102" s="673"/>
      <c r="D102" s="673"/>
      <c r="E102" s="673"/>
      <c r="F102" s="673"/>
      <c r="G102" s="673"/>
      <c r="H102" s="673"/>
      <c r="I102" s="673"/>
      <c r="J102" s="673"/>
      <c r="K102" s="673"/>
      <c r="L102" s="673"/>
      <c r="M102" s="673"/>
      <c r="N102" s="673"/>
      <c r="O102" s="556"/>
    </row>
    <row r="103" spans="1:15" s="362" customFormat="1" ht="27.75" customHeight="1" x14ac:dyDescent="0.25">
      <c r="A103" s="354" t="s">
        <v>359</v>
      </c>
      <c r="B103" s="684" t="s">
        <v>431</v>
      </c>
      <c r="C103" s="358">
        <f>C93-C94+C95-C101+C102</f>
        <v>0</v>
      </c>
      <c r="D103" s="358">
        <f t="shared" ref="D103:N103" si="14">D93-D94+D95-D101+D102</f>
        <v>0</v>
      </c>
      <c r="E103" s="358">
        <f t="shared" si="14"/>
        <v>0</v>
      </c>
      <c r="F103" s="358">
        <f t="shared" si="14"/>
        <v>0</v>
      </c>
      <c r="G103" s="358">
        <f t="shared" si="14"/>
        <v>0</v>
      </c>
      <c r="H103" s="358">
        <f t="shared" si="14"/>
        <v>0</v>
      </c>
      <c r="I103" s="358">
        <f t="shared" si="14"/>
        <v>0</v>
      </c>
      <c r="J103" s="358">
        <f t="shared" si="14"/>
        <v>0</v>
      </c>
      <c r="K103" s="358">
        <f t="shared" si="14"/>
        <v>0</v>
      </c>
      <c r="L103" s="358">
        <f t="shared" si="14"/>
        <v>0</v>
      </c>
      <c r="M103" s="358">
        <f t="shared" si="14"/>
        <v>0</v>
      </c>
      <c r="N103" s="358">
        <f t="shared" si="14"/>
        <v>0</v>
      </c>
      <c r="O103" s="556"/>
    </row>
    <row r="104" spans="1:15" s="493" customFormat="1" ht="28.5" customHeight="1" x14ac:dyDescent="0.2">
      <c r="A104" s="833" t="s">
        <v>97</v>
      </c>
      <c r="B104" s="834"/>
      <c r="C104" s="835">
        <f t="shared" ref="C104:N104" si="15">C11+C18+C31+C39+C46+C74+C84</f>
        <v>93604800</v>
      </c>
      <c r="D104" s="835">
        <f t="shared" si="15"/>
        <v>3801400</v>
      </c>
      <c r="E104" s="835">
        <f t="shared" si="15"/>
        <v>3579800</v>
      </c>
      <c r="F104" s="835">
        <f t="shared" si="15"/>
        <v>0</v>
      </c>
      <c r="G104" s="835">
        <f t="shared" si="15"/>
        <v>93797900</v>
      </c>
      <c r="H104" s="835">
        <f t="shared" si="15"/>
        <v>3701400</v>
      </c>
      <c r="I104" s="835">
        <f t="shared" si="15"/>
        <v>3780300</v>
      </c>
      <c r="J104" s="835">
        <f t="shared" si="15"/>
        <v>0</v>
      </c>
      <c r="K104" s="835">
        <f t="shared" si="15"/>
        <v>93215000</v>
      </c>
      <c r="L104" s="835">
        <f t="shared" si="15"/>
        <v>3701400</v>
      </c>
      <c r="M104" s="835">
        <f t="shared" si="15"/>
        <v>3950400</v>
      </c>
      <c r="N104" s="835">
        <f t="shared" si="15"/>
        <v>0</v>
      </c>
      <c r="O104" s="692"/>
    </row>
    <row r="105" spans="1:15" x14ac:dyDescent="0.25">
      <c r="C105" s="691">
        <f>'поступления 831, 841 25-27'!F9</f>
        <v>93604800</v>
      </c>
      <c r="D105" s="690">
        <f>'поступления 831, 841 25-27'!F19</f>
        <v>3801400</v>
      </c>
      <c r="E105" s="691">
        <f>'поступления 810 25-27'!E60</f>
        <v>3579800</v>
      </c>
      <c r="F105" s="691">
        <f>'постуления 820 25-27'!H9</f>
        <v>0</v>
      </c>
      <c r="G105" s="690">
        <f>'поступления 831, 841 25-27'!H9</f>
        <v>93797900</v>
      </c>
      <c r="H105" s="690">
        <f>'поступления 831, 841 25-27'!J19</f>
        <v>3701400</v>
      </c>
      <c r="I105" s="691">
        <f>'поступления 810 25-27'!G60</f>
        <v>3780300</v>
      </c>
      <c r="J105" s="691">
        <v>0</v>
      </c>
      <c r="K105" s="690">
        <f>'поступления 831, 841 25-27'!I9</f>
        <v>93215000</v>
      </c>
      <c r="L105" s="690">
        <f>'поступления 831, 841 25-27'!L21</f>
        <v>3701400</v>
      </c>
      <c r="M105" s="691">
        <f>'поступления 810 25-27'!H60</f>
        <v>3950400</v>
      </c>
      <c r="N105" s="691">
        <v>0</v>
      </c>
    </row>
    <row r="106" spans="1:15" x14ac:dyDescent="0.25">
      <c r="A106" s="345" t="s">
        <v>128</v>
      </c>
      <c r="C106" s="691">
        <f>C104-C105</f>
        <v>0</v>
      </c>
      <c r="D106" s="691">
        <f>D104-D105</f>
        <v>0</v>
      </c>
      <c r="E106" s="691">
        <f t="shared" ref="E106:M106" si="16">E104-E105</f>
        <v>0</v>
      </c>
      <c r="F106" s="691">
        <f>F104-F105</f>
        <v>0</v>
      </c>
      <c r="G106" s="691">
        <f t="shared" si="16"/>
        <v>0</v>
      </c>
      <c r="H106" s="691">
        <f t="shared" si="16"/>
        <v>0</v>
      </c>
      <c r="I106" s="691">
        <f>I104-I105</f>
        <v>0</v>
      </c>
      <c r="J106" s="691">
        <f t="shared" si="16"/>
        <v>0</v>
      </c>
      <c r="K106" s="691">
        <f t="shared" si="16"/>
        <v>0</v>
      </c>
      <c r="L106" s="691">
        <f t="shared" si="16"/>
        <v>0</v>
      </c>
      <c r="M106" s="691">
        <f t="shared" si="16"/>
        <v>0</v>
      </c>
      <c r="N106" s="691">
        <f>N104-N105</f>
        <v>0</v>
      </c>
    </row>
  </sheetData>
  <mergeCells count="16">
    <mergeCell ref="A8:N8"/>
    <mergeCell ref="A15:N15"/>
    <mergeCell ref="A1:N1"/>
    <mergeCell ref="A2:N2"/>
    <mergeCell ref="A4:A6"/>
    <mergeCell ref="B4:B6"/>
    <mergeCell ref="C4:N4"/>
    <mergeCell ref="C5:F5"/>
    <mergeCell ref="G5:J5"/>
    <mergeCell ref="K5:N5"/>
    <mergeCell ref="A81:N81"/>
    <mergeCell ref="A92:N92"/>
    <mergeCell ref="A28:N28"/>
    <mergeCell ref="A36:N36"/>
    <mergeCell ref="A43:N43"/>
    <mergeCell ref="A71:N71"/>
  </mergeCells>
  <pageMargins left="0.15748031496062992" right="0.15748031496062992" top="0.35433070866141736" bottom="0.39370078740157483" header="0.31496062992125984" footer="0.31496062992125984"/>
  <pageSetup paperSize="9" scale="4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CC"/>
    <pageSetUpPr fitToPage="1"/>
  </sheetPr>
  <dimension ref="A1:AA191"/>
  <sheetViews>
    <sheetView view="pageBreakPreview" zoomScaleNormal="100" zoomScaleSheetLayoutView="100" workbookViewId="0">
      <pane xSplit="4" ySplit="9" topLeftCell="G31" activePane="bottomRight" state="frozen"/>
      <selection pane="topRight" activeCell="E1" sqref="E1"/>
      <selection pane="bottomLeft" activeCell="A10" sqref="A10"/>
      <selection pane="bottomRight" activeCell="P37" sqref="P37:P38"/>
    </sheetView>
  </sheetViews>
  <sheetFormatPr defaultRowHeight="12.75" x14ac:dyDescent="0.2"/>
  <cols>
    <col min="1" max="1" width="6.83203125" style="492" customWidth="1"/>
    <col min="2" max="2" width="7.83203125" style="492" customWidth="1"/>
    <col min="3" max="3" width="8.1640625" style="492" customWidth="1"/>
    <col min="4" max="4" width="51.1640625" style="586" customWidth="1"/>
    <col min="5" max="5" width="14" style="503" customWidth="1"/>
    <col min="6" max="6" width="12" style="600" customWidth="1"/>
    <col min="7" max="7" width="14.1640625" style="582" customWidth="1"/>
    <col min="8" max="8" width="25.33203125" style="908" customWidth="1"/>
    <col min="9" max="9" width="20.5" style="663" hidden="1" customWidth="1"/>
    <col min="10" max="10" width="21.6640625" style="908" customWidth="1"/>
    <col min="11" max="11" width="19.1640625" style="908" customWidth="1"/>
    <col min="12" max="12" width="27" style="1022" customWidth="1"/>
    <col min="13" max="13" width="80.83203125" style="1022" customWidth="1"/>
    <col min="14" max="14" width="15.6640625" style="693" customWidth="1"/>
    <col min="15" max="15" width="14.83203125" style="693" customWidth="1"/>
    <col min="16" max="16" width="15.83203125" style="693" customWidth="1"/>
    <col min="17" max="17" width="22.1640625" style="1022" customWidth="1"/>
    <col min="18" max="22" width="9.33203125" style="509"/>
  </cols>
  <sheetData>
    <row r="1" spans="1:22" ht="16.5" x14ac:dyDescent="0.2">
      <c r="A1" s="1642" t="s">
        <v>824</v>
      </c>
      <c r="B1" s="1642"/>
      <c r="C1" s="1642"/>
      <c r="D1" s="1642"/>
      <c r="E1" s="1642"/>
      <c r="F1" s="1642"/>
      <c r="G1" s="1642"/>
      <c r="H1" s="1642"/>
      <c r="I1" s="1642"/>
      <c r="J1" s="1642"/>
      <c r="K1" s="1642"/>
    </row>
    <row r="2" spans="1:22" ht="16.5" x14ac:dyDescent="0.2">
      <c r="A2" s="1642" t="s">
        <v>816</v>
      </c>
      <c r="B2" s="1642"/>
      <c r="C2" s="1642"/>
      <c r="D2" s="1642"/>
      <c r="E2" s="1642"/>
      <c r="F2" s="1642"/>
      <c r="G2" s="1642"/>
      <c r="H2" s="1642"/>
      <c r="I2" s="1642"/>
      <c r="J2" s="1642"/>
      <c r="K2" s="1642"/>
    </row>
    <row r="3" spans="1:22" ht="15.75" x14ac:dyDescent="0.2">
      <c r="A3" s="1644" t="s">
        <v>817</v>
      </c>
      <c r="B3" s="1644"/>
      <c r="C3" s="1644"/>
      <c r="D3" s="1644"/>
      <c r="E3" s="1644"/>
      <c r="F3" s="1644"/>
      <c r="G3" s="1644"/>
      <c r="H3" s="1644"/>
      <c r="I3" s="1644"/>
      <c r="J3" s="1644"/>
      <c r="K3" s="1644"/>
    </row>
    <row r="4" spans="1:22" s="506" customFormat="1" ht="13.5" thickBot="1" x14ac:dyDescent="0.25">
      <c r="A4" s="507"/>
      <c r="B4" s="507"/>
      <c r="C4" s="507"/>
      <c r="D4" s="583"/>
      <c r="E4" s="508"/>
      <c r="F4" s="593"/>
      <c r="G4" s="573"/>
      <c r="H4" s="907"/>
      <c r="I4" s="655"/>
      <c r="J4" s="907"/>
      <c r="K4" s="907"/>
      <c r="L4" s="1023"/>
      <c r="M4" s="1023"/>
      <c r="N4" s="780"/>
      <c r="O4" s="780"/>
      <c r="P4" s="780"/>
      <c r="Q4" s="1023"/>
      <c r="R4" s="510"/>
      <c r="S4" s="510"/>
      <c r="T4" s="510"/>
      <c r="U4" s="510"/>
      <c r="V4" s="510"/>
    </row>
    <row r="5" spans="1:22" s="506" customFormat="1" x14ac:dyDescent="0.2">
      <c r="A5" s="1645" t="s">
        <v>647</v>
      </c>
      <c r="B5" s="1649" t="s">
        <v>347</v>
      </c>
      <c r="C5" s="1649" t="s">
        <v>707</v>
      </c>
      <c r="D5" s="1647" t="s">
        <v>175</v>
      </c>
      <c r="E5" s="1656" t="s">
        <v>180</v>
      </c>
      <c r="F5" s="1653" t="s">
        <v>461</v>
      </c>
      <c r="G5" s="1654"/>
      <c r="H5" s="1654"/>
      <c r="I5" s="1654"/>
      <c r="J5" s="1654"/>
      <c r="K5" s="1655"/>
      <c r="L5" s="1689" t="s">
        <v>175</v>
      </c>
      <c r="M5" s="1669" t="s">
        <v>855</v>
      </c>
      <c r="N5" s="1691" t="s">
        <v>81</v>
      </c>
      <c r="O5" s="1691" t="s">
        <v>856</v>
      </c>
      <c r="P5" s="1669" t="s">
        <v>857</v>
      </c>
      <c r="Q5" s="1669" t="s">
        <v>861</v>
      </c>
      <c r="R5" s="510"/>
      <c r="S5" s="510"/>
      <c r="T5" s="510"/>
      <c r="U5" s="510"/>
      <c r="V5" s="510"/>
    </row>
    <row r="6" spans="1:22" s="506" customFormat="1" x14ac:dyDescent="0.2">
      <c r="A6" s="1646"/>
      <c r="B6" s="1650"/>
      <c r="C6" s="1650"/>
      <c r="D6" s="1648"/>
      <c r="E6" s="1657"/>
      <c r="F6" s="1661" t="s">
        <v>713</v>
      </c>
      <c r="G6" s="1563" t="s">
        <v>710</v>
      </c>
      <c r="H6" s="1659" t="s">
        <v>705</v>
      </c>
      <c r="I6" s="1659"/>
      <c r="J6" s="1659"/>
      <c r="K6" s="1660"/>
      <c r="L6" s="1690"/>
      <c r="M6" s="1688"/>
      <c r="N6" s="1692"/>
      <c r="O6" s="1692"/>
      <c r="P6" s="1688"/>
      <c r="Q6" s="1688"/>
      <c r="R6" s="510"/>
      <c r="S6" s="510"/>
      <c r="T6" s="510"/>
      <c r="U6" s="510"/>
      <c r="V6" s="510"/>
    </row>
    <row r="7" spans="1:22" s="506" customFormat="1" x14ac:dyDescent="0.2">
      <c r="A7" s="1646"/>
      <c r="B7" s="1650"/>
      <c r="C7" s="1650"/>
      <c r="D7" s="1648"/>
      <c r="E7" s="1657"/>
      <c r="F7" s="1662"/>
      <c r="G7" s="1563"/>
      <c r="H7" s="1664" t="s">
        <v>732</v>
      </c>
      <c r="I7" s="1669" t="s">
        <v>388</v>
      </c>
      <c r="J7" s="1651" t="s">
        <v>712</v>
      </c>
      <c r="K7" s="1652"/>
      <c r="L7" s="1690"/>
      <c r="M7" s="1688"/>
      <c r="N7" s="1692"/>
      <c r="O7" s="1692"/>
      <c r="P7" s="1688"/>
      <c r="Q7" s="1688"/>
      <c r="R7" s="510"/>
      <c r="S7" s="510"/>
      <c r="T7" s="510"/>
      <c r="U7" s="510"/>
      <c r="V7" s="510"/>
    </row>
    <row r="8" spans="1:22" s="507" customFormat="1" ht="106.5" customHeight="1" x14ac:dyDescent="0.2">
      <c r="A8" s="1646"/>
      <c r="B8" s="1650"/>
      <c r="C8" s="1650"/>
      <c r="D8" s="1648"/>
      <c r="E8" s="1658"/>
      <c r="F8" s="1663"/>
      <c r="G8" s="1563"/>
      <c r="H8" s="1665"/>
      <c r="I8" s="1670"/>
      <c r="J8" s="910" t="s">
        <v>711</v>
      </c>
      <c r="K8" s="993" t="s">
        <v>787</v>
      </c>
      <c r="L8" s="1690"/>
      <c r="M8" s="1688"/>
      <c r="N8" s="1692"/>
      <c r="O8" s="1692"/>
      <c r="P8" s="1688"/>
      <c r="Q8" s="1688"/>
      <c r="R8" s="511"/>
      <c r="S8" s="511"/>
      <c r="T8" s="511"/>
      <c r="U8" s="511"/>
      <c r="V8" s="511"/>
    </row>
    <row r="9" spans="1:22" s="856" customFormat="1" ht="29.25" customHeight="1" thickBot="1" x14ac:dyDescent="0.25">
      <c r="A9" s="1671" t="s">
        <v>463</v>
      </c>
      <c r="B9" s="1672"/>
      <c r="C9" s="1672"/>
      <c r="D9" s="1672"/>
      <c r="E9" s="1672"/>
      <c r="F9" s="1223"/>
      <c r="G9" s="574"/>
      <c r="H9" s="1231">
        <f>H10</f>
        <v>68111100</v>
      </c>
      <c r="I9" s="574">
        <f t="shared" ref="I9:J9" si="0">I10</f>
        <v>0</v>
      </c>
      <c r="J9" s="574">
        <f t="shared" si="0"/>
        <v>0</v>
      </c>
      <c r="K9" s="1054">
        <f>K10</f>
        <v>0</v>
      </c>
      <c r="L9" s="1028"/>
      <c r="M9" s="1024"/>
      <c r="N9" s="965"/>
      <c r="O9" s="965"/>
      <c r="P9" s="965"/>
      <c r="Q9" s="1024"/>
      <c r="R9" s="855"/>
      <c r="S9" s="855"/>
      <c r="T9" s="855"/>
      <c r="U9" s="855"/>
      <c r="V9" s="855"/>
    </row>
    <row r="10" spans="1:22" s="883" customFormat="1" x14ac:dyDescent="0.2">
      <c r="A10" s="1095"/>
      <c r="B10" s="1281"/>
      <c r="C10" s="1281">
        <v>991</v>
      </c>
      <c r="D10" s="584" t="s">
        <v>703</v>
      </c>
      <c r="E10" s="569"/>
      <c r="F10" s="616"/>
      <c r="G10" s="576"/>
      <c r="H10" s="575">
        <f>H11+H12</f>
        <v>68111100</v>
      </c>
      <c r="I10" s="576">
        <f t="shared" ref="I10:K10" si="1">I11+I12</f>
        <v>0</v>
      </c>
      <c r="J10" s="576">
        <f t="shared" si="1"/>
        <v>0</v>
      </c>
      <c r="K10" s="1055">
        <f t="shared" si="1"/>
        <v>0</v>
      </c>
      <c r="L10" s="1048"/>
      <c r="M10" s="1025"/>
      <c r="N10" s="1030"/>
      <c r="O10" s="1030"/>
      <c r="P10" s="1030"/>
      <c r="Q10" s="1035"/>
      <c r="R10" s="882"/>
      <c r="S10" s="882"/>
      <c r="T10" s="882"/>
      <c r="U10" s="882"/>
      <c r="V10" s="882"/>
    </row>
    <row r="11" spans="1:22" s="604" customFormat="1" ht="19.149999999999999" customHeight="1" x14ac:dyDescent="0.2">
      <c r="A11" s="1056">
        <v>111</v>
      </c>
      <c r="B11" s="566">
        <v>211</v>
      </c>
      <c r="C11" s="566">
        <v>991</v>
      </c>
      <c r="D11" s="585" t="s">
        <v>733</v>
      </c>
      <c r="E11" s="562" t="s">
        <v>714</v>
      </c>
      <c r="F11" s="578">
        <v>79.86</v>
      </c>
      <c r="G11" s="578">
        <f>(H11+I11+J11+K11)/F11</f>
        <v>850308.04</v>
      </c>
      <c r="H11" s="577">
        <f>68111100-H12</f>
        <v>67905600</v>
      </c>
      <c r="I11" s="578"/>
      <c r="J11" s="578"/>
      <c r="K11" s="1057"/>
      <c r="L11" s="1049" t="str">
        <f>D11</f>
        <v>Фонд оплаты</v>
      </c>
      <c r="M11" s="1026"/>
      <c r="N11" s="1019"/>
      <c r="O11" s="1019"/>
      <c r="P11" s="1019"/>
      <c r="Q11" s="1036"/>
      <c r="R11" s="603"/>
      <c r="S11" s="603"/>
      <c r="T11" s="603"/>
      <c r="U11" s="603"/>
      <c r="V11" s="603"/>
    </row>
    <row r="12" spans="1:22" s="604" customFormat="1" ht="26.25" thickBot="1" x14ac:dyDescent="0.25">
      <c r="A12" s="1058">
        <v>111</v>
      </c>
      <c r="B12" s="567">
        <v>266</v>
      </c>
      <c r="C12" s="567">
        <v>991</v>
      </c>
      <c r="D12" s="495" t="s">
        <v>708</v>
      </c>
      <c r="E12" s="565" t="s">
        <v>714</v>
      </c>
      <c r="F12" s="1241">
        <v>79.86</v>
      </c>
      <c r="G12" s="580">
        <f>(H12+I12+J12+K12)/F12</f>
        <v>2573.25</v>
      </c>
      <c r="H12" s="579">
        <v>205500</v>
      </c>
      <c r="I12" s="580"/>
      <c r="J12" s="580"/>
      <c r="K12" s="1059"/>
      <c r="L12" s="1050" t="str">
        <f>D12</f>
        <v>Оплата листов временной нетрудоспособности</v>
      </c>
      <c r="M12" s="1027"/>
      <c r="N12" s="1031"/>
      <c r="O12" s="1031"/>
      <c r="P12" s="1031"/>
      <c r="Q12" s="1037"/>
      <c r="R12" s="603"/>
      <c r="S12" s="603"/>
      <c r="T12" s="603"/>
      <c r="U12" s="603"/>
      <c r="V12" s="603"/>
    </row>
    <row r="13" spans="1:22" s="558" customFormat="1" ht="39" customHeight="1" thickBot="1" x14ac:dyDescent="0.25">
      <c r="A13" s="1609" t="s">
        <v>465</v>
      </c>
      <c r="B13" s="1610"/>
      <c r="C13" s="1610"/>
      <c r="D13" s="1610"/>
      <c r="E13" s="1674"/>
      <c r="F13" s="1224"/>
      <c r="G13" s="1158"/>
      <c r="H13" s="1232">
        <f>H14+H15+H18</f>
        <v>0</v>
      </c>
      <c r="I13" s="1157">
        <f>I14+I15+I18</f>
        <v>0</v>
      </c>
      <c r="J13" s="1157">
        <f>J14+J15+J18</f>
        <v>1251300</v>
      </c>
      <c r="K13" s="1250">
        <f>K14+K15+K18</f>
        <v>0</v>
      </c>
      <c r="L13" s="1028"/>
      <c r="M13" s="1028"/>
      <c r="N13" s="970"/>
      <c r="O13" s="970"/>
      <c r="P13" s="970"/>
      <c r="Q13" s="1028"/>
      <c r="R13" s="557"/>
      <c r="S13" s="557"/>
      <c r="T13" s="557"/>
      <c r="U13" s="557"/>
      <c r="V13" s="557"/>
    </row>
    <row r="14" spans="1:22" s="604" customFormat="1" ht="26.25" thickBot="1" x14ac:dyDescent="0.25">
      <c r="A14" s="1283">
        <v>112</v>
      </c>
      <c r="B14" s="1283">
        <v>214</v>
      </c>
      <c r="C14" s="1283">
        <v>911</v>
      </c>
      <c r="D14" s="587" t="s">
        <v>220</v>
      </c>
      <c r="E14" s="624" t="s">
        <v>714</v>
      </c>
      <c r="F14" s="1247">
        <v>79.86</v>
      </c>
      <c r="G14" s="1247">
        <f>(H14+I14+J14+K14)/F14</f>
        <v>15668.67</v>
      </c>
      <c r="H14" s="1285"/>
      <c r="I14" s="1247"/>
      <c r="J14" s="1247">
        <v>1251300</v>
      </c>
      <c r="K14" s="1286"/>
      <c r="L14" s="1051"/>
      <c r="M14" s="981"/>
      <c r="N14" s="1032"/>
      <c r="O14" s="1032"/>
      <c r="P14" s="1032"/>
      <c r="Q14" s="1021"/>
      <c r="R14" s="896"/>
      <c r="S14" s="603"/>
      <c r="T14" s="603"/>
      <c r="U14" s="603"/>
      <c r="V14" s="603"/>
    </row>
    <row r="15" spans="1:22" s="604" customFormat="1" ht="26.25" hidden="1" customHeight="1" thickBot="1" x14ac:dyDescent="0.25">
      <c r="A15" s="1280"/>
      <c r="B15" s="1281"/>
      <c r="C15" s="1281">
        <v>917</v>
      </c>
      <c r="D15" s="584" t="s">
        <v>893</v>
      </c>
      <c r="E15" s="584"/>
      <c r="F15" s="616"/>
      <c r="G15" s="616"/>
      <c r="H15" s="620"/>
      <c r="I15" s="616"/>
      <c r="J15" s="616"/>
      <c r="K15" s="1251"/>
      <c r="L15" s="1051"/>
      <c r="M15" s="981"/>
      <c r="N15" s="1032"/>
      <c r="O15" s="1032"/>
      <c r="P15" s="1032"/>
      <c r="Q15" s="1021"/>
      <c r="R15" s="896"/>
      <c r="S15" s="603"/>
      <c r="T15" s="603"/>
      <c r="U15" s="603"/>
      <c r="V15" s="603"/>
    </row>
    <row r="16" spans="1:22" s="604" customFormat="1" ht="13.5" hidden="1" thickBot="1" x14ac:dyDescent="0.25">
      <c r="A16" s="1252">
        <v>112</v>
      </c>
      <c r="B16" s="566" t="s">
        <v>897</v>
      </c>
      <c r="C16" s="566">
        <v>917</v>
      </c>
      <c r="D16" s="585" t="s">
        <v>899</v>
      </c>
      <c r="E16" s="612" t="s">
        <v>182</v>
      </c>
      <c r="F16" s="578"/>
      <c r="G16" s="578"/>
      <c r="H16" s="577"/>
      <c r="I16" s="578"/>
      <c r="J16" s="578"/>
      <c r="K16" s="1063"/>
      <c r="L16" s="1051"/>
      <c r="M16" s="981"/>
      <c r="N16" s="1032"/>
      <c r="O16" s="1032"/>
      <c r="P16" s="1032"/>
      <c r="Q16" s="1021"/>
      <c r="R16" s="896"/>
      <c r="S16" s="603"/>
      <c r="T16" s="603"/>
      <c r="U16" s="603"/>
      <c r="V16" s="603"/>
    </row>
    <row r="17" spans="1:22" s="604" customFormat="1" ht="13.5" hidden="1" thickBot="1" x14ac:dyDescent="0.25">
      <c r="A17" s="1253">
        <v>112</v>
      </c>
      <c r="B17" s="567" t="s">
        <v>898</v>
      </c>
      <c r="C17" s="567">
        <v>917</v>
      </c>
      <c r="D17" s="495" t="s">
        <v>900</v>
      </c>
      <c r="E17" s="605" t="s">
        <v>182</v>
      </c>
      <c r="F17" s="1241"/>
      <c r="G17" s="580"/>
      <c r="H17" s="579"/>
      <c r="I17" s="580"/>
      <c r="J17" s="580"/>
      <c r="K17" s="1072"/>
      <c r="L17" s="1051"/>
      <c r="M17" s="981"/>
      <c r="N17" s="1032"/>
      <c r="O17" s="1032"/>
      <c r="P17" s="1032"/>
      <c r="Q17" s="1021"/>
      <c r="R17" s="896"/>
      <c r="S17" s="603"/>
      <c r="T17" s="603"/>
      <c r="U17" s="603"/>
      <c r="V17" s="603"/>
    </row>
    <row r="18" spans="1:22" s="604" customFormat="1" ht="77.45" hidden="1" customHeight="1" thickBot="1" x14ac:dyDescent="0.25">
      <c r="A18" s="1080">
        <v>112</v>
      </c>
      <c r="B18" s="1284">
        <v>226</v>
      </c>
      <c r="C18" s="1284">
        <v>919</v>
      </c>
      <c r="D18" s="958" t="s">
        <v>904</v>
      </c>
      <c r="E18" s="782" t="s">
        <v>182</v>
      </c>
      <c r="F18" s="1159"/>
      <c r="G18" s="580"/>
      <c r="H18" s="579"/>
      <c r="I18" s="580"/>
      <c r="J18" s="580"/>
      <c r="K18" s="1072"/>
      <c r="L18" s="1051" t="str">
        <f>D18</f>
        <v>Расходы на прохождение медицинского осмотра,  гигиеническое обучение (периодический мед. осмотр)</v>
      </c>
      <c r="M18" s="981"/>
      <c r="N18" s="1020"/>
      <c r="O18" s="1020"/>
      <c r="P18" s="1020">
        <f>H18-N18</f>
        <v>0</v>
      </c>
      <c r="Q18" s="1021"/>
      <c r="R18" s="896"/>
      <c r="S18" s="603"/>
      <c r="T18" s="603"/>
      <c r="U18" s="603"/>
      <c r="V18" s="603"/>
    </row>
    <row r="19" spans="1:22" s="856" customFormat="1" ht="44.25" customHeight="1" thickBot="1" x14ac:dyDescent="0.25">
      <c r="A19" s="1666" t="s">
        <v>715</v>
      </c>
      <c r="B19" s="1667"/>
      <c r="C19" s="1667"/>
      <c r="D19" s="1667"/>
      <c r="E19" s="1668"/>
      <c r="F19" s="1225"/>
      <c r="G19" s="581"/>
      <c r="H19" s="1233">
        <f>H20</f>
        <v>20569600</v>
      </c>
      <c r="I19" s="581">
        <f t="shared" ref="I19:K19" si="2">I20</f>
        <v>0</v>
      </c>
      <c r="J19" s="581">
        <f t="shared" si="2"/>
        <v>0</v>
      </c>
      <c r="K19" s="1060">
        <f t="shared" si="2"/>
        <v>0</v>
      </c>
      <c r="L19" s="1028"/>
      <c r="M19" s="1024"/>
      <c r="N19" s="965"/>
      <c r="O19" s="965"/>
      <c r="P19" s="965"/>
      <c r="Q19" s="1024"/>
      <c r="R19" s="961"/>
      <c r="S19" s="855"/>
      <c r="T19" s="855"/>
      <c r="U19" s="855"/>
      <c r="V19" s="855"/>
    </row>
    <row r="20" spans="1:22" s="856" customFormat="1" ht="13.5" customHeight="1" x14ac:dyDescent="0.2">
      <c r="A20" s="1062"/>
      <c r="B20" s="568"/>
      <c r="C20" s="592">
        <v>992</v>
      </c>
      <c r="D20" s="571" t="s">
        <v>709</v>
      </c>
      <c r="E20" s="591"/>
      <c r="F20" s="1226"/>
      <c r="G20" s="601"/>
      <c r="H20" s="602">
        <f>SUM(H21:H21)</f>
        <v>20569600</v>
      </c>
      <c r="I20" s="594">
        <f>SUM(I21:I21)</f>
        <v>0</v>
      </c>
      <c r="J20" s="594">
        <f>SUM(J21:J21)</f>
        <v>0</v>
      </c>
      <c r="K20" s="1265">
        <f>SUM(K21:K21)</f>
        <v>0</v>
      </c>
      <c r="L20" s="1048"/>
      <c r="M20" s="1025"/>
      <c r="N20" s="1030"/>
      <c r="O20" s="1030"/>
      <c r="P20" s="1030"/>
      <c r="Q20" s="1035"/>
      <c r="R20" s="961"/>
      <c r="S20" s="855"/>
      <c r="T20" s="855"/>
      <c r="U20" s="855"/>
      <c r="V20" s="855"/>
    </row>
    <row r="21" spans="1:22" s="604" customFormat="1" ht="26.25" thickBot="1" x14ac:dyDescent="0.25">
      <c r="A21" s="1056">
        <v>119</v>
      </c>
      <c r="B21" s="561">
        <v>213</v>
      </c>
      <c r="C21" s="566">
        <v>992</v>
      </c>
      <c r="D21" s="585" t="s">
        <v>709</v>
      </c>
      <c r="E21" s="562" t="s">
        <v>714</v>
      </c>
      <c r="F21" s="1165">
        <v>79.86</v>
      </c>
      <c r="G21" s="578">
        <f t="shared" ref="G21" si="3">(H21+I21+J21+K21)/F21</f>
        <v>257570.75</v>
      </c>
      <c r="H21" s="578">
        <v>20569600</v>
      </c>
      <c r="I21" s="578"/>
      <c r="J21" s="578"/>
      <c r="K21" s="1063"/>
      <c r="L21" s="1050" t="str">
        <f>D21</f>
        <v>Начисления на выплаты по оплате труда</v>
      </c>
      <c r="M21" s="1027"/>
      <c r="N21" s="1031"/>
      <c r="O21" s="1031"/>
      <c r="P21" s="1031"/>
      <c r="Q21" s="1037"/>
      <c r="R21" s="896"/>
      <c r="S21" s="603"/>
      <c r="T21" s="603"/>
      <c r="U21" s="603"/>
      <c r="V21" s="603"/>
    </row>
    <row r="22" spans="1:22" s="904" customFormat="1" ht="37.5" customHeight="1" x14ac:dyDescent="0.2">
      <c r="A22" s="1607" t="s">
        <v>638</v>
      </c>
      <c r="B22" s="1608"/>
      <c r="C22" s="1608"/>
      <c r="D22" s="1608"/>
      <c r="E22" s="1673"/>
      <c r="F22" s="1148"/>
      <c r="G22" s="1149"/>
      <c r="H22" s="885">
        <f>H26+H28+H30+H31+H36+H40+H43+H23+H24</f>
        <v>3940200</v>
      </c>
      <c r="I22" s="598">
        <f t="shared" ref="I22:K22" si="4">I26+I28+I30+I31+I36+I40+I43+I23+I24</f>
        <v>0</v>
      </c>
      <c r="J22" s="598">
        <f t="shared" si="4"/>
        <v>0</v>
      </c>
      <c r="K22" s="598">
        <f t="shared" si="4"/>
        <v>2450100</v>
      </c>
      <c r="L22" s="1028"/>
      <c r="M22" s="1024"/>
      <c r="N22" s="965"/>
      <c r="O22" s="965"/>
      <c r="P22" s="965"/>
      <c r="Q22" s="1024"/>
      <c r="R22" s="962"/>
      <c r="S22" s="884"/>
      <c r="T22" s="884"/>
      <c r="U22" s="884"/>
      <c r="V22" s="884"/>
    </row>
    <row r="23" spans="1:22" s="904" customFormat="1" ht="37.5" customHeight="1" x14ac:dyDescent="0.2">
      <c r="A23" s="1277">
        <v>244</v>
      </c>
      <c r="B23" s="626">
        <v>226</v>
      </c>
      <c r="C23" s="624">
        <v>919</v>
      </c>
      <c r="D23" s="587" t="s">
        <v>904</v>
      </c>
      <c r="E23" s="624" t="s">
        <v>389</v>
      </c>
      <c r="F23" s="1287">
        <v>1</v>
      </c>
      <c r="G23" s="775">
        <f t="shared" ref="G23" si="5">(H23+I23+J23+K23)/F23</f>
        <v>366000</v>
      </c>
      <c r="H23" s="1237">
        <v>366000</v>
      </c>
      <c r="I23" s="775"/>
      <c r="J23" s="775"/>
      <c r="K23" s="1248"/>
      <c r="L23" s="1028"/>
      <c r="M23" s="1024"/>
      <c r="N23" s="965"/>
      <c r="O23" s="965"/>
      <c r="P23" s="965"/>
      <c r="Q23" s="1024"/>
      <c r="R23" s="962"/>
      <c r="S23" s="884"/>
      <c r="T23" s="884"/>
      <c r="U23" s="884"/>
      <c r="V23" s="884"/>
    </row>
    <row r="24" spans="1:22" s="904" customFormat="1" ht="18.75" customHeight="1" x14ac:dyDescent="0.2">
      <c r="A24" s="1088">
        <v>244</v>
      </c>
      <c r="B24" s="865">
        <v>222</v>
      </c>
      <c r="C24" s="890">
        <v>922</v>
      </c>
      <c r="D24" s="571" t="s">
        <v>912</v>
      </c>
      <c r="E24" s="867"/>
      <c r="F24" s="844"/>
      <c r="G24" s="837"/>
      <c r="H24" s="575">
        <f>H25</f>
        <v>0</v>
      </c>
      <c r="I24" s="837">
        <f t="shared" ref="I24:K26" si="6">I25</f>
        <v>0</v>
      </c>
      <c r="J24" s="576">
        <f t="shared" si="6"/>
        <v>0</v>
      </c>
      <c r="K24" s="1055">
        <f t="shared" si="6"/>
        <v>294500</v>
      </c>
      <c r="L24" s="1028"/>
      <c r="M24" s="1024"/>
      <c r="N24" s="965"/>
      <c r="O24" s="965"/>
      <c r="P24" s="965"/>
      <c r="Q24" s="1024"/>
      <c r="R24" s="962"/>
      <c r="S24" s="884"/>
      <c r="T24" s="884"/>
      <c r="U24" s="884"/>
      <c r="V24" s="884"/>
    </row>
    <row r="25" spans="1:22" s="904" customFormat="1" ht="21.75" customHeight="1" thickBot="1" x14ac:dyDescent="0.25">
      <c r="A25" s="1066"/>
      <c r="B25" s="861"/>
      <c r="C25" s="1146">
        <v>922</v>
      </c>
      <c r="D25" s="1245" t="s">
        <v>903</v>
      </c>
      <c r="E25" s="863" t="s">
        <v>748</v>
      </c>
      <c r="F25" s="843">
        <v>1</v>
      </c>
      <c r="G25" s="839">
        <f t="shared" ref="G25" si="7">(H25+I25+J25+K25)/F25</f>
        <v>294500</v>
      </c>
      <c r="H25" s="1234"/>
      <c r="I25" s="848"/>
      <c r="J25" s="607"/>
      <c r="K25" s="1059">
        <v>294500</v>
      </c>
      <c r="L25" s="1028"/>
      <c r="M25" s="1024"/>
      <c r="N25" s="965"/>
      <c r="O25" s="965"/>
      <c r="P25" s="965"/>
      <c r="Q25" s="1024"/>
      <c r="R25" s="962"/>
      <c r="S25" s="884"/>
      <c r="T25" s="884"/>
      <c r="U25" s="884"/>
      <c r="V25" s="884"/>
    </row>
    <row r="26" spans="1:22" s="560" customFormat="1" x14ac:dyDescent="0.2">
      <c r="A26" s="1064">
        <v>244</v>
      </c>
      <c r="B26" s="858">
        <v>221</v>
      </c>
      <c r="C26" s="1172">
        <v>925</v>
      </c>
      <c r="D26" s="878" t="s">
        <v>734</v>
      </c>
      <c r="E26" s="1174"/>
      <c r="F26" s="840"/>
      <c r="G26" s="841"/>
      <c r="H26" s="797">
        <f>H27</f>
        <v>65000</v>
      </c>
      <c r="I26" s="841">
        <f t="shared" si="6"/>
        <v>0</v>
      </c>
      <c r="J26" s="611">
        <f t="shared" si="6"/>
        <v>0</v>
      </c>
      <c r="K26" s="1065">
        <f t="shared" si="6"/>
        <v>0</v>
      </c>
      <c r="L26" s="1625" t="str">
        <f>D26</f>
        <v>Услуги связи</v>
      </c>
      <c r="M26" s="1622"/>
      <c r="N26" s="1619"/>
      <c r="O26" s="1619"/>
      <c r="P26" s="1619">
        <f>H26+O26-N26</f>
        <v>65000</v>
      </c>
      <c r="Q26" s="1629"/>
      <c r="R26" s="559"/>
      <c r="S26" s="559"/>
      <c r="T26" s="559"/>
      <c r="U26" s="559"/>
      <c r="V26" s="559"/>
    </row>
    <row r="27" spans="1:22" s="560" customFormat="1" ht="26.25" thickBot="1" x14ac:dyDescent="0.25">
      <c r="A27" s="1066"/>
      <c r="B27" s="861"/>
      <c r="C27" s="1146">
        <v>925</v>
      </c>
      <c r="D27" s="1178" t="s">
        <v>384</v>
      </c>
      <c r="E27" s="1147" t="s">
        <v>181</v>
      </c>
      <c r="F27" s="843">
        <v>7</v>
      </c>
      <c r="G27" s="839">
        <f t="shared" ref="G27:G35" si="8">(H27+I27+J27+K27)/F27</f>
        <v>9285.7099999999991</v>
      </c>
      <c r="H27" s="1235">
        <v>65000</v>
      </c>
      <c r="I27" s="848"/>
      <c r="J27" s="607"/>
      <c r="K27" s="1067"/>
      <c r="L27" s="1627"/>
      <c r="M27" s="1624"/>
      <c r="N27" s="1621"/>
      <c r="O27" s="1621"/>
      <c r="P27" s="1621"/>
      <c r="Q27" s="1631"/>
      <c r="R27" s="559"/>
      <c r="S27" s="559"/>
      <c r="T27" s="559"/>
      <c r="U27" s="559"/>
      <c r="V27" s="559"/>
    </row>
    <row r="28" spans="1:22" s="560" customFormat="1" ht="38.25" x14ac:dyDescent="0.2">
      <c r="A28" s="1088">
        <v>244</v>
      </c>
      <c r="B28" s="864">
        <v>225</v>
      </c>
      <c r="C28" s="890">
        <v>927</v>
      </c>
      <c r="D28" s="1150" t="s">
        <v>735</v>
      </c>
      <c r="E28" s="1175"/>
      <c r="F28" s="1227"/>
      <c r="G28" s="837"/>
      <c r="H28" s="1236">
        <f>H29</f>
        <v>931300</v>
      </c>
      <c r="I28" s="837">
        <f t="shared" ref="I28:K28" si="9">I29</f>
        <v>0</v>
      </c>
      <c r="J28" s="576">
        <f t="shared" si="9"/>
        <v>0</v>
      </c>
      <c r="K28" s="1061">
        <f t="shared" si="9"/>
        <v>0</v>
      </c>
      <c r="L28" s="1677" t="str">
        <f>D29</f>
        <v>Торгсервис</v>
      </c>
      <c r="M28" s="1675" t="s">
        <v>919</v>
      </c>
      <c r="N28" s="1634">
        <v>853603.83</v>
      </c>
      <c r="O28" s="1634"/>
      <c r="P28" s="1634">
        <f>H28-N28+O28</f>
        <v>77696.17</v>
      </c>
      <c r="Q28" s="1629"/>
      <c r="R28" s="559"/>
      <c r="S28" s="559"/>
      <c r="T28" s="559"/>
      <c r="U28" s="559"/>
      <c r="V28" s="559"/>
    </row>
    <row r="29" spans="1:22" s="560" customFormat="1" ht="13.5" thickBot="1" x14ac:dyDescent="0.25">
      <c r="A29" s="1066"/>
      <c r="B29" s="861"/>
      <c r="C29" s="1146"/>
      <c r="D29" s="1179" t="s">
        <v>745</v>
      </c>
      <c r="E29" s="1147" t="s">
        <v>389</v>
      </c>
      <c r="F29" s="843">
        <v>1</v>
      </c>
      <c r="G29" s="839">
        <f t="shared" si="8"/>
        <v>931300</v>
      </c>
      <c r="H29" s="1235">
        <v>931300</v>
      </c>
      <c r="I29" s="839"/>
      <c r="J29" s="580"/>
      <c r="K29" s="1072"/>
      <c r="L29" s="1678"/>
      <c r="M29" s="1676"/>
      <c r="N29" s="1635"/>
      <c r="O29" s="1635"/>
      <c r="P29" s="1635"/>
      <c r="Q29" s="1631"/>
      <c r="R29" s="559"/>
      <c r="S29" s="559"/>
      <c r="T29" s="559"/>
      <c r="U29" s="559"/>
      <c r="V29" s="559"/>
    </row>
    <row r="30" spans="1:22" s="560" customFormat="1" ht="30" customHeight="1" thickBot="1" x14ac:dyDescent="0.25">
      <c r="A30" s="1073">
        <v>244</v>
      </c>
      <c r="B30" s="859">
        <v>223</v>
      </c>
      <c r="C30" s="1173" t="s">
        <v>746</v>
      </c>
      <c r="D30" s="1152" t="s">
        <v>747</v>
      </c>
      <c r="E30" s="1174" t="s">
        <v>748</v>
      </c>
      <c r="F30" s="1228">
        <v>1</v>
      </c>
      <c r="G30" s="841">
        <v>14900</v>
      </c>
      <c r="H30" s="1237">
        <v>14900</v>
      </c>
      <c r="I30" s="841"/>
      <c r="J30" s="611"/>
      <c r="K30" s="1065"/>
      <c r="L30" s="1052" t="str">
        <f>D30</f>
        <v>Вывоз твердых коммунальных отходов</v>
      </c>
      <c r="M30" s="971"/>
      <c r="N30" s="967"/>
      <c r="O30" s="967"/>
      <c r="P30" s="967">
        <f>H30+O30-N30</f>
        <v>14900</v>
      </c>
      <c r="Q30" s="1038"/>
      <c r="R30" s="559"/>
      <c r="S30" s="559"/>
      <c r="T30" s="559"/>
      <c r="U30" s="559"/>
      <c r="V30" s="559"/>
    </row>
    <row r="31" spans="1:22" s="604" customFormat="1" ht="51" x14ac:dyDescent="0.2">
      <c r="A31" s="1062">
        <v>244</v>
      </c>
      <c r="B31" s="569">
        <v>225</v>
      </c>
      <c r="C31" s="618">
        <v>941</v>
      </c>
      <c r="D31" s="1171" t="s">
        <v>881</v>
      </c>
      <c r="E31" s="1151"/>
      <c r="F31" s="615"/>
      <c r="G31" s="616"/>
      <c r="H31" s="577">
        <f>SUM(H32:H35)</f>
        <v>305500</v>
      </c>
      <c r="I31" s="576">
        <f>SUM(I32:I35)</f>
        <v>0</v>
      </c>
      <c r="J31" s="576">
        <f>SUM(J32:J35)</f>
        <v>0</v>
      </c>
      <c r="K31" s="1055">
        <f>SUM(K32:K35)</f>
        <v>0</v>
      </c>
      <c r="L31" s="1048"/>
      <c r="M31" s="968"/>
      <c r="N31" s="1033"/>
      <c r="O31" s="1033"/>
      <c r="P31" s="1033"/>
      <c r="Q31" s="1039"/>
      <c r="R31" s="896"/>
      <c r="S31" s="603"/>
      <c r="T31" s="603"/>
      <c r="U31" s="603"/>
      <c r="V31" s="603"/>
    </row>
    <row r="32" spans="1:22" s="604" customFormat="1" ht="50.25" customHeight="1" x14ac:dyDescent="0.2">
      <c r="A32" s="1074"/>
      <c r="B32" s="562"/>
      <c r="C32" s="622"/>
      <c r="D32" s="585" t="s">
        <v>396</v>
      </c>
      <c r="E32" s="1176" t="s">
        <v>178</v>
      </c>
      <c r="F32" s="613">
        <v>12</v>
      </c>
      <c r="G32" s="578">
        <f t="shared" si="8"/>
        <v>9533.33</v>
      </c>
      <c r="H32" s="577">
        <v>114400</v>
      </c>
      <c r="I32" s="578"/>
      <c r="J32" s="578"/>
      <c r="K32" s="1057"/>
      <c r="L32" s="1403" t="str">
        <f>D32</f>
        <v>Техническое обслуживание  АУТВР</v>
      </c>
      <c r="M32" s="1404" t="s">
        <v>918</v>
      </c>
      <c r="N32" s="1405">
        <v>81933.7</v>
      </c>
      <c r="O32" s="1405"/>
      <c r="P32" s="1405">
        <f>H32+O32-N32+I32</f>
        <v>32466.3</v>
      </c>
      <c r="Q32" s="1040"/>
      <c r="R32" s="603"/>
      <c r="S32" s="603"/>
      <c r="T32" s="603"/>
      <c r="U32" s="603"/>
      <c r="V32" s="603"/>
    </row>
    <row r="33" spans="1:22" s="604" customFormat="1" ht="36" customHeight="1" x14ac:dyDescent="0.2">
      <c r="A33" s="1074"/>
      <c r="B33" s="562"/>
      <c r="C33" s="622"/>
      <c r="D33" s="585" t="s">
        <v>397</v>
      </c>
      <c r="E33" s="1176" t="s">
        <v>178</v>
      </c>
      <c r="F33" s="613">
        <v>12</v>
      </c>
      <c r="G33" s="578">
        <f t="shared" si="8"/>
        <v>2141.67</v>
      </c>
      <c r="H33" s="577">
        <v>25700</v>
      </c>
      <c r="I33" s="578"/>
      <c r="J33" s="578"/>
      <c r="K33" s="1057"/>
      <c r="L33" s="1403" t="str">
        <f t="shared" ref="L33:L35" si="10">D33</f>
        <v>Дератизация и дезинсекция помещений</v>
      </c>
      <c r="M33" s="1404" t="s">
        <v>917</v>
      </c>
      <c r="N33" s="1405">
        <v>18870.13</v>
      </c>
      <c r="O33" s="1405"/>
      <c r="P33" s="1405">
        <f t="shared" ref="P33:P35" si="11">H33+O33-N33</f>
        <v>6829.87</v>
      </c>
      <c r="Q33" s="1040"/>
      <c r="R33" s="603"/>
      <c r="S33" s="603"/>
      <c r="T33" s="603"/>
      <c r="U33" s="603"/>
      <c r="V33" s="603"/>
    </row>
    <row r="34" spans="1:22" s="604" customFormat="1" ht="48" customHeight="1" x14ac:dyDescent="0.2">
      <c r="A34" s="1074"/>
      <c r="B34" s="562"/>
      <c r="C34" s="622"/>
      <c r="D34" s="585" t="s">
        <v>398</v>
      </c>
      <c r="E34" s="1176" t="s">
        <v>836</v>
      </c>
      <c r="F34" s="613">
        <v>4</v>
      </c>
      <c r="G34" s="578">
        <f t="shared" si="8"/>
        <v>13350</v>
      </c>
      <c r="H34" s="577">
        <v>53400</v>
      </c>
      <c r="I34" s="578"/>
      <c r="J34" s="578"/>
      <c r="K34" s="1057"/>
      <c r="L34" s="1403" t="str">
        <f t="shared" si="10"/>
        <v>Мерзлотно - технический надзор за зданием</v>
      </c>
      <c r="M34" s="1404" t="s">
        <v>914</v>
      </c>
      <c r="N34" s="1405">
        <v>56668.34</v>
      </c>
      <c r="O34" s="1405"/>
      <c r="P34" s="1405">
        <f t="shared" si="11"/>
        <v>-3268.34</v>
      </c>
      <c r="Q34" s="1040"/>
      <c r="R34" s="603"/>
      <c r="S34" s="603"/>
      <c r="T34" s="603"/>
      <c r="U34" s="603"/>
      <c r="V34" s="603"/>
    </row>
    <row r="35" spans="1:22" s="604" customFormat="1" ht="46.5" customHeight="1" thickBot="1" x14ac:dyDescent="0.25">
      <c r="A35" s="1075"/>
      <c r="B35" s="565"/>
      <c r="C35" s="621"/>
      <c r="D35" s="495" t="s">
        <v>752</v>
      </c>
      <c r="E35" s="1177" t="s">
        <v>178</v>
      </c>
      <c r="F35" s="606">
        <v>12</v>
      </c>
      <c r="G35" s="580">
        <f t="shared" si="8"/>
        <v>9333.33</v>
      </c>
      <c r="H35" s="577">
        <v>112000</v>
      </c>
      <c r="I35" s="580"/>
      <c r="J35" s="580"/>
      <c r="K35" s="1059"/>
      <c r="L35" s="1400" t="str">
        <f t="shared" si="10"/>
        <v>Техническое обслуживание ОПС и ППА СОУЭ</v>
      </c>
      <c r="M35" s="1401" t="s">
        <v>915</v>
      </c>
      <c r="N35" s="1402">
        <v>124875</v>
      </c>
      <c r="O35" s="1402"/>
      <c r="P35" s="1402">
        <f t="shared" si="11"/>
        <v>-12875</v>
      </c>
      <c r="Q35" s="1096"/>
      <c r="R35" s="603"/>
      <c r="S35" s="603"/>
      <c r="T35" s="603"/>
      <c r="U35" s="603"/>
      <c r="V35" s="603"/>
    </row>
    <row r="36" spans="1:22" s="604" customFormat="1" ht="38.25" x14ac:dyDescent="0.2">
      <c r="A36" s="1076">
        <v>244</v>
      </c>
      <c r="B36" s="592">
        <v>226</v>
      </c>
      <c r="C36" s="569">
        <v>953</v>
      </c>
      <c r="D36" s="584" t="s">
        <v>753</v>
      </c>
      <c r="E36" s="563"/>
      <c r="F36" s="1166"/>
      <c r="G36" s="616"/>
      <c r="H36" s="616">
        <f>SUM(H37:H39)</f>
        <v>2120400</v>
      </c>
      <c r="I36" s="576">
        <f t="shared" ref="I36:K36" si="12">SUM(I37:I39)</f>
        <v>0</v>
      </c>
      <c r="J36" s="576">
        <f t="shared" si="12"/>
        <v>0</v>
      </c>
      <c r="K36" s="1061">
        <f t="shared" si="12"/>
        <v>0</v>
      </c>
      <c r="L36" s="1048"/>
      <c r="M36" s="968"/>
      <c r="N36" s="1033"/>
      <c r="O36" s="1033"/>
      <c r="P36" s="1033">
        <f>P32+P33+P34+P35</f>
        <v>23152.83</v>
      </c>
      <c r="Q36" s="1039"/>
      <c r="R36" s="603"/>
      <c r="S36" s="603"/>
      <c r="T36" s="603"/>
      <c r="U36" s="603"/>
      <c r="V36" s="603"/>
    </row>
    <row r="37" spans="1:22" s="604" customFormat="1" x14ac:dyDescent="0.2">
      <c r="A37" s="1078"/>
      <c r="B37" s="612"/>
      <c r="C37" s="562"/>
      <c r="D37" s="585" t="s">
        <v>399</v>
      </c>
      <c r="E37" s="562" t="s">
        <v>178</v>
      </c>
      <c r="F37" s="1165">
        <v>12</v>
      </c>
      <c r="G37" s="578">
        <f t="shared" ref="G37:G42" si="13">(H37+I37+J37+K37)/F37</f>
        <v>2250</v>
      </c>
      <c r="H37" s="578">
        <v>27000</v>
      </c>
      <c r="I37" s="578"/>
      <c r="J37" s="578"/>
      <c r="K37" s="1063"/>
      <c r="L37" s="1683" t="s">
        <v>860</v>
      </c>
      <c r="M37" s="1681" t="s">
        <v>916</v>
      </c>
      <c r="N37" s="1639">
        <f>99900+105216</f>
        <v>205116</v>
      </c>
      <c r="O37" s="1639"/>
      <c r="P37" s="1639">
        <f>H37+H38+O37-N37</f>
        <v>-3316</v>
      </c>
      <c r="Q37" s="1636"/>
      <c r="R37" s="603"/>
      <c r="S37" s="603"/>
      <c r="T37" s="603"/>
      <c r="U37" s="603"/>
      <c r="V37" s="603"/>
    </row>
    <row r="38" spans="1:22" s="604" customFormat="1" ht="78" customHeight="1" x14ac:dyDescent="0.2">
      <c r="A38" s="1078"/>
      <c r="B38" s="612"/>
      <c r="C38" s="562"/>
      <c r="D38" s="585" t="s">
        <v>702</v>
      </c>
      <c r="E38" s="562" t="s">
        <v>178</v>
      </c>
      <c r="F38" s="1165">
        <v>12</v>
      </c>
      <c r="G38" s="578">
        <f t="shared" si="13"/>
        <v>14566.67</v>
      </c>
      <c r="H38" s="578">
        <v>174800</v>
      </c>
      <c r="I38" s="578"/>
      <c r="J38" s="578"/>
      <c r="K38" s="1063"/>
      <c r="L38" s="1683"/>
      <c r="M38" s="1682"/>
      <c r="N38" s="1639"/>
      <c r="O38" s="1639"/>
      <c r="P38" s="1639"/>
      <c r="Q38" s="1637"/>
      <c r="R38" s="603"/>
      <c r="S38" s="603"/>
      <c r="T38" s="603"/>
      <c r="U38" s="603"/>
      <c r="V38" s="603"/>
    </row>
    <row r="39" spans="1:22" s="604" customFormat="1" ht="51.75" thickBot="1" x14ac:dyDescent="0.25">
      <c r="A39" s="1077"/>
      <c r="B39" s="605"/>
      <c r="C39" s="565"/>
      <c r="D39" s="495" t="s">
        <v>400</v>
      </c>
      <c r="E39" s="565" t="s">
        <v>178</v>
      </c>
      <c r="F39" s="1167">
        <v>12</v>
      </c>
      <c r="G39" s="580">
        <f t="shared" si="13"/>
        <v>159883.32999999999</v>
      </c>
      <c r="H39" s="580">
        <v>1918600</v>
      </c>
      <c r="I39" s="578"/>
      <c r="J39" s="578"/>
      <c r="K39" s="1063"/>
      <c r="L39" s="1400" t="str">
        <f>D39</f>
        <v>Охрана физическая</v>
      </c>
      <c r="M39" s="1401" t="s">
        <v>913</v>
      </c>
      <c r="N39" s="1402">
        <v>1031044.68</v>
      </c>
      <c r="O39" s="1402"/>
      <c r="P39" s="1402">
        <f>H39+O39-N39</f>
        <v>887555.32</v>
      </c>
      <c r="Q39" s="1638"/>
      <c r="R39" s="603"/>
      <c r="S39" s="603"/>
      <c r="T39" s="603"/>
      <c r="U39" s="603"/>
      <c r="V39" s="603"/>
    </row>
    <row r="40" spans="1:22" s="604" customFormat="1" x14ac:dyDescent="0.2">
      <c r="A40" s="1076">
        <v>244</v>
      </c>
      <c r="B40" s="592">
        <v>226</v>
      </c>
      <c r="C40" s="569" t="s">
        <v>754</v>
      </c>
      <c r="D40" s="584" t="s">
        <v>755</v>
      </c>
      <c r="E40" s="569"/>
      <c r="F40" s="1226"/>
      <c r="G40" s="576"/>
      <c r="H40" s="575">
        <f>SUM(H41:H42)</f>
        <v>137100</v>
      </c>
      <c r="I40" s="576">
        <f>SUM(I41:I42)</f>
        <v>0</v>
      </c>
      <c r="J40" s="576">
        <f>SUM(J41:J42)</f>
        <v>0</v>
      </c>
      <c r="K40" s="1061">
        <f>SUM(K41:K42)</f>
        <v>2081200</v>
      </c>
      <c r="L40" s="1679" t="str">
        <f>D41</f>
        <v>Проведение лабораторно-инструментальных исследований согласно требованиям Санитарных норм</v>
      </c>
      <c r="M40" s="1684"/>
      <c r="N40" s="1686"/>
      <c r="O40" s="1686"/>
      <c r="P40" s="1640">
        <f>H41-N40</f>
        <v>137100</v>
      </c>
      <c r="Q40" s="1632">
        <f>P37+P39</f>
        <v>884239.32</v>
      </c>
      <c r="R40" s="603"/>
      <c r="S40" s="603"/>
      <c r="T40" s="603"/>
      <c r="U40" s="603"/>
      <c r="V40" s="603"/>
    </row>
    <row r="41" spans="1:22" s="1098" customFormat="1" ht="38.25" x14ac:dyDescent="0.2">
      <c r="A41" s="1078"/>
      <c r="B41" s="612"/>
      <c r="C41" s="562"/>
      <c r="D41" s="585" t="s">
        <v>693</v>
      </c>
      <c r="E41" s="562" t="s">
        <v>389</v>
      </c>
      <c r="F41" s="1165">
        <v>1</v>
      </c>
      <c r="G41" s="578">
        <f t="shared" si="13"/>
        <v>137100</v>
      </c>
      <c r="H41" s="577">
        <v>137100</v>
      </c>
      <c r="I41" s="578"/>
      <c r="J41" s="578"/>
      <c r="K41" s="1063"/>
      <c r="L41" s="1680"/>
      <c r="M41" s="1685"/>
      <c r="N41" s="1687"/>
      <c r="O41" s="1687"/>
      <c r="P41" s="1641"/>
      <c r="Q41" s="1633"/>
      <c r="R41" s="1097"/>
      <c r="S41" s="1097"/>
      <c r="T41" s="1097"/>
      <c r="U41" s="1097"/>
      <c r="V41" s="1097"/>
    </row>
    <row r="42" spans="1:22" s="604" customFormat="1" ht="26.25" thickBot="1" x14ac:dyDescent="0.25">
      <c r="A42" s="1078"/>
      <c r="B42" s="612"/>
      <c r="C42" s="562"/>
      <c r="D42" s="795" t="s">
        <v>903</v>
      </c>
      <c r="E42" s="562" t="s">
        <v>748</v>
      </c>
      <c r="F42" s="1165">
        <v>1</v>
      </c>
      <c r="G42" s="578">
        <f t="shared" si="13"/>
        <v>2081200</v>
      </c>
      <c r="H42" s="579"/>
      <c r="I42" s="578"/>
      <c r="J42" s="578"/>
      <c r="K42" s="1063">
        <v>2081200</v>
      </c>
      <c r="L42" s="1050" t="str">
        <f>D42</f>
        <v xml:space="preserve">Расходы на организацию мероприятий </v>
      </c>
      <c r="M42" s="969"/>
      <c r="N42" s="1031"/>
      <c r="O42" s="1031"/>
      <c r="P42" s="1034"/>
      <c r="Q42" s="1041"/>
      <c r="R42" s="603"/>
      <c r="S42" s="603"/>
      <c r="T42" s="603"/>
      <c r="U42" s="603"/>
      <c r="V42" s="603"/>
    </row>
    <row r="43" spans="1:22" s="604" customFormat="1" x14ac:dyDescent="0.2">
      <c r="A43" s="1076">
        <v>244</v>
      </c>
      <c r="B43" s="592">
        <v>226</v>
      </c>
      <c r="C43" s="569">
        <v>955</v>
      </c>
      <c r="D43" s="584" t="s">
        <v>777</v>
      </c>
      <c r="E43" s="569"/>
      <c r="F43" s="1226"/>
      <c r="G43" s="576"/>
      <c r="H43" s="620">
        <f>H44</f>
        <v>0</v>
      </c>
      <c r="I43" s="616">
        <f t="shared" ref="I43:K43" si="14">I44</f>
        <v>0</v>
      </c>
      <c r="J43" s="616">
        <f t="shared" si="14"/>
        <v>0</v>
      </c>
      <c r="K43" s="1061">
        <f t="shared" si="14"/>
        <v>74400</v>
      </c>
      <c r="L43" s="1048"/>
      <c r="M43" s="1025"/>
      <c r="N43" s="1030"/>
      <c r="O43" s="1030"/>
      <c r="P43" s="1030"/>
      <c r="Q43" s="1035"/>
      <c r="R43" s="603"/>
      <c r="S43" s="603"/>
      <c r="T43" s="603"/>
      <c r="U43" s="603"/>
      <c r="V43" s="603"/>
    </row>
    <row r="44" spans="1:22" s="604" customFormat="1" ht="25.5" x14ac:dyDescent="0.2">
      <c r="A44" s="1077"/>
      <c r="B44" s="605"/>
      <c r="C44" s="565"/>
      <c r="D44" s="796" t="s">
        <v>694</v>
      </c>
      <c r="E44" s="565" t="s">
        <v>748</v>
      </c>
      <c r="F44" s="1167">
        <v>1</v>
      </c>
      <c r="G44" s="580">
        <f t="shared" ref="G44" si="15">(H44+I44+J44+K44)/F44</f>
        <v>74400</v>
      </c>
      <c r="H44" s="579"/>
      <c r="I44" s="580"/>
      <c r="J44" s="580"/>
      <c r="K44" s="1072">
        <v>74400</v>
      </c>
      <c r="L44" s="1053" t="str">
        <f>D44</f>
        <v>Расходы на организацию мероприятий</v>
      </c>
      <c r="M44" s="1029"/>
      <c r="N44" s="966"/>
      <c r="O44" s="966"/>
      <c r="P44" s="966"/>
      <c r="Q44" s="1042"/>
      <c r="R44" s="603"/>
      <c r="S44" s="603"/>
      <c r="T44" s="603"/>
      <c r="U44" s="603"/>
      <c r="V44" s="603"/>
    </row>
    <row r="45" spans="1:22" s="604" customFormat="1" ht="34.5" customHeight="1" thickBot="1" x14ac:dyDescent="0.25">
      <c r="A45" s="1666" t="s">
        <v>736</v>
      </c>
      <c r="B45" s="1667"/>
      <c r="C45" s="1667"/>
      <c r="D45" s="1667"/>
      <c r="E45" s="1668"/>
      <c r="F45" s="885"/>
      <c r="G45" s="598"/>
      <c r="H45" s="1239">
        <f>H46+H50+H51</f>
        <v>983900</v>
      </c>
      <c r="I45" s="836">
        <f t="shared" ref="I45:K45" si="16">I46+I50</f>
        <v>0</v>
      </c>
      <c r="J45" s="836">
        <f t="shared" si="16"/>
        <v>0</v>
      </c>
      <c r="K45" s="1079">
        <f t="shared" si="16"/>
        <v>0</v>
      </c>
      <c r="L45" s="1628"/>
      <c r="M45" s="1628"/>
      <c r="N45" s="1628"/>
      <c r="O45" s="1628"/>
      <c r="P45" s="1628"/>
      <c r="Q45" s="1628"/>
      <c r="R45" s="896"/>
      <c r="S45" s="603"/>
      <c r="T45" s="603"/>
      <c r="U45" s="603"/>
      <c r="V45" s="603"/>
    </row>
    <row r="46" spans="1:22" s="604" customFormat="1" ht="25.5" x14ac:dyDescent="0.2">
      <c r="A46" s="1095">
        <v>247</v>
      </c>
      <c r="B46" s="1282">
        <v>223</v>
      </c>
      <c r="C46" s="1281">
        <v>931</v>
      </c>
      <c r="D46" s="589" t="s">
        <v>737</v>
      </c>
      <c r="E46" s="592"/>
      <c r="F46" s="602"/>
      <c r="G46" s="576"/>
      <c r="H46" s="575">
        <f>SUM(H47:H49)</f>
        <v>727700</v>
      </c>
      <c r="I46" s="576">
        <f>I48</f>
        <v>0</v>
      </c>
      <c r="J46" s="576">
        <f t="shared" ref="J46" si="17">J49</f>
        <v>0</v>
      </c>
      <c r="K46" s="1055">
        <f t="shared" ref="K46" si="18">K49</f>
        <v>0</v>
      </c>
      <c r="L46" s="1625" t="str">
        <f>D46</f>
        <v>Оплата отопления и технологических нужд, а также горячего водоснабжения</v>
      </c>
      <c r="M46" s="1622"/>
      <c r="N46" s="1619"/>
      <c r="O46" s="1619"/>
      <c r="P46" s="1619">
        <f>H46+O46-N46+I46</f>
        <v>727700</v>
      </c>
      <c r="Q46" s="1629"/>
      <c r="R46" s="603"/>
      <c r="S46" s="603"/>
      <c r="T46" s="603"/>
      <c r="U46" s="603"/>
      <c r="V46" s="603"/>
    </row>
    <row r="47" spans="1:22" s="604" customFormat="1" x14ac:dyDescent="0.2">
      <c r="A47" s="1056"/>
      <c r="B47" s="561"/>
      <c r="C47" s="566"/>
      <c r="D47" s="588" t="s">
        <v>392</v>
      </c>
      <c r="E47" s="612" t="s">
        <v>390</v>
      </c>
      <c r="F47" s="613">
        <v>412</v>
      </c>
      <c r="G47" s="578">
        <f t="shared" ref="G47:G50" si="19">(H47+I47+J47+K47)/F47</f>
        <v>1742.17</v>
      </c>
      <c r="H47" s="577">
        <v>717775</v>
      </c>
      <c r="I47" s="578"/>
      <c r="J47" s="578"/>
      <c r="K47" s="1057"/>
      <c r="L47" s="1626"/>
      <c r="M47" s="1623"/>
      <c r="N47" s="1620"/>
      <c r="O47" s="1620"/>
      <c r="P47" s="1620"/>
      <c r="Q47" s="1630"/>
      <c r="R47" s="603"/>
      <c r="S47" s="603"/>
      <c r="T47" s="603"/>
      <c r="U47" s="603"/>
      <c r="V47" s="603"/>
    </row>
    <row r="48" spans="1:22" s="604" customFormat="1" ht="25.5" x14ac:dyDescent="0.2">
      <c r="A48" s="1056"/>
      <c r="B48" s="561"/>
      <c r="C48" s="566"/>
      <c r="D48" s="588" t="s">
        <v>391</v>
      </c>
      <c r="E48" s="612" t="s">
        <v>390</v>
      </c>
      <c r="F48" s="613">
        <v>5.0999999999999996</v>
      </c>
      <c r="G48" s="578">
        <f t="shared" si="19"/>
        <v>1750.78</v>
      </c>
      <c r="H48" s="577">
        <v>8929</v>
      </c>
      <c r="I48" s="578"/>
      <c r="J48" s="578"/>
      <c r="K48" s="1057"/>
      <c r="L48" s="1626"/>
      <c r="M48" s="1623"/>
      <c r="N48" s="1620"/>
      <c r="O48" s="1620"/>
      <c r="P48" s="1620"/>
      <c r="Q48" s="1630"/>
      <c r="R48" s="603"/>
      <c r="S48" s="603"/>
      <c r="T48" s="603"/>
      <c r="U48" s="603"/>
      <c r="V48" s="603"/>
    </row>
    <row r="49" spans="1:22" s="604" customFormat="1" ht="22.5" customHeight="1" thickBot="1" x14ac:dyDescent="0.25">
      <c r="A49" s="1058"/>
      <c r="B49" s="564"/>
      <c r="C49" s="567"/>
      <c r="D49" s="590" t="s">
        <v>393</v>
      </c>
      <c r="E49" s="605" t="s">
        <v>460</v>
      </c>
      <c r="F49" s="606">
        <v>85</v>
      </c>
      <c r="G49" s="580">
        <f t="shared" si="19"/>
        <v>11.72</v>
      </c>
      <c r="H49" s="579">
        <v>996</v>
      </c>
      <c r="I49" s="580"/>
      <c r="J49" s="580"/>
      <c r="K49" s="1059"/>
      <c r="L49" s="1627"/>
      <c r="M49" s="1624"/>
      <c r="N49" s="1621"/>
      <c r="O49" s="1621"/>
      <c r="P49" s="1621"/>
      <c r="Q49" s="1631"/>
      <c r="R49" s="603"/>
      <c r="S49" s="603"/>
      <c r="T49" s="603"/>
      <c r="U49" s="603"/>
      <c r="V49" s="603"/>
    </row>
    <row r="50" spans="1:22" s="604" customFormat="1" ht="26.25" thickBot="1" x14ac:dyDescent="0.25">
      <c r="A50" s="1080">
        <v>247</v>
      </c>
      <c r="B50" s="1284">
        <v>223</v>
      </c>
      <c r="C50" s="1284">
        <v>932</v>
      </c>
      <c r="D50" s="958" t="s">
        <v>738</v>
      </c>
      <c r="E50" s="608" t="s">
        <v>739</v>
      </c>
      <c r="F50" s="1229">
        <v>18208</v>
      </c>
      <c r="G50" s="607">
        <f t="shared" si="19"/>
        <v>4.7699999999999996</v>
      </c>
      <c r="H50" s="1238">
        <v>86900</v>
      </c>
      <c r="I50" s="607"/>
      <c r="J50" s="607"/>
      <c r="K50" s="1067"/>
      <c r="L50" s="1051" t="str">
        <f>D50</f>
        <v>Потребление электроэнергии</v>
      </c>
      <c r="M50" s="981"/>
      <c r="N50" s="1020"/>
      <c r="O50" s="1020">
        <f>'расходы 810 25'!H68</f>
        <v>0</v>
      </c>
      <c r="P50" s="1020">
        <f>H50+I50-N50+O50</f>
        <v>86900</v>
      </c>
      <c r="Q50" s="1021"/>
      <c r="R50" s="603"/>
      <c r="S50" s="603"/>
      <c r="T50" s="603"/>
      <c r="U50" s="603"/>
      <c r="V50" s="603"/>
    </row>
    <row r="51" spans="1:22" s="604" customFormat="1" x14ac:dyDescent="0.2">
      <c r="A51" s="1069">
        <v>247</v>
      </c>
      <c r="B51" s="874">
        <v>223</v>
      </c>
      <c r="C51" s="867" t="s">
        <v>740</v>
      </c>
      <c r="D51" s="866" t="s">
        <v>741</v>
      </c>
      <c r="E51" s="875"/>
      <c r="F51" s="849"/>
      <c r="G51" s="850"/>
      <c r="H51" s="1236">
        <f>SUM(H52:H54)</f>
        <v>169300</v>
      </c>
      <c r="I51" s="576">
        <f>SUM(I52:I54)</f>
        <v>0</v>
      </c>
      <c r="J51" s="576">
        <f t="shared" ref="J51:K51" si="20">SUM(J52:J54)</f>
        <v>0</v>
      </c>
      <c r="K51" s="1055">
        <f t="shared" si="20"/>
        <v>0</v>
      </c>
      <c r="L51" s="1028"/>
      <c r="M51" s="1028"/>
      <c r="N51" s="965"/>
      <c r="O51" s="965"/>
      <c r="P51" s="965"/>
      <c r="Q51" s="1028"/>
      <c r="R51" s="603"/>
      <c r="S51" s="603"/>
      <c r="T51" s="603"/>
      <c r="U51" s="603"/>
      <c r="V51" s="603"/>
    </row>
    <row r="52" spans="1:22" s="604" customFormat="1" x14ac:dyDescent="0.2">
      <c r="A52" s="1068"/>
      <c r="B52" s="869"/>
      <c r="C52" s="868"/>
      <c r="D52" s="757" t="s">
        <v>742</v>
      </c>
      <c r="E52" s="870" t="s">
        <v>744</v>
      </c>
      <c r="F52" s="842">
        <v>1059</v>
      </c>
      <c r="G52" s="838">
        <f t="shared" ref="G52:G54" si="21">(H52+I52+J52+K52)/F52</f>
        <v>66.930000000000007</v>
      </c>
      <c r="H52" s="577">
        <v>70875</v>
      </c>
      <c r="I52" s="578"/>
      <c r="J52" s="578"/>
      <c r="K52" s="1063"/>
      <c r="L52" s="1028"/>
      <c r="M52" s="1028"/>
      <c r="N52" s="965"/>
      <c r="O52" s="965"/>
      <c r="P52" s="965"/>
      <c r="Q52" s="1028"/>
      <c r="R52" s="603"/>
      <c r="S52" s="603"/>
      <c r="T52" s="603"/>
      <c r="U52" s="603"/>
      <c r="V52" s="603"/>
    </row>
    <row r="53" spans="1:22" s="604" customFormat="1" x14ac:dyDescent="0.2">
      <c r="A53" s="1070"/>
      <c r="B53" s="876"/>
      <c r="C53" s="870"/>
      <c r="D53" s="757" t="s">
        <v>394</v>
      </c>
      <c r="E53" s="870" t="s">
        <v>744</v>
      </c>
      <c r="F53" s="842">
        <v>1144</v>
      </c>
      <c r="G53" s="838">
        <f t="shared" si="21"/>
        <v>57.36</v>
      </c>
      <c r="H53" s="577">
        <v>65615</v>
      </c>
      <c r="I53" s="578"/>
      <c r="J53" s="578"/>
      <c r="K53" s="1063"/>
      <c r="L53" s="1028"/>
      <c r="M53" s="1028"/>
      <c r="N53" s="965"/>
      <c r="O53" s="965"/>
      <c r="P53" s="965"/>
      <c r="Q53" s="1028"/>
      <c r="R53" s="603"/>
      <c r="S53" s="603"/>
      <c r="T53" s="603"/>
      <c r="U53" s="603"/>
      <c r="V53" s="603"/>
    </row>
    <row r="54" spans="1:22" s="604" customFormat="1" x14ac:dyDescent="0.2">
      <c r="A54" s="1071"/>
      <c r="B54" s="877"/>
      <c r="C54" s="863"/>
      <c r="D54" s="862" t="s">
        <v>743</v>
      </c>
      <c r="E54" s="863" t="s">
        <v>744</v>
      </c>
      <c r="F54" s="843">
        <f>F53*0.5</f>
        <v>572</v>
      </c>
      <c r="G54" s="839">
        <f t="shared" si="21"/>
        <v>57.36</v>
      </c>
      <c r="H54" s="579">
        <v>32810</v>
      </c>
      <c r="I54" s="580"/>
      <c r="J54" s="580"/>
      <c r="K54" s="1072"/>
      <c r="L54" s="1028"/>
      <c r="M54" s="1028"/>
      <c r="N54" s="965"/>
      <c r="O54" s="965"/>
      <c r="P54" s="965"/>
      <c r="Q54" s="1028"/>
      <c r="R54" s="603"/>
      <c r="S54" s="603"/>
      <c r="T54" s="603"/>
      <c r="U54" s="603"/>
      <c r="V54" s="603"/>
    </row>
    <row r="55" spans="1:22" s="604" customFormat="1" ht="24.75" customHeight="1" x14ac:dyDescent="0.2">
      <c r="A55" s="1607" t="s">
        <v>640</v>
      </c>
      <c r="B55" s="1608"/>
      <c r="C55" s="1608"/>
      <c r="D55" s="1608"/>
      <c r="E55" s="1608"/>
      <c r="F55" s="574"/>
      <c r="G55" s="665"/>
      <c r="H55" s="1611"/>
      <c r="I55" s="1613">
        <f t="shared" ref="I55:J55" si="22">I57</f>
        <v>0</v>
      </c>
      <c r="J55" s="1615">
        <f t="shared" si="22"/>
        <v>100000</v>
      </c>
      <c r="K55" s="1617"/>
      <c r="L55" s="1028"/>
      <c r="M55" s="1028"/>
      <c r="N55" s="965"/>
      <c r="O55" s="965"/>
      <c r="P55" s="965"/>
      <c r="Q55" s="1028"/>
      <c r="R55" s="603"/>
      <c r="S55" s="603"/>
      <c r="T55" s="603"/>
      <c r="U55" s="603"/>
      <c r="V55" s="603"/>
    </row>
    <row r="56" spans="1:22" s="604" customFormat="1" x14ac:dyDescent="0.2">
      <c r="A56" s="1609"/>
      <c r="B56" s="1610"/>
      <c r="C56" s="1610"/>
      <c r="D56" s="1610"/>
      <c r="E56" s="1610"/>
      <c r="F56" s="581"/>
      <c r="G56" s="666"/>
      <c r="H56" s="1612"/>
      <c r="I56" s="1614"/>
      <c r="J56" s="1616"/>
      <c r="K56" s="1618"/>
      <c r="L56" s="1028"/>
      <c r="M56" s="1028"/>
      <c r="N56" s="965"/>
      <c r="O56" s="965"/>
      <c r="P56" s="965"/>
      <c r="Q56" s="1028"/>
      <c r="R56" s="603"/>
      <c r="S56" s="603"/>
      <c r="T56" s="603"/>
      <c r="U56" s="603"/>
      <c r="V56" s="603"/>
    </row>
    <row r="57" spans="1:22" s="604" customFormat="1" ht="32.25" customHeight="1" x14ac:dyDescent="0.2">
      <c r="A57" s="1156">
        <v>321</v>
      </c>
      <c r="B57" s="1283">
        <v>265</v>
      </c>
      <c r="C57" s="1283">
        <v>917</v>
      </c>
      <c r="D57" s="810" t="s">
        <v>902</v>
      </c>
      <c r="E57" s="1277" t="s">
        <v>182</v>
      </c>
      <c r="F57" s="597">
        <v>1</v>
      </c>
      <c r="G57" s="611">
        <f>(H57+I57+K57+J57)/F57</f>
        <v>100000</v>
      </c>
      <c r="H57" s="625"/>
      <c r="I57" s="775"/>
      <c r="J57" s="611">
        <v>100000</v>
      </c>
      <c r="K57" s="1065"/>
      <c r="L57" s="1028"/>
      <c r="M57" s="1028"/>
      <c r="N57" s="965"/>
      <c r="O57" s="965"/>
      <c r="P57" s="965"/>
      <c r="Q57" s="1028"/>
      <c r="R57" s="603"/>
      <c r="S57" s="603"/>
      <c r="T57" s="603"/>
      <c r="U57" s="603"/>
      <c r="V57" s="603"/>
    </row>
    <row r="58" spans="1:22" s="558" customFormat="1" ht="13.5" thickBot="1" x14ac:dyDescent="0.25">
      <c r="A58" s="1081"/>
      <c r="B58" s="1082"/>
      <c r="C58" s="1082"/>
      <c r="D58" s="1083" t="s">
        <v>8</v>
      </c>
      <c r="E58" s="1084"/>
      <c r="F58" s="1230"/>
      <c r="G58" s="1086"/>
      <c r="H58" s="1240">
        <f>H45+H22+H19+H13+H9</f>
        <v>93604800</v>
      </c>
      <c r="I58" s="1086">
        <f>I45+I22+I19+I13+I9</f>
        <v>0</v>
      </c>
      <c r="J58" s="1086">
        <f>J45+J22+J19+J13+J9+J55</f>
        <v>1351300</v>
      </c>
      <c r="K58" s="1254">
        <f>K45+K22+K19+K13+K9+K55</f>
        <v>2450100</v>
      </c>
      <c r="L58" s="1022">
        <f>H58+J58+K58-'поступления 831, 841 25-27'!F9-'поступления 831, 841 25-27'!F19</f>
        <v>0</v>
      </c>
      <c r="M58" s="1022" t="s">
        <v>770</v>
      </c>
      <c r="N58" s="693"/>
      <c r="O58" s="693"/>
      <c r="P58" s="693"/>
      <c r="Q58" s="1022"/>
      <c r="R58" s="557"/>
      <c r="S58" s="557"/>
      <c r="T58" s="557"/>
      <c r="U58" s="557"/>
      <c r="V58" s="557"/>
    </row>
    <row r="59" spans="1:22" ht="36.75" customHeight="1" x14ac:dyDescent="0.2"/>
    <row r="60" spans="1:22" ht="15.75" customHeight="1" x14ac:dyDescent="0.2">
      <c r="E60" s="675"/>
      <c r="H60" s="909">
        <f>'поступления 831, 841 25-27'!F8</f>
        <v>93604800</v>
      </c>
      <c r="I60" s="693">
        <f>'поступления 831, 841 25-27'!G9</f>
        <v>0</v>
      </c>
      <c r="J60" s="909">
        <f>'поступления 831, 841 25-27'!F18</f>
        <v>1351300</v>
      </c>
      <c r="K60" s="909">
        <f>'поступления 831, 841 25-27'!F17</f>
        <v>2450100</v>
      </c>
    </row>
    <row r="61" spans="1:22" ht="14.25" customHeight="1" x14ac:dyDescent="0.2">
      <c r="A61" s="492" t="s">
        <v>128</v>
      </c>
      <c r="E61" s="675"/>
      <c r="H61" s="909">
        <f>H58-H60</f>
        <v>0</v>
      </c>
      <c r="I61" s="693">
        <f>I58-I60</f>
        <v>0</v>
      </c>
      <c r="J61" s="909">
        <f>J58-J60</f>
        <v>0</v>
      </c>
      <c r="K61" s="909">
        <f>K58-K60</f>
        <v>0</v>
      </c>
    </row>
    <row r="62" spans="1:22" ht="12.75" customHeight="1" x14ac:dyDescent="0.2">
      <c r="A62" s="1643" t="s">
        <v>879</v>
      </c>
      <c r="B62" s="1643"/>
      <c r="C62" s="1643"/>
      <c r="D62" s="1643"/>
      <c r="H62" s="909">
        <f>H58-'поступления 831, 841 25-27'!F9</f>
        <v>0</v>
      </c>
      <c r="I62" s="693">
        <f>I58-'поступления 831, 841 25-27'!G9</f>
        <v>0</v>
      </c>
      <c r="J62" s="909">
        <f>'поступления 831, 841 25-27'!F18-'расходы 831, 841 25'!J58</f>
        <v>0</v>
      </c>
      <c r="K62" s="909">
        <f>'поступления 831, 841 25-27'!F17-'расходы 831, 841 25'!K58</f>
        <v>0</v>
      </c>
    </row>
    <row r="63" spans="1:22" ht="12.75" customHeight="1" x14ac:dyDescent="0.2">
      <c r="H63" s="909"/>
      <c r="I63" s="693"/>
      <c r="J63" s="909"/>
      <c r="K63" s="909"/>
    </row>
    <row r="72" spans="1:4" x14ac:dyDescent="0.2">
      <c r="A72" s="960"/>
      <c r="B72" s="960"/>
      <c r="C72" s="960"/>
      <c r="D72" s="959"/>
    </row>
    <row r="73" spans="1:4" x14ac:dyDescent="0.2">
      <c r="A73" s="960"/>
      <c r="B73" s="960"/>
      <c r="C73" s="960"/>
      <c r="D73" s="959"/>
    </row>
    <row r="74" spans="1:4" x14ac:dyDescent="0.2">
      <c r="A74" s="960"/>
      <c r="B74" s="960"/>
      <c r="C74" s="960"/>
      <c r="D74" s="959"/>
    </row>
    <row r="75" spans="1:4" x14ac:dyDescent="0.2">
      <c r="A75" s="960"/>
      <c r="B75" s="960"/>
      <c r="C75" s="960"/>
      <c r="D75" s="959"/>
    </row>
    <row r="76" spans="1:4" x14ac:dyDescent="0.2">
      <c r="A76" s="960"/>
      <c r="B76" s="960"/>
      <c r="C76" s="960"/>
      <c r="D76" s="959"/>
    </row>
    <row r="77" spans="1:4" x14ac:dyDescent="0.2">
      <c r="A77" s="1099"/>
      <c r="B77" s="960"/>
      <c r="C77" s="960"/>
      <c r="D77" s="959"/>
    </row>
    <row r="78" spans="1:4" x14ac:dyDescent="0.2">
      <c r="A78" s="960"/>
      <c r="B78" s="960"/>
      <c r="C78" s="960"/>
      <c r="D78" s="959"/>
    </row>
    <row r="79" spans="1:4" x14ac:dyDescent="0.2">
      <c r="A79" s="960"/>
      <c r="B79" s="960"/>
      <c r="C79" s="960"/>
      <c r="D79" s="959"/>
    </row>
    <row r="80" spans="1:4" x14ac:dyDescent="0.2">
      <c r="A80" s="960"/>
      <c r="B80" s="960"/>
      <c r="C80" s="960"/>
      <c r="D80" s="959"/>
    </row>
    <row r="81" spans="1:4" x14ac:dyDescent="0.2">
      <c r="A81" s="960"/>
      <c r="B81" s="960"/>
      <c r="C81" s="960"/>
      <c r="D81" s="959"/>
    </row>
    <row r="82" spans="1:4" x14ac:dyDescent="0.2">
      <c r="A82" s="960"/>
      <c r="B82" s="960"/>
      <c r="C82" s="960"/>
      <c r="D82" s="959"/>
    </row>
    <row r="83" spans="1:4" x14ac:dyDescent="0.2">
      <c r="A83" s="963"/>
    </row>
    <row r="85" spans="1:4" x14ac:dyDescent="0.2">
      <c r="A85" s="936"/>
    </row>
    <row r="86" spans="1:4" x14ac:dyDescent="0.2">
      <c r="A86" s="936"/>
    </row>
    <row r="191" spans="27:27" x14ac:dyDescent="0.2">
      <c r="AA191">
        <f>Y191*Z191</f>
        <v>0</v>
      </c>
    </row>
  </sheetData>
  <autoFilter ref="A8:AA58"/>
  <mergeCells count="63">
    <mergeCell ref="Q5:Q8"/>
    <mergeCell ref="Q26:Q27"/>
    <mergeCell ref="L5:L8"/>
    <mergeCell ref="M5:M8"/>
    <mergeCell ref="P5:P8"/>
    <mergeCell ref="O5:O8"/>
    <mergeCell ref="N5:N8"/>
    <mergeCell ref="P26:P27"/>
    <mergeCell ref="O26:O27"/>
    <mergeCell ref="N26:N27"/>
    <mergeCell ref="M26:M27"/>
    <mergeCell ref="L26:L27"/>
    <mergeCell ref="M28:M29"/>
    <mergeCell ref="L28:L29"/>
    <mergeCell ref="L40:L41"/>
    <mergeCell ref="O37:O38"/>
    <mergeCell ref="N37:N38"/>
    <mergeCell ref="M37:M38"/>
    <mergeCell ref="L37:L38"/>
    <mergeCell ref="M40:M41"/>
    <mergeCell ref="O40:O41"/>
    <mergeCell ref="N40:N41"/>
    <mergeCell ref="O28:O29"/>
    <mergeCell ref="N28:N29"/>
    <mergeCell ref="I7:I8"/>
    <mergeCell ref="A19:E19"/>
    <mergeCell ref="A9:E9"/>
    <mergeCell ref="A22:E22"/>
    <mergeCell ref="A13:E13"/>
    <mergeCell ref="A2:K2"/>
    <mergeCell ref="A1:K1"/>
    <mergeCell ref="A62:D62"/>
    <mergeCell ref="A3:K3"/>
    <mergeCell ref="A5:A8"/>
    <mergeCell ref="D5:D8"/>
    <mergeCell ref="C5:C8"/>
    <mergeCell ref="B5:B8"/>
    <mergeCell ref="J7:K7"/>
    <mergeCell ref="F5:K5"/>
    <mergeCell ref="E5:E8"/>
    <mergeCell ref="H6:K6"/>
    <mergeCell ref="G6:G8"/>
    <mergeCell ref="F6:F8"/>
    <mergeCell ref="H7:H8"/>
    <mergeCell ref="A45:E45"/>
    <mergeCell ref="Q28:Q29"/>
    <mergeCell ref="Q40:Q41"/>
    <mergeCell ref="P28:P29"/>
    <mergeCell ref="Q37:Q39"/>
    <mergeCell ref="P46:P49"/>
    <mergeCell ref="P37:P38"/>
    <mergeCell ref="P40:P41"/>
    <mergeCell ref="O46:O49"/>
    <mergeCell ref="N46:N49"/>
    <mergeCell ref="M46:M49"/>
    <mergeCell ref="L46:L49"/>
    <mergeCell ref="L45:Q45"/>
    <mergeCell ref="Q46:Q49"/>
    <mergeCell ref="A55:E56"/>
    <mergeCell ref="H55:H56"/>
    <mergeCell ref="I55:I56"/>
    <mergeCell ref="J55:J56"/>
    <mergeCell ref="K55:K56"/>
  </mergeCells>
  <pageMargins left="1.1811023622047245" right="0.15748031496062992" top="0.31496062992125984" bottom="0.31496062992125984" header="0.31496062992125984" footer="0.31496062992125984"/>
  <pageSetup paperSize="9" scale="27" fitToHeight="0" orientation="portrait" r:id="rId1"/>
  <rowBreaks count="1" manualBreakCount="1">
    <brk id="61" max="16383" man="1"/>
  </row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CC"/>
    <pageSetUpPr fitToPage="1"/>
  </sheetPr>
  <dimension ref="A1:Z201"/>
  <sheetViews>
    <sheetView tabSelected="1" view="pageBreakPreview" zoomScaleNormal="100" zoomScaleSheetLayoutView="100" workbookViewId="0">
      <pane ySplit="8" topLeftCell="A45" activePane="bottomLeft" state="frozen"/>
      <selection pane="bottomLeft" activeCell="H57" sqref="H57"/>
    </sheetView>
  </sheetViews>
  <sheetFormatPr defaultRowHeight="12.75" x14ac:dyDescent="0.2"/>
  <cols>
    <col min="1" max="3" width="9.33203125" style="492"/>
    <col min="4" max="4" width="51.1640625" style="778" customWidth="1"/>
    <col min="5" max="5" width="14" style="632" customWidth="1"/>
    <col min="6" max="6" width="12" style="600" customWidth="1"/>
    <col min="7" max="7" width="16" style="582" customWidth="1"/>
    <col min="8" max="8" width="21.33203125" style="663" customWidth="1"/>
    <col min="9" max="9" width="0.33203125" style="663" customWidth="1"/>
    <col min="10" max="10" width="0.1640625" style="663" hidden="1" customWidth="1"/>
    <col min="11" max="11" width="42.5" style="1002" customWidth="1"/>
    <col min="12" max="12" width="82.5" style="1002" customWidth="1"/>
    <col min="13" max="13" width="17.5" style="982" customWidth="1"/>
    <col min="14" max="14" width="13.6640625" style="983" customWidth="1"/>
    <col min="15" max="15" width="21.5" style="972" customWidth="1"/>
    <col min="16" max="21" width="9.33203125" style="509"/>
  </cols>
  <sheetData>
    <row r="1" spans="1:21" ht="16.5" x14ac:dyDescent="0.2">
      <c r="A1" s="1642" t="s">
        <v>824</v>
      </c>
      <c r="B1" s="1642"/>
      <c r="C1" s="1642"/>
      <c r="D1" s="1642"/>
      <c r="E1" s="1642"/>
      <c r="F1" s="1642"/>
      <c r="G1" s="1642"/>
      <c r="H1" s="1642"/>
      <c r="I1" s="1642"/>
      <c r="J1" s="931"/>
    </row>
    <row r="2" spans="1:21" ht="20.25" x14ac:dyDescent="0.2">
      <c r="A2" s="1642" t="s">
        <v>815</v>
      </c>
      <c r="B2" s="1642"/>
      <c r="C2" s="1642"/>
      <c r="D2" s="1642"/>
      <c r="E2" s="1642"/>
      <c r="F2" s="1642"/>
      <c r="G2" s="1642"/>
      <c r="H2" s="1642"/>
      <c r="I2" s="1642"/>
      <c r="J2" s="931"/>
      <c r="K2" s="1003"/>
      <c r="L2" s="1003"/>
      <c r="M2" s="964"/>
    </row>
    <row r="3" spans="1:21" ht="18.75" x14ac:dyDescent="0.2">
      <c r="A3" s="1644" t="s">
        <v>818</v>
      </c>
      <c r="B3" s="1644"/>
      <c r="C3" s="1644"/>
      <c r="D3" s="1644"/>
      <c r="E3" s="1644"/>
      <c r="F3" s="1644"/>
      <c r="G3" s="1644"/>
      <c r="H3" s="1644"/>
      <c r="I3" s="1644"/>
      <c r="J3" s="932"/>
      <c r="K3" s="1004"/>
      <c r="L3" s="1004"/>
      <c r="M3" s="984"/>
    </row>
    <row r="4" spans="1:21" s="506" customFormat="1" ht="13.5" thickBot="1" x14ac:dyDescent="0.25">
      <c r="A4" s="507"/>
      <c r="B4" s="507"/>
      <c r="C4" s="507"/>
      <c r="D4" s="777"/>
      <c r="E4" s="508"/>
      <c r="F4" s="593"/>
      <c r="G4" s="573"/>
      <c r="H4" s="655"/>
      <c r="I4" s="655"/>
      <c r="J4" s="655"/>
      <c r="K4" s="1005"/>
      <c r="L4" s="1005"/>
      <c r="M4" s="511"/>
      <c r="N4" s="985"/>
      <c r="O4" s="1013"/>
      <c r="P4" s="510"/>
      <c r="Q4" s="510"/>
      <c r="R4" s="510"/>
      <c r="S4" s="510"/>
      <c r="T4" s="510"/>
      <c r="U4" s="510"/>
    </row>
    <row r="5" spans="1:21" s="506" customFormat="1" x14ac:dyDescent="0.2">
      <c r="A5" s="1650" t="s">
        <v>647</v>
      </c>
      <c r="B5" s="1650" t="s">
        <v>347</v>
      </c>
      <c r="C5" s="1650" t="s">
        <v>707</v>
      </c>
      <c r="D5" s="1719" t="s">
        <v>175</v>
      </c>
      <c r="E5" s="1648" t="s">
        <v>180</v>
      </c>
      <c r="F5" s="1752" t="s">
        <v>461</v>
      </c>
      <c r="G5" s="1753"/>
      <c r="H5" s="1754"/>
      <c r="I5" s="1372"/>
      <c r="J5" s="1259"/>
      <c r="K5" s="1749" t="s">
        <v>175</v>
      </c>
      <c r="L5" s="1746" t="s">
        <v>855</v>
      </c>
      <c r="M5" s="1743" t="s">
        <v>81</v>
      </c>
      <c r="N5" s="1740" t="s">
        <v>857</v>
      </c>
      <c r="O5" s="1727"/>
      <c r="P5" s="510"/>
      <c r="Q5" s="510"/>
      <c r="R5" s="510"/>
      <c r="S5" s="510"/>
      <c r="T5" s="510"/>
      <c r="U5" s="510"/>
    </row>
    <row r="6" spans="1:21" s="506" customFormat="1" x14ac:dyDescent="0.2">
      <c r="A6" s="1650"/>
      <c r="B6" s="1650"/>
      <c r="C6" s="1650"/>
      <c r="D6" s="1719"/>
      <c r="E6" s="1648"/>
      <c r="F6" s="1563" t="s">
        <v>713</v>
      </c>
      <c r="G6" s="1563" t="s">
        <v>710</v>
      </c>
      <c r="H6" s="1309" t="s">
        <v>716</v>
      </c>
      <c r="I6" s="1371"/>
      <c r="J6" s="1260"/>
      <c r="K6" s="1750"/>
      <c r="L6" s="1747"/>
      <c r="M6" s="1744"/>
      <c r="N6" s="1741"/>
      <c r="O6" s="1727"/>
      <c r="P6" s="510"/>
      <c r="Q6" s="510"/>
      <c r="R6" s="510"/>
      <c r="S6" s="510"/>
      <c r="T6" s="510"/>
      <c r="U6" s="510"/>
    </row>
    <row r="7" spans="1:21" s="506" customFormat="1" ht="30.75" customHeight="1" x14ac:dyDescent="0.2">
      <c r="A7" s="1650"/>
      <c r="B7" s="1650"/>
      <c r="C7" s="1650"/>
      <c r="D7" s="1719"/>
      <c r="E7" s="1648"/>
      <c r="F7" s="1563"/>
      <c r="G7" s="1563"/>
      <c r="H7" s="1720" t="s">
        <v>774</v>
      </c>
      <c r="I7" s="1721" t="s">
        <v>771</v>
      </c>
      <c r="J7" s="1728" t="s">
        <v>862</v>
      </c>
      <c r="K7" s="1750"/>
      <c r="L7" s="1747"/>
      <c r="M7" s="1744"/>
      <c r="N7" s="1741"/>
      <c r="O7" s="1727"/>
      <c r="P7" s="510"/>
      <c r="Q7" s="510"/>
      <c r="R7" s="510"/>
      <c r="S7" s="510"/>
      <c r="T7" s="510"/>
      <c r="U7" s="510"/>
    </row>
    <row r="8" spans="1:21" s="507" customFormat="1" ht="30.75" customHeight="1" thickBot="1" x14ac:dyDescent="0.25">
      <c r="A8" s="1650"/>
      <c r="B8" s="1650"/>
      <c r="C8" s="1650"/>
      <c r="D8" s="1719"/>
      <c r="E8" s="1648"/>
      <c r="F8" s="1563"/>
      <c r="G8" s="1563"/>
      <c r="H8" s="1720"/>
      <c r="I8" s="1721"/>
      <c r="J8" s="1729"/>
      <c r="K8" s="1751"/>
      <c r="L8" s="1748"/>
      <c r="M8" s="1745"/>
      <c r="N8" s="1742"/>
      <c r="O8" s="1727"/>
      <c r="P8" s="511"/>
      <c r="Q8" s="511"/>
      <c r="R8" s="511"/>
      <c r="S8" s="511"/>
      <c r="T8" s="511"/>
      <c r="U8" s="511"/>
    </row>
    <row r="9" spans="1:21" ht="48" customHeight="1" x14ac:dyDescent="0.2">
      <c r="A9" s="1724" t="s">
        <v>465</v>
      </c>
      <c r="B9" s="1724"/>
      <c r="C9" s="1724"/>
      <c r="D9" s="1724"/>
      <c r="E9" s="1724"/>
      <c r="F9" s="1330"/>
      <c r="G9" s="1330"/>
      <c r="H9" s="1331">
        <f>H11+H12</f>
        <v>347700</v>
      </c>
      <c r="I9" s="1299">
        <f t="shared" ref="I9:J9" si="0">I11+I12</f>
        <v>0</v>
      </c>
      <c r="J9" s="1261">
        <f t="shared" si="0"/>
        <v>0</v>
      </c>
      <c r="K9" s="1007"/>
      <c r="L9" s="1007"/>
      <c r="M9" s="1008"/>
      <c r="N9" s="1009"/>
      <c r="O9" s="1014"/>
    </row>
    <row r="10" spans="1:21" ht="48" customHeight="1" thickBot="1" x14ac:dyDescent="0.25">
      <c r="A10" s="1166"/>
      <c r="B10" s="619"/>
      <c r="C10" s="569">
        <v>912</v>
      </c>
      <c r="D10" s="1359" t="s">
        <v>880</v>
      </c>
      <c r="E10" s="615"/>
      <c r="F10" s="619"/>
      <c r="G10" s="615"/>
      <c r="H10" s="619">
        <f>H11+H12</f>
        <v>347700</v>
      </c>
      <c r="I10" s="1329"/>
      <c r="J10" s="1262"/>
      <c r="K10" s="1007"/>
      <c r="L10" s="1007"/>
      <c r="M10" s="1008"/>
      <c r="N10" s="1009"/>
      <c r="O10" s="1014"/>
    </row>
    <row r="11" spans="1:21" s="506" customFormat="1" ht="13.5" thickBot="1" x14ac:dyDescent="0.25">
      <c r="A11" s="1333">
        <v>112</v>
      </c>
      <c r="B11" s="1357">
        <v>212</v>
      </c>
      <c r="C11" s="1332">
        <v>912</v>
      </c>
      <c r="D11" s="1360" t="s">
        <v>896</v>
      </c>
      <c r="E11" s="1314" t="s">
        <v>769</v>
      </c>
      <c r="F11" s="595">
        <f>6*5+3*7</f>
        <v>51</v>
      </c>
      <c r="G11" s="613">
        <f>H11/F11</f>
        <v>700</v>
      </c>
      <c r="H11" s="595">
        <v>35700</v>
      </c>
      <c r="I11" s="1329"/>
      <c r="J11" s="1263"/>
      <c r="K11" s="1127" t="str">
        <f>D11</f>
        <v>Суточные</v>
      </c>
      <c r="L11" s="1010"/>
      <c r="M11" s="1011"/>
      <c r="N11" s="1012">
        <f>H11-M11</f>
        <v>35700</v>
      </c>
      <c r="O11" s="1013"/>
      <c r="P11" s="510"/>
      <c r="Q11" s="510"/>
      <c r="R11" s="510"/>
      <c r="S11" s="510"/>
      <c r="T11" s="510"/>
      <c r="U11" s="510"/>
    </row>
    <row r="12" spans="1:21" s="506" customFormat="1" ht="13.5" thickBot="1" x14ac:dyDescent="0.25">
      <c r="A12" s="1334">
        <v>112</v>
      </c>
      <c r="B12" s="1358">
        <v>226</v>
      </c>
      <c r="C12" s="1335">
        <v>912</v>
      </c>
      <c r="D12" s="1361" t="s">
        <v>895</v>
      </c>
      <c r="E12" s="1315" t="s">
        <v>182</v>
      </c>
      <c r="F12" s="596">
        <v>9</v>
      </c>
      <c r="G12" s="606">
        <f>H12/F12</f>
        <v>34666.67</v>
      </c>
      <c r="H12" s="596">
        <v>312000</v>
      </c>
      <c r="I12" s="1329"/>
      <c r="J12" s="1264"/>
      <c r="K12" s="1127"/>
      <c r="L12" s="1126"/>
      <c r="M12" s="1011"/>
      <c r="N12" s="1012"/>
      <c r="O12" s="1013"/>
      <c r="P12" s="510"/>
      <c r="Q12" s="510"/>
      <c r="R12" s="510"/>
      <c r="S12" s="510"/>
      <c r="T12" s="510"/>
      <c r="U12" s="510"/>
    </row>
    <row r="13" spans="1:21" s="558" customFormat="1" ht="37.5" customHeight="1" thickBot="1" x14ac:dyDescent="0.25">
      <c r="A13" s="1725" t="s">
        <v>638</v>
      </c>
      <c r="B13" s="1725"/>
      <c r="C13" s="1725"/>
      <c r="D13" s="1725"/>
      <c r="E13" s="1725"/>
      <c r="F13" s="1244"/>
      <c r="G13" s="1244"/>
      <c r="H13" s="1363">
        <f>H17+H20+H23+H34+H41+H48+H14+H44+H31+AK55</f>
        <v>3200500</v>
      </c>
      <c r="I13" s="1300">
        <f>I17+I20+I23+I34+I41+I48+I14+I44+I31+AL55</f>
        <v>0</v>
      </c>
      <c r="J13" s="1244">
        <f>J17+J20+J23+J34+J41+J48+J14+J44+J31+AM55</f>
        <v>0</v>
      </c>
      <c r="K13" s="989"/>
      <c r="L13" s="989"/>
      <c r="M13" s="989"/>
      <c r="N13" s="989"/>
      <c r="O13" s="1017"/>
      <c r="P13" s="557"/>
      <c r="Q13" s="557"/>
      <c r="R13" s="557"/>
      <c r="S13" s="557"/>
      <c r="T13" s="557"/>
      <c r="U13" s="557"/>
    </row>
    <row r="14" spans="1:21" s="604" customFormat="1" ht="33.75" customHeight="1" x14ac:dyDescent="0.2">
      <c r="A14" s="592">
        <v>244</v>
      </c>
      <c r="B14" s="569">
        <v>222</v>
      </c>
      <c r="C14" s="592">
        <v>922</v>
      </c>
      <c r="D14" s="1338" t="s">
        <v>912</v>
      </c>
      <c r="E14" s="614"/>
      <c r="F14" s="602"/>
      <c r="G14" s="594"/>
      <c r="H14" s="594">
        <f>SUM(H15:H16)</f>
        <v>58500</v>
      </c>
      <c r="I14" s="1336">
        <f>SUM(I15:I16)</f>
        <v>0</v>
      </c>
      <c r="J14" s="1265">
        <f>SUM(J15:J16)</f>
        <v>0</v>
      </c>
      <c r="K14" s="1255"/>
      <c r="L14" s="990"/>
      <c r="M14" s="990"/>
      <c r="N14" s="991"/>
      <c r="O14" s="1018"/>
      <c r="P14" s="603"/>
      <c r="Q14" s="603"/>
      <c r="R14" s="603"/>
      <c r="S14" s="603"/>
      <c r="T14" s="603"/>
      <c r="U14" s="603"/>
    </row>
    <row r="15" spans="1:21" s="604" customFormat="1" ht="17.25" customHeight="1" x14ac:dyDescent="0.2">
      <c r="A15" s="612"/>
      <c r="B15" s="562"/>
      <c r="C15" s="612"/>
      <c r="D15" s="1369" t="s">
        <v>887</v>
      </c>
      <c r="E15" s="612" t="s">
        <v>748</v>
      </c>
      <c r="F15" s="613">
        <v>1</v>
      </c>
      <c r="G15" s="595">
        <f>(H15+I15)/F15</f>
        <v>25000</v>
      </c>
      <c r="H15" s="595">
        <v>25000</v>
      </c>
      <c r="I15" s="1336"/>
      <c r="J15" s="1266"/>
      <c r="K15" s="1256" t="str">
        <f>D15</f>
        <v xml:space="preserve">Транспортные расходы </v>
      </c>
      <c r="L15" s="978"/>
      <c r="M15" s="911"/>
      <c r="N15" s="986">
        <f>H15-M15</f>
        <v>25000</v>
      </c>
      <c r="O15" s="1016"/>
      <c r="P15" s="603"/>
      <c r="Q15" s="603"/>
      <c r="R15" s="603"/>
      <c r="S15" s="603"/>
      <c r="T15" s="603"/>
      <c r="U15" s="603"/>
    </row>
    <row r="16" spans="1:21" s="604" customFormat="1" ht="16.5" customHeight="1" thickBot="1" x14ac:dyDescent="0.25">
      <c r="A16" s="612"/>
      <c r="B16" s="562"/>
      <c r="C16" s="612"/>
      <c r="D16" s="1337" t="s">
        <v>903</v>
      </c>
      <c r="E16" s="612" t="s">
        <v>748</v>
      </c>
      <c r="F16" s="613">
        <v>1</v>
      </c>
      <c r="G16" s="595">
        <f>(H16+I16)/F16</f>
        <v>33500</v>
      </c>
      <c r="H16" s="1364">
        <v>33500</v>
      </c>
      <c r="I16" s="1336"/>
      <c r="J16" s="1267"/>
      <c r="K16" s="1257" t="str">
        <f>D16</f>
        <v xml:space="preserve">Расходы на организацию мероприятий </v>
      </c>
      <c r="L16" s="1047"/>
      <c r="M16" s="1046"/>
      <c r="N16" s="1045">
        <f>H16-M16</f>
        <v>33500</v>
      </c>
      <c r="O16" s="1016"/>
      <c r="P16" s="603"/>
      <c r="Q16" s="603"/>
      <c r="R16" s="603"/>
      <c r="S16" s="603"/>
      <c r="T16" s="603"/>
      <c r="U16" s="603"/>
    </row>
    <row r="17" spans="1:21" s="604" customFormat="1" ht="21" customHeight="1" x14ac:dyDescent="0.2">
      <c r="A17" s="1310">
        <v>244</v>
      </c>
      <c r="B17" s="1313">
        <v>221</v>
      </c>
      <c r="C17" s="1310">
        <v>925</v>
      </c>
      <c r="D17" s="589" t="s">
        <v>734</v>
      </c>
      <c r="E17" s="592"/>
      <c r="F17" s="602"/>
      <c r="G17" s="576"/>
      <c r="H17" s="576">
        <f>SUM(H18:H19)</f>
        <v>297000</v>
      </c>
      <c r="I17" s="1248">
        <f>SUM(I18:I19)</f>
        <v>0</v>
      </c>
      <c r="J17" s="1268">
        <f>SUM(J18:J19)</f>
        <v>0</v>
      </c>
      <c r="K17" s="1737" t="str">
        <f>D17</f>
        <v>Услуги связи</v>
      </c>
      <c r="L17" s="1704"/>
      <c r="M17" s="1733"/>
      <c r="N17" s="1730">
        <f>H17-M17+I17+J17</f>
        <v>297000</v>
      </c>
      <c r="O17" s="1016"/>
      <c r="P17" s="603"/>
      <c r="Q17" s="603"/>
      <c r="R17" s="603"/>
      <c r="S17" s="603"/>
      <c r="T17" s="603"/>
      <c r="U17" s="603"/>
    </row>
    <row r="18" spans="1:21" s="604" customFormat="1" ht="18" customHeight="1" x14ac:dyDescent="0.2">
      <c r="A18" s="566"/>
      <c r="B18" s="561"/>
      <c r="C18" s="566"/>
      <c r="D18" s="1370" t="s">
        <v>798</v>
      </c>
      <c r="E18" s="612" t="s">
        <v>181</v>
      </c>
      <c r="F18" s="613">
        <v>7</v>
      </c>
      <c r="G18" s="578">
        <f>(H18+I18)/F18</f>
        <v>1285.71</v>
      </c>
      <c r="H18" s="578">
        <v>9000</v>
      </c>
      <c r="I18" s="1248"/>
      <c r="J18" s="1268"/>
      <c r="K18" s="1738"/>
      <c r="L18" s="1706"/>
      <c r="M18" s="1734"/>
      <c r="N18" s="1731"/>
      <c r="O18" s="1016"/>
      <c r="P18" s="603"/>
      <c r="Q18" s="603"/>
      <c r="R18" s="603"/>
      <c r="S18" s="603"/>
      <c r="T18" s="603"/>
      <c r="U18" s="603"/>
    </row>
    <row r="19" spans="1:21" s="604" customFormat="1" ht="18" customHeight="1" thickBot="1" x14ac:dyDescent="0.25">
      <c r="A19" s="566"/>
      <c r="B19" s="561"/>
      <c r="C19" s="566"/>
      <c r="D19" s="1370" t="s">
        <v>799</v>
      </c>
      <c r="E19" s="612" t="s">
        <v>850</v>
      </c>
      <c r="F19" s="613">
        <v>12</v>
      </c>
      <c r="G19" s="578">
        <f>(H19+I19)/F19</f>
        <v>24000</v>
      </c>
      <c r="H19" s="578">
        <v>288000</v>
      </c>
      <c r="I19" s="1286"/>
      <c r="J19" s="1063"/>
      <c r="K19" s="1739"/>
      <c r="L19" s="1736"/>
      <c r="M19" s="1735"/>
      <c r="N19" s="1732"/>
      <c r="O19" s="1016"/>
      <c r="P19" s="603"/>
      <c r="Q19" s="603"/>
      <c r="R19" s="603"/>
      <c r="S19" s="603"/>
      <c r="T19" s="603"/>
      <c r="U19" s="603"/>
    </row>
    <row r="20" spans="1:21" s="604" customFormat="1" ht="51" customHeight="1" x14ac:dyDescent="0.2">
      <c r="A20" s="592">
        <v>244</v>
      </c>
      <c r="B20" s="569">
        <v>225</v>
      </c>
      <c r="C20" s="592">
        <v>941</v>
      </c>
      <c r="D20" s="1343" t="s">
        <v>881</v>
      </c>
      <c r="E20" s="614"/>
      <c r="F20" s="615"/>
      <c r="G20" s="616"/>
      <c r="H20" s="576">
        <f>SUM(H21:H22)</f>
        <v>86500</v>
      </c>
      <c r="I20" s="1248">
        <f>SUM(I21:I22)</f>
        <v>0</v>
      </c>
      <c r="J20" s="1061">
        <f>SUM(J21:J22)</f>
        <v>0</v>
      </c>
      <c r="K20" s="1161"/>
      <c r="L20" s="980"/>
      <c r="M20" s="977"/>
      <c r="N20" s="987"/>
      <c r="O20" s="1016"/>
      <c r="P20" s="603"/>
      <c r="Q20" s="603"/>
      <c r="R20" s="603"/>
      <c r="S20" s="603"/>
      <c r="T20" s="603"/>
      <c r="U20" s="603"/>
    </row>
    <row r="21" spans="1:21" s="604" customFormat="1" ht="16.5" customHeight="1" x14ac:dyDescent="0.2">
      <c r="A21" s="610"/>
      <c r="B21" s="568"/>
      <c r="C21" s="610"/>
      <c r="D21" s="1369" t="s">
        <v>801</v>
      </c>
      <c r="E21" s="612" t="s">
        <v>748</v>
      </c>
      <c r="F21" s="613">
        <v>1</v>
      </c>
      <c r="G21" s="578">
        <f>(H21+I21)/F21</f>
        <v>50000</v>
      </c>
      <c r="H21" s="578">
        <v>50000</v>
      </c>
      <c r="I21" s="1286"/>
      <c r="J21" s="1063"/>
      <c r="K21" s="1243" t="str">
        <f>D21</f>
        <v>Заправка картриджей</v>
      </c>
      <c r="L21" s="1102"/>
      <c r="M21" s="1101"/>
      <c r="N21" s="1100">
        <f>H21-M21</f>
        <v>50000</v>
      </c>
      <c r="O21" s="1016"/>
      <c r="P21" s="603"/>
      <c r="Q21" s="603"/>
      <c r="R21" s="603"/>
      <c r="S21" s="603"/>
      <c r="T21" s="603"/>
      <c r="U21" s="603"/>
    </row>
    <row r="22" spans="1:21" s="604" customFormat="1" ht="16.5" customHeight="1" thickBot="1" x14ac:dyDescent="0.25">
      <c r="A22" s="610"/>
      <c r="B22" s="568"/>
      <c r="C22" s="610"/>
      <c r="D22" s="1341" t="s">
        <v>800</v>
      </c>
      <c r="E22" s="612" t="s">
        <v>748</v>
      </c>
      <c r="F22" s="613">
        <v>1</v>
      </c>
      <c r="G22" s="578">
        <f>(H22+I22)/F22</f>
        <v>36500</v>
      </c>
      <c r="H22" s="1365">
        <f>70000-33500</f>
        <v>36500</v>
      </c>
      <c r="I22" s="1286"/>
      <c r="J22" s="1072"/>
      <c r="K22" s="1243"/>
      <c r="L22" s="1109"/>
      <c r="M22" s="1111"/>
      <c r="N22" s="1110"/>
      <c r="O22" s="1016"/>
      <c r="P22" s="603"/>
      <c r="Q22" s="603"/>
      <c r="R22" s="603"/>
      <c r="S22" s="603"/>
      <c r="T22" s="603"/>
      <c r="U22" s="603"/>
    </row>
    <row r="23" spans="1:21" s="604" customFormat="1" x14ac:dyDescent="0.2">
      <c r="A23" s="592">
        <v>244</v>
      </c>
      <c r="B23" s="569">
        <v>226</v>
      </c>
      <c r="C23" s="592" t="s">
        <v>754</v>
      </c>
      <c r="D23" s="589" t="s">
        <v>755</v>
      </c>
      <c r="E23" s="592"/>
      <c r="F23" s="602"/>
      <c r="G23" s="576"/>
      <c r="H23" s="576">
        <f>SUM(H24:H30)</f>
        <v>258000</v>
      </c>
      <c r="I23" s="1248">
        <f>SUM(I24:I30)</f>
        <v>0</v>
      </c>
      <c r="J23" s="1268">
        <f>SUM(J24:J30)</f>
        <v>0</v>
      </c>
      <c r="K23" s="1154"/>
      <c r="L23" s="923"/>
      <c r="M23" s="923"/>
      <c r="N23" s="992"/>
      <c r="O23" s="1016"/>
      <c r="P23" s="603"/>
      <c r="Q23" s="603"/>
      <c r="R23" s="603"/>
      <c r="S23" s="603"/>
      <c r="T23" s="603"/>
      <c r="U23" s="603"/>
    </row>
    <row r="24" spans="1:21" s="604" customFormat="1" ht="18.600000000000001" customHeight="1" x14ac:dyDescent="0.2">
      <c r="A24" s="612"/>
      <c r="B24" s="562"/>
      <c r="C24" s="612"/>
      <c r="D24" s="1341" t="s">
        <v>826</v>
      </c>
      <c r="E24" s="612" t="s">
        <v>748</v>
      </c>
      <c r="F24" s="613">
        <v>1</v>
      </c>
      <c r="G24" s="578">
        <f t="shared" ref="G24:G30" si="1">(H24+I24)/F24</f>
        <v>30000</v>
      </c>
      <c r="H24" s="578">
        <v>30000</v>
      </c>
      <c r="I24" s="1286"/>
      <c r="J24" s="1063"/>
      <c r="K24" s="1155" t="str">
        <f>D24</f>
        <v>Конкурсные взносы</v>
      </c>
      <c r="L24" s="978"/>
      <c r="M24" s="911"/>
      <c r="N24" s="986">
        <f>H24-M24+I24</f>
        <v>30000</v>
      </c>
      <c r="O24" s="1016"/>
      <c r="P24" s="603"/>
      <c r="Q24" s="603"/>
      <c r="R24" s="603"/>
      <c r="S24" s="603"/>
      <c r="T24" s="603"/>
      <c r="U24" s="603"/>
    </row>
    <row r="25" spans="1:21" s="604" customFormat="1" x14ac:dyDescent="0.2">
      <c r="A25" s="612"/>
      <c r="B25" s="562"/>
      <c r="C25" s="612"/>
      <c r="D25" s="1341" t="s">
        <v>859</v>
      </c>
      <c r="E25" s="612" t="s">
        <v>389</v>
      </c>
      <c r="F25" s="613">
        <v>1</v>
      </c>
      <c r="G25" s="578">
        <f t="shared" si="1"/>
        <v>60000</v>
      </c>
      <c r="H25" s="578">
        <v>60000</v>
      </c>
      <c r="I25" s="1286"/>
      <c r="J25" s="1063"/>
      <c r="K25" s="1155" t="str">
        <f t="shared" ref="K25:K30" si="2">D25</f>
        <v>Програмное обеспечение</v>
      </c>
      <c r="L25" s="978"/>
      <c r="M25" s="911"/>
      <c r="N25" s="986">
        <f t="shared" ref="N25:N30" si="3">H25-M25+I25</f>
        <v>60000</v>
      </c>
      <c r="O25" s="1016"/>
      <c r="P25" s="603"/>
      <c r="Q25" s="603"/>
      <c r="R25" s="603"/>
      <c r="S25" s="603"/>
      <c r="T25" s="603"/>
      <c r="U25" s="603"/>
    </row>
    <row r="26" spans="1:21" s="604" customFormat="1" x14ac:dyDescent="0.2">
      <c r="A26" s="612"/>
      <c r="B26" s="562"/>
      <c r="C26" s="612"/>
      <c r="D26" s="1341" t="s">
        <v>828</v>
      </c>
      <c r="E26" s="612" t="s">
        <v>389</v>
      </c>
      <c r="F26" s="613">
        <v>1</v>
      </c>
      <c r="G26" s="578">
        <f t="shared" si="1"/>
        <v>10000</v>
      </c>
      <c r="H26" s="578">
        <v>10000</v>
      </c>
      <c r="I26" s="1286"/>
      <c r="J26" s="1063"/>
      <c r="K26" s="1155" t="str">
        <f t="shared" si="2"/>
        <v>Сопровождение сайта</v>
      </c>
      <c r="L26" s="978"/>
      <c r="M26" s="911"/>
      <c r="N26" s="986">
        <f t="shared" si="3"/>
        <v>10000</v>
      </c>
      <c r="O26" s="1016"/>
      <c r="P26" s="603"/>
      <c r="Q26" s="603"/>
      <c r="R26" s="603"/>
      <c r="S26" s="603"/>
      <c r="T26" s="603"/>
      <c r="U26" s="603"/>
    </row>
    <row r="27" spans="1:21" s="604" customFormat="1" x14ac:dyDescent="0.2">
      <c r="A27" s="612"/>
      <c r="B27" s="562"/>
      <c r="C27" s="612"/>
      <c r="D27" s="1341" t="s">
        <v>829</v>
      </c>
      <c r="E27" s="612" t="s">
        <v>389</v>
      </c>
      <c r="F27" s="613">
        <v>2</v>
      </c>
      <c r="G27" s="578">
        <f t="shared" si="1"/>
        <v>15000</v>
      </c>
      <c r="H27" s="578">
        <v>30000</v>
      </c>
      <c r="I27" s="1286"/>
      <c r="J27" s="1063"/>
      <c r="K27" s="1155" t="str">
        <f t="shared" si="2"/>
        <v>Курсы повышения квалификации</v>
      </c>
      <c r="L27" s="978"/>
      <c r="M27" s="911"/>
      <c r="N27" s="986">
        <f>H27-M27+I27</f>
        <v>30000</v>
      </c>
      <c r="O27" s="1016"/>
      <c r="P27" s="603"/>
      <c r="Q27" s="603"/>
      <c r="R27" s="603"/>
      <c r="S27" s="603"/>
      <c r="T27" s="603"/>
      <c r="U27" s="603"/>
    </row>
    <row r="28" spans="1:21" s="604" customFormat="1" ht="25.5" x14ac:dyDescent="0.2">
      <c r="A28" s="612"/>
      <c r="B28" s="562"/>
      <c r="C28" s="612"/>
      <c r="D28" s="1341" t="s">
        <v>827</v>
      </c>
      <c r="E28" s="612" t="s">
        <v>748</v>
      </c>
      <c r="F28" s="613">
        <v>1</v>
      </c>
      <c r="G28" s="578">
        <f t="shared" si="1"/>
        <v>10000</v>
      </c>
      <c r="H28" s="578">
        <v>10000</v>
      </c>
      <c r="I28" s="1286"/>
      <c r="J28" s="1063"/>
      <c r="K28" s="1155" t="str">
        <f t="shared" si="2"/>
        <v>Обучение персонала «Предоставление услуг детям с ОВЗ»</v>
      </c>
      <c r="L28" s="978"/>
      <c r="M28" s="911"/>
      <c r="N28" s="986">
        <f>H28-M28+I28</f>
        <v>10000</v>
      </c>
      <c r="O28" s="1016"/>
      <c r="P28" s="603"/>
      <c r="Q28" s="603"/>
      <c r="R28" s="603"/>
      <c r="S28" s="603"/>
      <c r="T28" s="603"/>
      <c r="U28" s="603"/>
    </row>
    <row r="29" spans="1:21" s="604" customFormat="1" ht="25.5" x14ac:dyDescent="0.2">
      <c r="A29" s="612"/>
      <c r="B29" s="562"/>
      <c r="C29" s="612"/>
      <c r="D29" s="588" t="s">
        <v>830</v>
      </c>
      <c r="E29" s="612" t="s">
        <v>748</v>
      </c>
      <c r="F29" s="613">
        <v>1</v>
      </c>
      <c r="G29" s="578">
        <f t="shared" si="1"/>
        <v>13000</v>
      </c>
      <c r="H29" s="578">
        <v>13000</v>
      </c>
      <c r="I29" s="1286"/>
      <c r="J29" s="1063"/>
      <c r="K29" s="1155" t="str">
        <f t="shared" si="2"/>
        <v xml:space="preserve">Антивирусная программа - ежегодное продление </v>
      </c>
      <c r="L29" s="978"/>
      <c r="M29" s="911"/>
      <c r="N29" s="986">
        <f t="shared" si="3"/>
        <v>13000</v>
      </c>
      <c r="O29" s="1016"/>
      <c r="P29" s="603"/>
      <c r="Q29" s="603"/>
      <c r="R29" s="603"/>
      <c r="S29" s="603"/>
      <c r="T29" s="603"/>
      <c r="U29" s="603"/>
    </row>
    <row r="30" spans="1:21" s="604" customFormat="1" ht="13.5" thickBot="1" x14ac:dyDescent="0.25">
      <c r="A30" s="612"/>
      <c r="B30" s="562"/>
      <c r="C30" s="612"/>
      <c r="D30" s="588" t="s">
        <v>831</v>
      </c>
      <c r="E30" s="612" t="s">
        <v>748</v>
      </c>
      <c r="F30" s="613">
        <v>1</v>
      </c>
      <c r="G30" s="578">
        <f t="shared" si="1"/>
        <v>105000</v>
      </c>
      <c r="H30" s="578">
        <v>105000</v>
      </c>
      <c r="I30" s="1286"/>
      <c r="J30" s="1063"/>
      <c r="K30" s="1155" t="str">
        <f t="shared" si="2"/>
        <v>Консультант плюс</v>
      </c>
      <c r="L30" s="978"/>
      <c r="M30" s="911"/>
      <c r="N30" s="986">
        <f t="shared" si="3"/>
        <v>105000</v>
      </c>
      <c r="O30" s="1016"/>
      <c r="P30" s="603"/>
      <c r="Q30" s="603"/>
      <c r="R30" s="603"/>
      <c r="S30" s="603"/>
      <c r="T30" s="603"/>
      <c r="U30" s="603"/>
    </row>
    <row r="31" spans="1:21" s="604" customFormat="1" ht="27" customHeight="1" x14ac:dyDescent="0.2">
      <c r="A31" s="592"/>
      <c r="B31" s="569"/>
      <c r="C31" s="592">
        <v>955</v>
      </c>
      <c r="D31" s="589" t="s">
        <v>777</v>
      </c>
      <c r="E31" s="614"/>
      <c r="F31" s="615"/>
      <c r="G31" s="616"/>
      <c r="H31" s="576">
        <f>SUM(H32:H33)</f>
        <v>400000</v>
      </c>
      <c r="I31" s="1248">
        <f t="shared" ref="I31:J31" si="4">I33</f>
        <v>0</v>
      </c>
      <c r="J31" s="1061">
        <f t="shared" si="4"/>
        <v>0</v>
      </c>
      <c r="K31" s="1154"/>
      <c r="L31" s="923"/>
      <c r="M31" s="923"/>
      <c r="N31" s="992"/>
      <c r="O31" s="1726"/>
      <c r="P31" s="603"/>
      <c r="Q31" s="603"/>
      <c r="R31" s="603"/>
      <c r="S31" s="603"/>
      <c r="T31" s="603"/>
      <c r="U31" s="603"/>
    </row>
    <row r="32" spans="1:21" s="604" customFormat="1" x14ac:dyDescent="0.2">
      <c r="A32" s="612">
        <v>244</v>
      </c>
      <c r="B32" s="562">
        <v>225</v>
      </c>
      <c r="C32" s="612">
        <v>955</v>
      </c>
      <c r="D32" s="588" t="s">
        <v>813</v>
      </c>
      <c r="E32" s="612" t="s">
        <v>748</v>
      </c>
      <c r="F32" s="613">
        <v>1</v>
      </c>
      <c r="G32" s="578">
        <f>(H32+I32)/F32</f>
        <v>100000</v>
      </c>
      <c r="H32" s="578">
        <v>100000</v>
      </c>
      <c r="I32" s="1286"/>
      <c r="J32" s="1063"/>
      <c r="K32" s="1155" t="str">
        <f>D32</f>
        <v>Косметический ремонт помещений</v>
      </c>
      <c r="L32" s="978"/>
      <c r="M32" s="911"/>
      <c r="N32" s="986">
        <f>H32-M32</f>
        <v>100000</v>
      </c>
      <c r="O32" s="1726"/>
      <c r="P32" s="603"/>
      <c r="Q32" s="603"/>
      <c r="R32" s="603"/>
      <c r="S32" s="603"/>
      <c r="T32" s="603"/>
      <c r="U32" s="603"/>
    </row>
    <row r="33" spans="1:24" s="604" customFormat="1" ht="13.5" thickBot="1" x14ac:dyDescent="0.25">
      <c r="A33" s="612">
        <v>244</v>
      </c>
      <c r="B33" s="562">
        <v>225</v>
      </c>
      <c r="C33" s="612">
        <v>955</v>
      </c>
      <c r="D33" s="588" t="s">
        <v>832</v>
      </c>
      <c r="E33" s="612" t="s">
        <v>748</v>
      </c>
      <c r="F33" s="613">
        <v>1</v>
      </c>
      <c r="G33" s="578">
        <f>(H33+I33)/F33</f>
        <v>300000</v>
      </c>
      <c r="H33" s="578">
        <v>300000</v>
      </c>
      <c r="I33" s="1286"/>
      <c r="J33" s="1072"/>
      <c r="K33" s="1243" t="str">
        <f>D33</f>
        <v>Настройщик музыкальных инструментов</v>
      </c>
      <c r="L33" s="974"/>
      <c r="M33" s="973"/>
      <c r="N33" s="975">
        <f>H33-M33</f>
        <v>300000</v>
      </c>
      <c r="O33" s="1726"/>
      <c r="P33" s="603"/>
      <c r="Q33" s="603"/>
      <c r="R33" s="603"/>
      <c r="S33" s="603"/>
      <c r="T33" s="603"/>
      <c r="U33" s="603"/>
    </row>
    <row r="34" spans="1:24" s="604" customFormat="1" ht="38.25" x14ac:dyDescent="0.2">
      <c r="A34" s="592">
        <v>244</v>
      </c>
      <c r="B34" s="569" t="s">
        <v>758</v>
      </c>
      <c r="C34" s="592" t="s">
        <v>756</v>
      </c>
      <c r="D34" s="589" t="s">
        <v>757</v>
      </c>
      <c r="E34" s="592"/>
      <c r="F34" s="602"/>
      <c r="G34" s="576"/>
      <c r="H34" s="576">
        <f>SUM(H35:H40)</f>
        <v>201000</v>
      </c>
      <c r="I34" s="1248">
        <f>SUM(I35:I40)</f>
        <v>0</v>
      </c>
      <c r="J34" s="1268">
        <f>SUM(J35:J40)</f>
        <v>0</v>
      </c>
      <c r="K34" s="1154"/>
      <c r="L34" s="1043"/>
      <c r="M34" s="923"/>
      <c r="N34" s="992"/>
      <c r="O34" s="1016"/>
      <c r="P34" s="896"/>
      <c r="Q34" s="896"/>
      <c r="R34" s="896"/>
      <c r="S34" s="896"/>
      <c r="T34" s="896"/>
      <c r="U34" s="896"/>
      <c r="V34" s="905"/>
      <c r="W34" s="905"/>
      <c r="X34" s="905"/>
    </row>
    <row r="35" spans="1:24" s="604" customFormat="1" x14ac:dyDescent="0.2">
      <c r="A35" s="610"/>
      <c r="B35" s="568"/>
      <c r="C35" s="610"/>
      <c r="D35" s="588" t="s">
        <v>905</v>
      </c>
      <c r="E35" s="612" t="s">
        <v>748</v>
      </c>
      <c r="F35" s="613">
        <v>10</v>
      </c>
      <c r="G35" s="578">
        <f>(H35+I35)/F35</f>
        <v>5000</v>
      </c>
      <c r="H35" s="578">
        <v>50000</v>
      </c>
      <c r="I35" s="1248"/>
      <c r="J35" s="1268"/>
      <c r="K35" s="1258" t="str">
        <f>D35</f>
        <v>Конкурсные расходы</v>
      </c>
      <c r="L35" s="922"/>
      <c r="M35" s="922"/>
      <c r="N35" s="994">
        <f>H35-M35</f>
        <v>50000</v>
      </c>
      <c r="O35" s="1016"/>
      <c r="P35" s="896"/>
      <c r="Q35" s="896"/>
      <c r="R35" s="896"/>
      <c r="S35" s="896"/>
      <c r="T35" s="896"/>
      <c r="U35" s="896"/>
      <c r="V35" s="905"/>
      <c r="W35" s="905"/>
      <c r="X35" s="905"/>
    </row>
    <row r="36" spans="1:24" s="604" customFormat="1" x14ac:dyDescent="0.2">
      <c r="A36" s="610"/>
      <c r="B36" s="568"/>
      <c r="C36" s="610"/>
      <c r="D36" s="588" t="s">
        <v>888</v>
      </c>
      <c r="E36" s="612" t="s">
        <v>748</v>
      </c>
      <c r="F36" s="613">
        <v>1</v>
      </c>
      <c r="G36" s="578">
        <f t="shared" ref="G36:G40" si="5">(H36+I36)/F36</f>
        <v>30000</v>
      </c>
      <c r="H36" s="578">
        <v>30000</v>
      </c>
      <c r="I36" s="1248"/>
      <c r="J36" s="1268"/>
      <c r="K36" s="1155" t="str">
        <f>D36</f>
        <v>отчетный концерт</v>
      </c>
      <c r="L36" s="1717"/>
      <c r="M36" s="1695"/>
      <c r="N36" s="1693">
        <f>H34+I34-M36-H35</f>
        <v>151000</v>
      </c>
      <c r="O36" s="1016"/>
      <c r="P36" s="896"/>
      <c r="Q36" s="896"/>
      <c r="R36" s="896"/>
      <c r="S36" s="896"/>
      <c r="T36" s="896"/>
      <c r="U36" s="896"/>
      <c r="V36" s="905"/>
      <c r="W36" s="905"/>
      <c r="X36" s="905"/>
    </row>
    <row r="37" spans="1:24" s="604" customFormat="1" x14ac:dyDescent="0.2">
      <c r="A37" s="610"/>
      <c r="B37" s="568"/>
      <c r="C37" s="610"/>
      <c r="D37" s="588" t="s">
        <v>851</v>
      </c>
      <c r="E37" s="612" t="s">
        <v>748</v>
      </c>
      <c r="F37" s="613">
        <v>1</v>
      </c>
      <c r="G37" s="578">
        <f t="shared" si="5"/>
        <v>40000</v>
      </c>
      <c r="H37" s="578">
        <v>40000</v>
      </c>
      <c r="I37" s="1248"/>
      <c r="J37" s="1268"/>
      <c r="K37" s="1155" t="str">
        <f t="shared" ref="K37:K40" si="6">D37</f>
        <v>Выпускной вечер</v>
      </c>
      <c r="L37" s="1718"/>
      <c r="M37" s="1696"/>
      <c r="N37" s="1694"/>
      <c r="O37" s="1016"/>
      <c r="P37" s="896"/>
      <c r="Q37" s="1091"/>
      <c r="R37" s="896"/>
      <c r="S37" s="896"/>
      <c r="T37" s="896"/>
      <c r="U37" s="1091"/>
      <c r="V37" s="905"/>
      <c r="W37" s="1091"/>
      <c r="X37" s="905"/>
    </row>
    <row r="38" spans="1:24" s="604" customFormat="1" x14ac:dyDescent="0.2">
      <c r="A38" s="610"/>
      <c r="B38" s="568"/>
      <c r="C38" s="610"/>
      <c r="D38" s="588" t="s">
        <v>852</v>
      </c>
      <c r="E38" s="612" t="s">
        <v>748</v>
      </c>
      <c r="F38" s="613">
        <v>1</v>
      </c>
      <c r="G38" s="578">
        <f t="shared" si="5"/>
        <v>35000</v>
      </c>
      <c r="H38" s="578">
        <v>35000</v>
      </c>
      <c r="I38" s="1248"/>
      <c r="J38" s="1268"/>
      <c r="K38" s="1155" t="str">
        <f t="shared" si="6"/>
        <v>День работника культуры</v>
      </c>
      <c r="L38" s="1718"/>
      <c r="M38" s="1696"/>
      <c r="N38" s="1694"/>
      <c r="O38" s="1016"/>
      <c r="P38" s="896"/>
      <c r="Q38" s="896"/>
      <c r="R38" s="896"/>
      <c r="S38" s="896"/>
      <c r="T38" s="896"/>
      <c r="U38" s="896"/>
      <c r="V38" s="905"/>
      <c r="W38" s="905"/>
      <c r="X38" s="905"/>
    </row>
    <row r="39" spans="1:24" s="604" customFormat="1" x14ac:dyDescent="0.2">
      <c r="A39" s="610"/>
      <c r="B39" s="568"/>
      <c r="C39" s="610"/>
      <c r="D39" s="588" t="s">
        <v>853</v>
      </c>
      <c r="E39" s="612" t="s">
        <v>748</v>
      </c>
      <c r="F39" s="613">
        <v>1</v>
      </c>
      <c r="G39" s="578">
        <f t="shared" si="5"/>
        <v>20000</v>
      </c>
      <c r="H39" s="578">
        <v>20000</v>
      </c>
      <c r="I39" s="1248"/>
      <c r="J39" s="1268"/>
      <c r="K39" s="1155" t="str">
        <f t="shared" si="6"/>
        <v>Посвящение в первоклассники</v>
      </c>
      <c r="L39" s="1718"/>
      <c r="M39" s="1696"/>
      <c r="N39" s="1694"/>
      <c r="O39" s="1016"/>
      <c r="P39" s="896"/>
      <c r="Q39" s="896"/>
      <c r="R39" s="896"/>
      <c r="S39" s="896"/>
      <c r="T39" s="896"/>
      <c r="U39" s="896"/>
      <c r="V39" s="905"/>
      <c r="W39" s="905"/>
      <c r="X39" s="905"/>
    </row>
    <row r="40" spans="1:24" s="604" customFormat="1" ht="15.75" customHeight="1" thickBot="1" x14ac:dyDescent="0.25">
      <c r="A40" s="610"/>
      <c r="B40" s="568"/>
      <c r="C40" s="610"/>
      <c r="D40" s="588" t="s">
        <v>894</v>
      </c>
      <c r="E40" s="612" t="s">
        <v>748</v>
      </c>
      <c r="F40" s="613">
        <v>1</v>
      </c>
      <c r="G40" s="578">
        <f t="shared" si="5"/>
        <v>26000</v>
      </c>
      <c r="H40" s="578">
        <v>26000</v>
      </c>
      <c r="I40" s="1248"/>
      <c r="J40" s="1268"/>
      <c r="K40" s="1155" t="str">
        <f t="shared" si="6"/>
        <v>Расходы на праздничные программы</v>
      </c>
      <c r="L40" s="1718"/>
      <c r="M40" s="1696"/>
      <c r="N40" s="1694"/>
      <c r="O40" s="1016"/>
      <c r="P40" s="896"/>
      <c r="Q40" s="896"/>
      <c r="R40" s="896"/>
      <c r="S40" s="896"/>
      <c r="T40" s="896"/>
      <c r="U40" s="896"/>
      <c r="V40" s="905"/>
      <c r="W40" s="905"/>
      <c r="X40" s="905"/>
    </row>
    <row r="41" spans="1:24" s="560" customFormat="1" ht="105" customHeight="1" x14ac:dyDescent="0.2">
      <c r="A41" s="1373">
        <v>244</v>
      </c>
      <c r="B41" s="1374">
        <v>226</v>
      </c>
      <c r="C41" s="1310">
        <v>966</v>
      </c>
      <c r="D41" s="1348" t="s">
        <v>229</v>
      </c>
      <c r="E41" s="875"/>
      <c r="F41" s="849"/>
      <c r="G41" s="850"/>
      <c r="H41" s="837">
        <f>SUM(H42:H43)</f>
        <v>459000</v>
      </c>
      <c r="I41" s="1345">
        <f>SUM(I42:I42)</f>
        <v>0</v>
      </c>
      <c r="J41" s="1269">
        <f>SUM(J42:J42)</f>
        <v>0</v>
      </c>
      <c r="K41" s="1715" t="s">
        <v>858</v>
      </c>
      <c r="L41" s="1701"/>
      <c r="M41" s="1699"/>
      <c r="N41" s="1697" t="e">
        <f>H42+I42+#REF!+#REF!-M41</f>
        <v>#REF!</v>
      </c>
      <c r="O41" s="1015"/>
      <c r="P41" s="559"/>
      <c r="Q41" s="559"/>
      <c r="R41" s="559"/>
      <c r="S41" s="559"/>
      <c r="T41" s="559"/>
      <c r="U41" s="559"/>
    </row>
    <row r="42" spans="1:24" s="560" customFormat="1" x14ac:dyDescent="0.2">
      <c r="A42" s="1375"/>
      <c r="B42" s="1376"/>
      <c r="C42" s="1249"/>
      <c r="D42" s="1347" t="s">
        <v>901</v>
      </c>
      <c r="E42" s="870" t="s">
        <v>182</v>
      </c>
      <c r="F42" s="842">
        <v>12</v>
      </c>
      <c r="G42" s="838">
        <f t="shared" ref="G42:G43" si="7">(H42+I42)/F42</f>
        <v>24000</v>
      </c>
      <c r="H42" s="838">
        <f>208000+80000</f>
        <v>288000</v>
      </c>
      <c r="I42" s="1345"/>
      <c r="J42" s="1270"/>
      <c r="K42" s="1716"/>
      <c r="L42" s="1702"/>
      <c r="M42" s="1700"/>
      <c r="N42" s="1698"/>
      <c r="O42" s="1015"/>
      <c r="P42" s="559"/>
      <c r="Q42" s="559"/>
      <c r="R42" s="559"/>
      <c r="S42" s="559"/>
      <c r="T42" s="559"/>
      <c r="U42" s="559"/>
    </row>
    <row r="43" spans="1:24" s="604" customFormat="1" ht="13.5" thickBot="1" x14ac:dyDescent="0.25">
      <c r="A43" s="1249"/>
      <c r="B43" s="1339"/>
      <c r="C43" s="1249"/>
      <c r="D43" s="588" t="s">
        <v>894</v>
      </c>
      <c r="E43" s="612" t="s">
        <v>748</v>
      </c>
      <c r="F43" s="613">
        <v>1</v>
      </c>
      <c r="G43" s="578">
        <f t="shared" si="7"/>
        <v>171000</v>
      </c>
      <c r="H43" s="578">
        <v>171000</v>
      </c>
      <c r="I43" s="1286"/>
      <c r="J43" s="1072"/>
      <c r="K43" s="1242" t="str">
        <f>D43</f>
        <v>Расходы на праздничные программы</v>
      </c>
      <c r="L43" s="924"/>
      <c r="M43" s="924">
        <f>48+104600</f>
        <v>104648</v>
      </c>
      <c r="N43" s="995">
        <f>H43+I43-M43</f>
        <v>66352</v>
      </c>
      <c r="O43" s="1016"/>
      <c r="P43" s="603"/>
      <c r="Q43" s="603"/>
      <c r="R43" s="603"/>
      <c r="S43" s="603"/>
      <c r="T43" s="603"/>
      <c r="U43" s="603"/>
    </row>
    <row r="44" spans="1:24" s="604" customFormat="1" ht="12" customHeight="1" x14ac:dyDescent="0.2">
      <c r="A44" s="1310">
        <v>244</v>
      </c>
      <c r="B44" s="1313">
        <v>310</v>
      </c>
      <c r="C44" s="1310">
        <v>971</v>
      </c>
      <c r="D44" s="589" t="s">
        <v>776</v>
      </c>
      <c r="E44" s="614"/>
      <c r="F44" s="615"/>
      <c r="G44" s="616"/>
      <c r="H44" s="576">
        <f>SUM(H45:H47)</f>
        <v>634200</v>
      </c>
      <c r="I44" s="1248">
        <f t="shared" ref="I44:J44" si="8">SUM(I45:I47)</f>
        <v>0</v>
      </c>
      <c r="J44" s="1268">
        <f t="shared" si="8"/>
        <v>0</v>
      </c>
      <c r="K44" s="1154"/>
      <c r="L44" s="923"/>
      <c r="M44" s="923"/>
      <c r="N44" s="992"/>
      <c r="O44" s="1016"/>
      <c r="P44" s="603"/>
      <c r="Q44" s="603"/>
      <c r="R44" s="603"/>
      <c r="S44" s="603"/>
      <c r="T44" s="603"/>
      <c r="U44" s="603"/>
    </row>
    <row r="45" spans="1:24" s="604" customFormat="1" x14ac:dyDescent="0.2">
      <c r="A45" s="1249"/>
      <c r="B45" s="1339"/>
      <c r="C45" s="1249"/>
      <c r="D45" s="892" t="s">
        <v>911</v>
      </c>
      <c r="E45" s="612" t="s">
        <v>812</v>
      </c>
      <c r="F45" s="613">
        <f>4-1-1</f>
        <v>2</v>
      </c>
      <c r="G45" s="578">
        <f t="shared" ref="G45:G47" si="9">(H45+I45)/F45</f>
        <v>30000</v>
      </c>
      <c r="H45" s="578">
        <v>60000</v>
      </c>
      <c r="I45" s="1286"/>
      <c r="J45" s="1063"/>
      <c r="K45" s="1155" t="str">
        <f t="shared" ref="K45:K47" si="10">D45</f>
        <v>Мебель</v>
      </c>
      <c r="L45" s="1092"/>
      <c r="M45" s="1094"/>
      <c r="N45" s="1093"/>
      <c r="O45" s="1016"/>
      <c r="P45" s="603"/>
      <c r="Q45" s="603"/>
      <c r="R45" s="603"/>
      <c r="S45" s="603"/>
      <c r="T45" s="603"/>
      <c r="U45" s="603"/>
    </row>
    <row r="46" spans="1:24" s="604" customFormat="1" x14ac:dyDescent="0.2">
      <c r="A46" s="1249"/>
      <c r="B46" s="1339"/>
      <c r="C46" s="1249"/>
      <c r="D46" s="892" t="s">
        <v>802</v>
      </c>
      <c r="E46" s="612" t="s">
        <v>812</v>
      </c>
      <c r="F46" s="613">
        <v>3</v>
      </c>
      <c r="G46" s="578">
        <f t="shared" si="9"/>
        <v>69933.33</v>
      </c>
      <c r="H46" s="578">
        <v>209800</v>
      </c>
      <c r="I46" s="1286"/>
      <c r="J46" s="1063"/>
      <c r="K46" s="1155" t="str">
        <f t="shared" si="10"/>
        <v>Музыкальные инструменты</v>
      </c>
      <c r="L46" s="978"/>
      <c r="M46" s="911"/>
      <c r="N46" s="986">
        <f t="shared" ref="N46:N47" si="11">H46-M46+I46</f>
        <v>209800</v>
      </c>
      <c r="O46" s="1016"/>
      <c r="P46" s="603"/>
      <c r="Q46" s="603"/>
      <c r="R46" s="603"/>
      <c r="S46" s="603"/>
      <c r="T46" s="603"/>
      <c r="U46" s="603"/>
    </row>
    <row r="47" spans="1:24" s="604" customFormat="1" ht="13.5" thickBot="1" x14ac:dyDescent="0.25">
      <c r="A47" s="1249"/>
      <c r="B47" s="1339"/>
      <c r="C47" s="1249"/>
      <c r="D47" s="892" t="s">
        <v>803</v>
      </c>
      <c r="E47" s="612" t="s">
        <v>812</v>
      </c>
      <c r="F47" s="613">
        <v>3</v>
      </c>
      <c r="G47" s="578">
        <f t="shared" si="9"/>
        <v>121466.67</v>
      </c>
      <c r="H47" s="578">
        <v>364400</v>
      </c>
      <c r="I47" s="1286"/>
      <c r="J47" s="1063"/>
      <c r="K47" s="1155" t="str">
        <f t="shared" si="10"/>
        <v>Бытовая и оргтехника</v>
      </c>
      <c r="L47" s="978"/>
      <c r="M47" s="911"/>
      <c r="N47" s="986">
        <f t="shared" si="11"/>
        <v>364400</v>
      </c>
      <c r="O47" s="1016"/>
      <c r="P47" s="603"/>
      <c r="Q47" s="603"/>
      <c r="R47" s="603"/>
      <c r="S47" s="603"/>
      <c r="T47" s="603"/>
      <c r="U47" s="603"/>
    </row>
    <row r="48" spans="1:24" s="604" customFormat="1" ht="36.75" customHeight="1" x14ac:dyDescent="0.2">
      <c r="A48" s="592"/>
      <c r="B48" s="569"/>
      <c r="C48" s="592" t="s">
        <v>759</v>
      </c>
      <c r="D48" s="1350" t="s">
        <v>882</v>
      </c>
      <c r="E48" s="614"/>
      <c r="F48" s="615"/>
      <c r="G48" s="616"/>
      <c r="H48" s="576">
        <f>SUM(H49:H60)</f>
        <v>806300</v>
      </c>
      <c r="I48" s="1248">
        <f>I49+I59+I60</f>
        <v>0</v>
      </c>
      <c r="J48" s="575">
        <f>J49+J59+J60</f>
        <v>0</v>
      </c>
      <c r="K48" s="1703" t="str">
        <f>D48</f>
        <v>Приобретение (изготовление) расходных материалов (за исключением материалов предусмотренных для целей капитальных вложений, продуктов питания, ГСМ)</v>
      </c>
      <c r="L48" s="1704"/>
      <c r="M48" s="1696"/>
      <c r="N48" s="1694">
        <f>H48-M48+I48</f>
        <v>806300</v>
      </c>
      <c r="O48" s="1016"/>
      <c r="P48" s="603"/>
      <c r="Q48" s="603"/>
      <c r="R48" s="603"/>
      <c r="S48" s="603"/>
      <c r="T48" s="603"/>
      <c r="U48" s="603"/>
    </row>
    <row r="49" spans="1:21" s="604" customFormat="1" ht="26.25" customHeight="1" x14ac:dyDescent="0.2">
      <c r="A49" s="612">
        <v>244</v>
      </c>
      <c r="B49" s="562">
        <v>346</v>
      </c>
      <c r="C49" s="612">
        <v>981</v>
      </c>
      <c r="D49" s="588" t="s">
        <v>804</v>
      </c>
      <c r="E49" s="612" t="s">
        <v>748</v>
      </c>
      <c r="F49" s="613">
        <v>1</v>
      </c>
      <c r="G49" s="578">
        <f t="shared" ref="G49:G57" si="12">(H49+I49)/F49</f>
        <v>35000</v>
      </c>
      <c r="H49" s="578">
        <v>35000</v>
      </c>
      <c r="I49" s="1248"/>
      <c r="J49" s="1268"/>
      <c r="K49" s="1703"/>
      <c r="L49" s="1705"/>
      <c r="M49" s="1696"/>
      <c r="N49" s="1694"/>
      <c r="O49" s="1016"/>
      <c r="P49" s="603"/>
      <c r="Q49" s="603"/>
      <c r="R49" s="603"/>
      <c r="S49" s="603"/>
      <c r="T49" s="603"/>
      <c r="U49" s="603"/>
    </row>
    <row r="50" spans="1:21" s="604" customFormat="1" ht="25.5" x14ac:dyDescent="0.2">
      <c r="A50" s="612"/>
      <c r="B50" s="562"/>
      <c r="C50" s="612"/>
      <c r="D50" s="588" t="s">
        <v>805</v>
      </c>
      <c r="E50" s="612" t="s">
        <v>748</v>
      </c>
      <c r="F50" s="613">
        <v>1</v>
      </c>
      <c r="G50" s="578">
        <f t="shared" si="12"/>
        <v>70000</v>
      </c>
      <c r="H50" s="578">
        <v>70000</v>
      </c>
      <c r="I50" s="1248"/>
      <c r="J50" s="1268"/>
      <c r="K50" s="1703"/>
      <c r="L50" s="1706"/>
      <c r="M50" s="1696"/>
      <c r="N50" s="1694"/>
      <c r="O50" s="1016"/>
      <c r="P50" s="603"/>
      <c r="Q50" s="603"/>
      <c r="R50" s="603"/>
      <c r="S50" s="603"/>
      <c r="T50" s="603"/>
      <c r="U50" s="603"/>
    </row>
    <row r="51" spans="1:21" s="604" customFormat="1" x14ac:dyDescent="0.2">
      <c r="A51" s="612"/>
      <c r="B51" s="562"/>
      <c r="C51" s="612"/>
      <c r="D51" s="588" t="s">
        <v>806</v>
      </c>
      <c r="E51" s="612" t="s">
        <v>748</v>
      </c>
      <c r="F51" s="613">
        <v>1</v>
      </c>
      <c r="G51" s="578">
        <f t="shared" si="12"/>
        <v>140000</v>
      </c>
      <c r="H51" s="578">
        <v>140000</v>
      </c>
      <c r="I51" s="1248"/>
      <c r="J51" s="1268"/>
      <c r="K51" s="1703"/>
      <c r="L51" s="1706"/>
      <c r="M51" s="1696"/>
      <c r="N51" s="1694"/>
      <c r="O51" s="1016"/>
      <c r="P51" s="603"/>
      <c r="Q51" s="603"/>
      <c r="R51" s="603"/>
      <c r="S51" s="603"/>
      <c r="T51" s="603"/>
      <c r="U51" s="603"/>
    </row>
    <row r="52" spans="1:21" s="604" customFormat="1" x14ac:dyDescent="0.2">
      <c r="A52" s="612"/>
      <c r="B52" s="562"/>
      <c r="C52" s="612"/>
      <c r="D52" s="588" t="s">
        <v>807</v>
      </c>
      <c r="E52" s="612" t="s">
        <v>748</v>
      </c>
      <c r="F52" s="613">
        <v>1</v>
      </c>
      <c r="G52" s="578">
        <f t="shared" si="12"/>
        <v>60000</v>
      </c>
      <c r="H52" s="578">
        <v>60000</v>
      </c>
      <c r="I52" s="1248"/>
      <c r="J52" s="1268"/>
      <c r="K52" s="1703"/>
      <c r="L52" s="1706"/>
      <c r="M52" s="1696"/>
      <c r="N52" s="1694"/>
      <c r="O52" s="1016"/>
      <c r="P52" s="603"/>
      <c r="Q52" s="603"/>
      <c r="R52" s="603"/>
      <c r="S52" s="603"/>
      <c r="T52" s="603"/>
      <c r="U52" s="603"/>
    </row>
    <row r="53" spans="1:21" s="604" customFormat="1" x14ac:dyDescent="0.2">
      <c r="A53" s="612"/>
      <c r="B53" s="562"/>
      <c r="C53" s="612"/>
      <c r="D53" s="588" t="s">
        <v>808</v>
      </c>
      <c r="E53" s="612" t="s">
        <v>748</v>
      </c>
      <c r="F53" s="613">
        <v>1</v>
      </c>
      <c r="G53" s="578">
        <f t="shared" si="12"/>
        <v>20000</v>
      </c>
      <c r="H53" s="578">
        <v>20000</v>
      </c>
      <c r="I53" s="1248"/>
      <c r="J53" s="1268"/>
      <c r="K53" s="1703"/>
      <c r="L53" s="1706"/>
      <c r="M53" s="1696"/>
      <c r="N53" s="1694"/>
      <c r="O53" s="1016"/>
      <c r="P53" s="603"/>
      <c r="Q53" s="603"/>
      <c r="R53" s="603"/>
      <c r="S53" s="603"/>
      <c r="T53" s="603"/>
      <c r="U53" s="603"/>
    </row>
    <row r="54" spans="1:21" s="604" customFormat="1" ht="25.5" x14ac:dyDescent="0.2">
      <c r="A54" s="612"/>
      <c r="B54" s="562"/>
      <c r="C54" s="612"/>
      <c r="D54" s="588" t="s">
        <v>809</v>
      </c>
      <c r="E54" s="612" t="s">
        <v>748</v>
      </c>
      <c r="F54" s="613">
        <v>1</v>
      </c>
      <c r="G54" s="578">
        <f t="shared" si="12"/>
        <v>80000</v>
      </c>
      <c r="H54" s="578">
        <v>80000</v>
      </c>
      <c r="I54" s="1248"/>
      <c r="J54" s="1268"/>
      <c r="K54" s="1703"/>
      <c r="L54" s="1706"/>
      <c r="M54" s="1696"/>
      <c r="N54" s="1694"/>
      <c r="O54" s="1016"/>
      <c r="P54" s="603"/>
      <c r="Q54" s="603"/>
      <c r="R54" s="603"/>
      <c r="S54" s="603"/>
      <c r="T54" s="603"/>
      <c r="U54" s="603"/>
    </row>
    <row r="55" spans="1:21" s="604" customFormat="1" x14ac:dyDescent="0.2">
      <c r="A55" s="612"/>
      <c r="B55" s="562"/>
      <c r="C55" s="612"/>
      <c r="D55" s="588" t="s">
        <v>833</v>
      </c>
      <c r="E55" s="612" t="s">
        <v>748</v>
      </c>
      <c r="F55" s="613">
        <v>1</v>
      </c>
      <c r="G55" s="578">
        <f t="shared" si="12"/>
        <v>10000</v>
      </c>
      <c r="H55" s="578">
        <v>10000</v>
      </c>
      <c r="I55" s="1248"/>
      <c r="J55" s="1268"/>
      <c r="K55" s="1703"/>
      <c r="L55" s="1706"/>
      <c r="M55" s="1696"/>
      <c r="N55" s="1694"/>
      <c r="O55" s="1016"/>
      <c r="P55" s="603"/>
      <c r="Q55" s="603"/>
      <c r="R55" s="603"/>
      <c r="S55" s="603"/>
      <c r="T55" s="603"/>
      <c r="U55" s="603"/>
    </row>
    <row r="56" spans="1:21" s="604" customFormat="1" x14ac:dyDescent="0.2">
      <c r="A56" s="612"/>
      <c r="B56" s="562"/>
      <c r="C56" s="612"/>
      <c r="D56" s="588" t="s">
        <v>834</v>
      </c>
      <c r="E56" s="612" t="s">
        <v>748</v>
      </c>
      <c r="F56" s="613">
        <v>1</v>
      </c>
      <c r="G56" s="578">
        <f t="shared" si="12"/>
        <v>50000</v>
      </c>
      <c r="H56" s="578">
        <v>50000</v>
      </c>
      <c r="I56" s="1248"/>
      <c r="J56" s="1268"/>
      <c r="K56" s="1703"/>
      <c r="L56" s="1706"/>
      <c r="M56" s="1696"/>
      <c r="N56" s="1694"/>
      <c r="O56" s="1016"/>
      <c r="P56" s="603"/>
      <c r="Q56" s="603"/>
      <c r="R56" s="603"/>
      <c r="S56" s="603"/>
      <c r="T56" s="603"/>
      <c r="U56" s="603"/>
    </row>
    <row r="57" spans="1:21" s="604" customFormat="1" ht="38.25" x14ac:dyDescent="0.2">
      <c r="A57" s="612"/>
      <c r="B57" s="562"/>
      <c r="C57" s="612"/>
      <c r="D57" s="588" t="s">
        <v>810</v>
      </c>
      <c r="E57" s="612" t="s">
        <v>748</v>
      </c>
      <c r="F57" s="613">
        <v>1</v>
      </c>
      <c r="G57" s="578">
        <f t="shared" si="12"/>
        <v>80000</v>
      </c>
      <c r="H57" s="578">
        <v>80000</v>
      </c>
      <c r="I57" s="1248"/>
      <c r="J57" s="1268"/>
      <c r="K57" s="1703"/>
      <c r="L57" s="1706"/>
      <c r="M57" s="1696"/>
      <c r="N57" s="1694"/>
      <c r="O57" s="1016"/>
      <c r="P57" s="603"/>
      <c r="Q57" s="603"/>
      <c r="R57" s="603"/>
      <c r="S57" s="603"/>
      <c r="T57" s="603"/>
      <c r="U57" s="603"/>
    </row>
    <row r="58" spans="1:21" s="604" customFormat="1" ht="31.5" customHeight="1" thickBot="1" x14ac:dyDescent="0.25">
      <c r="A58" s="612"/>
      <c r="B58" s="562"/>
      <c r="C58" s="612"/>
      <c r="D58" s="588" t="s">
        <v>894</v>
      </c>
      <c r="E58" s="612" t="s">
        <v>748</v>
      </c>
      <c r="F58" s="613">
        <v>1</v>
      </c>
      <c r="G58" s="578">
        <f t="shared" ref="G58" si="13">H58/F58</f>
        <v>101300</v>
      </c>
      <c r="H58" s="578">
        <f>16000+85300</f>
        <v>101300</v>
      </c>
      <c r="I58" s="1248"/>
      <c r="J58" s="1268"/>
      <c r="K58" s="1703"/>
      <c r="L58" s="1706"/>
      <c r="M58" s="1696"/>
      <c r="N58" s="1694"/>
      <c r="O58" s="1016"/>
      <c r="P58" s="603"/>
      <c r="Q58" s="603"/>
      <c r="R58" s="603"/>
      <c r="S58" s="603"/>
      <c r="T58" s="603"/>
      <c r="U58" s="603"/>
    </row>
    <row r="59" spans="1:21" s="604" customFormat="1" ht="21" customHeight="1" x14ac:dyDescent="0.2">
      <c r="A59" s="612">
        <v>244</v>
      </c>
      <c r="B59" s="562">
        <v>345</v>
      </c>
      <c r="C59" s="612">
        <v>981</v>
      </c>
      <c r="D59" s="588" t="s">
        <v>906</v>
      </c>
      <c r="E59" s="612" t="s">
        <v>748</v>
      </c>
      <c r="F59" s="613">
        <v>1</v>
      </c>
      <c r="G59" s="578">
        <f t="shared" ref="G59:G60" si="14">(H59+I59)/F59</f>
        <v>50000</v>
      </c>
      <c r="H59" s="578">
        <v>50000</v>
      </c>
      <c r="I59" s="1248"/>
      <c r="J59" s="1164"/>
      <c r="K59" s="1713" t="str">
        <f>D59</f>
        <v>Приобретение мягкого инвентаря (CИЗ)</v>
      </c>
      <c r="L59" s="1711"/>
      <c r="M59" s="1709"/>
      <c r="N59" s="1707">
        <f>H59+I59-M59</f>
        <v>50000</v>
      </c>
      <c r="O59" s="1016"/>
      <c r="P59" s="603"/>
      <c r="Q59" s="603"/>
      <c r="R59" s="603"/>
      <c r="S59" s="603"/>
      <c r="T59" s="603"/>
      <c r="U59" s="603"/>
    </row>
    <row r="60" spans="1:21" s="604" customFormat="1" ht="25.5" customHeight="1" thickBot="1" x14ac:dyDescent="0.25">
      <c r="A60" s="605">
        <v>244</v>
      </c>
      <c r="B60" s="565">
        <v>344</v>
      </c>
      <c r="C60" s="605">
        <v>981</v>
      </c>
      <c r="D60" s="590" t="s">
        <v>907</v>
      </c>
      <c r="E60" s="605" t="s">
        <v>748</v>
      </c>
      <c r="F60" s="606">
        <v>1</v>
      </c>
      <c r="G60" s="1362">
        <f t="shared" si="14"/>
        <v>110000</v>
      </c>
      <c r="H60" s="580">
        <v>110000</v>
      </c>
      <c r="I60" s="1286"/>
      <c r="J60" s="1072"/>
      <c r="K60" s="1714"/>
      <c r="L60" s="1712"/>
      <c r="M60" s="1710"/>
      <c r="N60" s="1708"/>
      <c r="O60" s="1016"/>
      <c r="P60" s="603"/>
      <c r="Q60" s="603"/>
      <c r="R60" s="603"/>
      <c r="S60" s="603"/>
      <c r="T60" s="603"/>
      <c r="U60" s="603"/>
    </row>
    <row r="61" spans="1:21" s="604" customFormat="1" ht="42" customHeight="1" thickBot="1" x14ac:dyDescent="0.25">
      <c r="A61" s="1725" t="s">
        <v>736</v>
      </c>
      <c r="B61" s="1725"/>
      <c r="C61" s="1725"/>
      <c r="D61" s="1725"/>
      <c r="E61" s="1725"/>
      <c r="F61" s="1244"/>
      <c r="G61" s="1244"/>
      <c r="H61" s="1244">
        <f>H62+H64+H65</f>
        <v>31600</v>
      </c>
      <c r="I61" s="1300">
        <f t="shared" ref="I61:J61" si="15">I62+I64+I65</f>
        <v>0</v>
      </c>
      <c r="J61" s="1271">
        <f t="shared" si="15"/>
        <v>0</v>
      </c>
      <c r="K61" s="1006"/>
      <c r="L61" s="1006"/>
      <c r="M61" s="855"/>
      <c r="N61" s="988"/>
      <c r="O61" s="1016"/>
      <c r="P61" s="603"/>
      <c r="Q61" s="603"/>
      <c r="R61" s="603"/>
      <c r="S61" s="603"/>
      <c r="T61" s="603"/>
      <c r="U61" s="603"/>
    </row>
    <row r="62" spans="1:21" s="604" customFormat="1" x14ac:dyDescent="0.2">
      <c r="A62" s="618">
        <v>247</v>
      </c>
      <c r="B62" s="592">
        <v>223</v>
      </c>
      <c r="C62" s="569">
        <v>931</v>
      </c>
      <c r="D62" s="584" t="s">
        <v>741</v>
      </c>
      <c r="E62" s="563"/>
      <c r="F62" s="619"/>
      <c r="G62" s="575">
        <f>G63</f>
        <v>1767.68</v>
      </c>
      <c r="H62" s="576">
        <f>H63</f>
        <v>21000</v>
      </c>
      <c r="I62" s="1248">
        <f>I63</f>
        <v>0</v>
      </c>
      <c r="J62" s="1055">
        <f>J63</f>
        <v>0</v>
      </c>
      <c r="K62" s="1161"/>
      <c r="L62" s="980"/>
      <c r="M62" s="996"/>
      <c r="N62" s="997"/>
      <c r="O62" s="1016"/>
      <c r="P62" s="603"/>
      <c r="Q62" s="603"/>
      <c r="R62" s="603"/>
      <c r="S62" s="603"/>
      <c r="T62" s="603"/>
      <c r="U62" s="603"/>
    </row>
    <row r="63" spans="1:21" s="604" customFormat="1" ht="13.5" thickBot="1" x14ac:dyDescent="0.25">
      <c r="A63" s="1160"/>
      <c r="B63" s="608"/>
      <c r="C63" s="782"/>
      <c r="D63" s="495" t="s">
        <v>835</v>
      </c>
      <c r="E63" s="565" t="s">
        <v>744</v>
      </c>
      <c r="F63" s="596">
        <v>11.88</v>
      </c>
      <c r="G63" s="579">
        <f t="shared" ref="G63" si="16">(H63+I63)/F63</f>
        <v>1767.68</v>
      </c>
      <c r="H63" s="580">
        <v>21000</v>
      </c>
      <c r="I63" s="1248"/>
      <c r="J63" s="1067"/>
      <c r="K63" s="1162" t="str">
        <f>D63</f>
        <v>Горячее в/снабжение</v>
      </c>
      <c r="L63" s="979"/>
      <c r="M63" s="998"/>
      <c r="N63" s="999">
        <f>H63+I63-M63</f>
        <v>21000</v>
      </c>
      <c r="O63" s="1016"/>
      <c r="P63" s="603"/>
      <c r="Q63" s="603"/>
      <c r="R63" s="603"/>
      <c r="S63" s="603"/>
      <c r="T63" s="603"/>
      <c r="U63" s="603"/>
    </row>
    <row r="64" spans="1:21" s="604" customFormat="1" ht="13.5" thickBot="1" x14ac:dyDescent="0.25">
      <c r="A64" s="1349">
        <v>247</v>
      </c>
      <c r="B64" s="1249">
        <v>223</v>
      </c>
      <c r="C64" s="1339">
        <v>932</v>
      </c>
      <c r="D64" s="617" t="s">
        <v>738</v>
      </c>
      <c r="E64" s="568" t="s">
        <v>739</v>
      </c>
      <c r="F64" s="601">
        <v>1106</v>
      </c>
      <c r="G64" s="797">
        <f>(H64+I64)/F64</f>
        <v>4.88</v>
      </c>
      <c r="H64" s="611">
        <v>5400</v>
      </c>
      <c r="I64" s="775"/>
      <c r="J64" s="1065"/>
      <c r="K64" s="1163"/>
      <c r="L64" s="1105"/>
      <c r="M64" s="1000"/>
      <c r="N64" s="1001"/>
      <c r="O64" s="1016"/>
      <c r="P64" s="603"/>
      <c r="Q64" s="603"/>
      <c r="R64" s="603"/>
      <c r="S64" s="603"/>
      <c r="T64" s="603"/>
      <c r="U64" s="603"/>
    </row>
    <row r="65" spans="1:21" s="604" customFormat="1" ht="13.5" thickBot="1" x14ac:dyDescent="0.25">
      <c r="A65" s="1351">
        <v>247</v>
      </c>
      <c r="B65" s="867">
        <v>223</v>
      </c>
      <c r="C65" s="874" t="s">
        <v>740</v>
      </c>
      <c r="D65" s="1366" t="s">
        <v>741</v>
      </c>
      <c r="E65" s="891"/>
      <c r="F65" s="845"/>
      <c r="G65" s="1352">
        <f>G66+G67+G68</f>
        <v>57.78</v>
      </c>
      <c r="H65" s="837">
        <f t="shared" ref="H65:J65" si="17">H66+H67+H68</f>
        <v>5200</v>
      </c>
      <c r="I65" s="1248">
        <f t="shared" si="17"/>
        <v>0</v>
      </c>
      <c r="J65" s="1272">
        <f t="shared" si="17"/>
        <v>0</v>
      </c>
      <c r="K65" s="1061">
        <f t="shared" ref="K65" si="18">SUM(K68:K70)</f>
        <v>0</v>
      </c>
      <c r="L65" s="1105"/>
      <c r="M65" s="1000"/>
      <c r="N65" s="1001"/>
      <c r="O65" s="1016"/>
      <c r="P65" s="603"/>
      <c r="Q65" s="603"/>
      <c r="R65" s="603"/>
      <c r="S65" s="603"/>
      <c r="T65" s="603"/>
      <c r="U65" s="603"/>
    </row>
    <row r="66" spans="1:21" s="604" customFormat="1" ht="13.5" thickBot="1" x14ac:dyDescent="0.25">
      <c r="A66" s="1353"/>
      <c r="B66" s="868"/>
      <c r="C66" s="869"/>
      <c r="D66" s="1367" t="s">
        <v>742</v>
      </c>
      <c r="E66" s="876" t="s">
        <v>744</v>
      </c>
      <c r="F66" s="1368">
        <v>990.46</v>
      </c>
      <c r="G66" s="1346">
        <f t="shared" ref="G66:G68" si="19">(H66+I66+J66+K66)/F66</f>
        <v>0</v>
      </c>
      <c r="H66" s="578"/>
      <c r="I66" s="1248"/>
      <c r="J66" s="1057"/>
      <c r="K66" s="1063"/>
      <c r="L66" s="1105"/>
      <c r="M66" s="1000"/>
      <c r="N66" s="1001"/>
      <c r="O66" s="1016"/>
      <c r="P66" s="603"/>
      <c r="Q66" s="603"/>
      <c r="R66" s="603"/>
      <c r="S66" s="603"/>
      <c r="T66" s="603"/>
      <c r="U66" s="603"/>
    </row>
    <row r="67" spans="1:21" s="604" customFormat="1" ht="13.5" thickBot="1" x14ac:dyDescent="0.25">
      <c r="A67" s="1354"/>
      <c r="B67" s="870"/>
      <c r="C67" s="876"/>
      <c r="D67" s="1367" t="s">
        <v>394</v>
      </c>
      <c r="E67" s="876" t="s">
        <v>744</v>
      </c>
      <c r="F67" s="1368">
        <v>90</v>
      </c>
      <c r="G67" s="1346">
        <f>H67/F67</f>
        <v>57.78</v>
      </c>
      <c r="H67" s="578">
        <v>5200</v>
      </c>
      <c r="I67" s="1248"/>
      <c r="J67" s="1057"/>
      <c r="K67" s="1063"/>
      <c r="L67" s="1105"/>
      <c r="M67" s="1000"/>
      <c r="N67" s="1001"/>
      <c r="O67" s="1016"/>
      <c r="P67" s="603"/>
      <c r="Q67" s="603"/>
      <c r="R67" s="603"/>
      <c r="S67" s="603"/>
      <c r="T67" s="603"/>
      <c r="U67" s="603"/>
    </row>
    <row r="68" spans="1:21" s="604" customFormat="1" ht="13.5" thickBot="1" x14ac:dyDescent="0.25">
      <c r="A68" s="1355"/>
      <c r="B68" s="863"/>
      <c r="C68" s="877"/>
      <c r="D68" s="1178" t="s">
        <v>743</v>
      </c>
      <c r="E68" s="877" t="s">
        <v>744</v>
      </c>
      <c r="F68" s="1344">
        <f>F67*0.5</f>
        <v>45</v>
      </c>
      <c r="G68" s="1356">
        <f t="shared" si="19"/>
        <v>0</v>
      </c>
      <c r="H68" s="580"/>
      <c r="I68" s="1248"/>
      <c r="J68" s="1059"/>
      <c r="K68" s="1072"/>
      <c r="L68" s="976"/>
      <c r="M68" s="1000"/>
      <c r="N68" s="1001">
        <f>H68+I68-M68</f>
        <v>0</v>
      </c>
      <c r="O68" s="1016"/>
      <c r="P68" s="603"/>
      <c r="Q68" s="603"/>
      <c r="R68" s="603"/>
      <c r="S68" s="603"/>
      <c r="T68" s="603"/>
      <c r="U68" s="603"/>
    </row>
    <row r="69" spans="1:21" s="604" customFormat="1" ht="13.5" thickBot="1" x14ac:dyDescent="0.25">
      <c r="A69" s="1312"/>
      <c r="B69" s="1312"/>
      <c r="C69" s="1312"/>
      <c r="D69" s="958" t="s">
        <v>8</v>
      </c>
      <c r="E69" s="608"/>
      <c r="F69" s="609"/>
      <c r="G69" s="607"/>
      <c r="H69" s="607">
        <f>H61+H13+H9</f>
        <v>3579800</v>
      </c>
      <c r="I69" s="1301">
        <f>I61+I13+I9</f>
        <v>0</v>
      </c>
      <c r="J69" s="1273">
        <f>J61+J13+J9</f>
        <v>0</v>
      </c>
      <c r="K69" s="1006"/>
      <c r="L69" s="1006"/>
      <c r="M69" s="855"/>
      <c r="N69" s="988"/>
      <c r="O69" s="1016"/>
      <c r="P69" s="603"/>
      <c r="Q69" s="603"/>
      <c r="R69" s="603"/>
      <c r="S69" s="603"/>
      <c r="T69" s="603"/>
      <c r="U69" s="603"/>
    </row>
    <row r="70" spans="1:21" ht="36.75" customHeight="1" x14ac:dyDescent="0.2"/>
    <row r="71" spans="1:21" ht="11.25" customHeight="1" x14ac:dyDescent="0.2">
      <c r="A71" s="1722"/>
      <c r="B71" s="1722"/>
      <c r="C71" s="1722"/>
      <c r="E71" s="675"/>
      <c r="H71" s="693">
        <f>'поступления 810 25-27'!E60</f>
        <v>3579800</v>
      </c>
      <c r="I71" s="693">
        <f>'поступления 810 25-27'!F60</f>
        <v>0</v>
      </c>
      <c r="J71" s="693">
        <f>'поступления 810 25-27'!E56</f>
        <v>0</v>
      </c>
    </row>
    <row r="72" spans="1:21" ht="12" customHeight="1" x14ac:dyDescent="0.2">
      <c r="A72" s="1722" t="s">
        <v>128</v>
      </c>
      <c r="B72" s="1722"/>
      <c r="C72" s="1722"/>
      <c r="E72" s="675"/>
      <c r="H72" s="693">
        <f>H71-H69</f>
        <v>0</v>
      </c>
      <c r="I72" s="693">
        <f t="shared" ref="I72:J72" si="20">I71-I69</f>
        <v>0</v>
      </c>
      <c r="J72" s="693">
        <f t="shared" si="20"/>
        <v>0</v>
      </c>
    </row>
    <row r="73" spans="1:21" ht="12.75" customHeight="1" x14ac:dyDescent="0.2">
      <c r="A73" s="1723" t="s">
        <v>789</v>
      </c>
      <c r="B73" s="1723"/>
      <c r="C73" s="1723"/>
      <c r="D73" s="1723"/>
    </row>
    <row r="77" spans="1:21" x14ac:dyDescent="0.2">
      <c r="A77" s="1044"/>
    </row>
    <row r="78" spans="1:21" x14ac:dyDescent="0.2">
      <c r="A78" s="1044"/>
    </row>
    <row r="80" spans="1:21" x14ac:dyDescent="0.2">
      <c r="A80" s="930"/>
      <c r="B80" s="930"/>
      <c r="C80" s="930"/>
    </row>
    <row r="81" spans="1:4" x14ac:dyDescent="0.2">
      <c r="A81" s="930"/>
      <c r="B81" s="930"/>
      <c r="C81" s="930"/>
    </row>
    <row r="82" spans="1:4" x14ac:dyDescent="0.2">
      <c r="A82" s="1104"/>
      <c r="B82" s="930"/>
      <c r="C82" s="930"/>
    </row>
    <row r="83" spans="1:4" x14ac:dyDescent="0.2">
      <c r="A83" s="1099"/>
      <c r="B83" s="954"/>
      <c r="C83" s="954"/>
      <c r="D83" s="957"/>
    </row>
    <row r="84" spans="1:4" x14ac:dyDescent="0.2">
      <c r="A84" s="954"/>
      <c r="B84" s="954"/>
      <c r="C84" s="954"/>
      <c r="D84" s="957"/>
    </row>
    <row r="85" spans="1:4" ht="15.6" customHeight="1" x14ac:dyDescent="0.2">
      <c r="A85" s="1099"/>
      <c r="C85" s="954"/>
      <c r="D85" s="957"/>
    </row>
    <row r="86" spans="1:4" x14ac:dyDescent="0.2">
      <c r="A86" s="1103"/>
      <c r="B86" s="954"/>
      <c r="C86" s="954"/>
      <c r="D86" s="957"/>
    </row>
    <row r="87" spans="1:4" x14ac:dyDescent="0.2">
      <c r="A87" s="954"/>
      <c r="B87" s="954"/>
      <c r="C87" s="954"/>
      <c r="D87" s="957"/>
    </row>
    <row r="88" spans="1:4" x14ac:dyDescent="0.2">
      <c r="A88" s="954"/>
      <c r="B88" s="954"/>
      <c r="C88" s="954"/>
      <c r="D88" s="957"/>
    </row>
    <row r="89" spans="1:4" x14ac:dyDescent="0.2">
      <c r="A89" s="954"/>
      <c r="B89" s="954"/>
      <c r="C89" s="954"/>
      <c r="D89" s="957"/>
    </row>
    <row r="90" spans="1:4" x14ac:dyDescent="0.2">
      <c r="A90" s="954"/>
      <c r="B90" s="954"/>
      <c r="C90" s="954"/>
      <c r="D90" s="957"/>
    </row>
    <row r="91" spans="1:4" x14ac:dyDescent="0.2">
      <c r="A91" s="934"/>
      <c r="B91" s="954"/>
      <c r="C91" s="954"/>
      <c r="D91" s="957"/>
    </row>
    <row r="92" spans="1:4" x14ac:dyDescent="0.2">
      <c r="A92" s="954"/>
      <c r="B92" s="954"/>
      <c r="C92" s="954"/>
      <c r="D92" s="957"/>
    </row>
    <row r="93" spans="1:4" x14ac:dyDescent="0.2">
      <c r="A93" s="937"/>
    </row>
    <row r="94" spans="1:4" x14ac:dyDescent="0.2">
      <c r="A94" s="938"/>
    </row>
    <row r="101" spans="1:2" x14ac:dyDescent="0.2">
      <c r="A101" s="929"/>
    </row>
    <row r="102" spans="1:2" x14ac:dyDescent="0.2">
      <c r="A102" s="921"/>
      <c r="B102" s="930"/>
    </row>
    <row r="103" spans="1:2" x14ac:dyDescent="0.2">
      <c r="A103" s="927"/>
    </row>
    <row r="104" spans="1:2" x14ac:dyDescent="0.2">
      <c r="A104" s="928"/>
    </row>
    <row r="201" spans="26:26" x14ac:dyDescent="0.2">
      <c r="Z201">
        <f>X201*Y201</f>
        <v>0</v>
      </c>
    </row>
  </sheetData>
  <autoFilter ref="A8:Z69"/>
  <mergeCells count="45">
    <mergeCell ref="O31:O33"/>
    <mergeCell ref="O5:O8"/>
    <mergeCell ref="A2:I2"/>
    <mergeCell ref="A1:I1"/>
    <mergeCell ref="A13:E13"/>
    <mergeCell ref="J7:J8"/>
    <mergeCell ref="N17:N19"/>
    <mergeCell ref="M17:M19"/>
    <mergeCell ref="L17:L19"/>
    <mergeCell ref="K17:K19"/>
    <mergeCell ref="G6:G8"/>
    <mergeCell ref="N5:N8"/>
    <mergeCell ref="M5:M8"/>
    <mergeCell ref="L5:L8"/>
    <mergeCell ref="K5:K8"/>
    <mergeCell ref="F5:H5"/>
    <mergeCell ref="A72:C72"/>
    <mergeCell ref="A73:D73"/>
    <mergeCell ref="A9:E9"/>
    <mergeCell ref="A61:E61"/>
    <mergeCell ref="A71:C71"/>
    <mergeCell ref="K41:K42"/>
    <mergeCell ref="L36:L40"/>
    <mergeCell ref="A3:I3"/>
    <mergeCell ref="A5:A8"/>
    <mergeCell ref="B5:B8"/>
    <mergeCell ref="C5:C8"/>
    <mergeCell ref="D5:D8"/>
    <mergeCell ref="E5:E8"/>
    <mergeCell ref="F6:F8"/>
    <mergeCell ref="H7:H8"/>
    <mergeCell ref="I7:I8"/>
    <mergeCell ref="K48:K58"/>
    <mergeCell ref="N48:N58"/>
    <mergeCell ref="M48:M58"/>
    <mergeCell ref="L48:L58"/>
    <mergeCell ref="N59:N60"/>
    <mergeCell ref="M59:M60"/>
    <mergeCell ref="L59:L60"/>
    <mergeCell ref="K59:K60"/>
    <mergeCell ref="N36:N40"/>
    <mergeCell ref="M36:M40"/>
    <mergeCell ref="N41:N42"/>
    <mergeCell ref="M41:M42"/>
    <mergeCell ref="L41:L42"/>
  </mergeCells>
  <pageMargins left="1.1811023622047245" right="0.59055118110236227" top="0.35433070866141736" bottom="0.27559055118110237" header="0.31496062992125984" footer="0.31496062992125984"/>
  <pageSetup paperSize="9" scale="30" fitToHeight="0" orientation="portrait" r:id="rId1"/>
  <rowBreaks count="1" manualBreakCount="1">
    <brk id="7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pageSetUpPr fitToPage="1"/>
  </sheetPr>
  <dimension ref="A1:Y187"/>
  <sheetViews>
    <sheetView view="pageBreakPreview" zoomScaleNormal="100" zoomScaleSheetLayoutView="100" workbookViewId="0">
      <pane ySplit="8" topLeftCell="A9" activePane="bottomLeft" state="frozen"/>
      <selection pane="bottomLeft" activeCell="A5" sqref="A5:I54"/>
    </sheetView>
  </sheetViews>
  <sheetFormatPr defaultRowHeight="12.75" x14ac:dyDescent="0.2"/>
  <cols>
    <col min="1" max="3" width="9.33203125" style="492"/>
    <col min="4" max="4" width="34.83203125" style="586" customWidth="1"/>
    <col min="5" max="5" width="14" style="634" customWidth="1"/>
    <col min="6" max="6" width="12" style="600" customWidth="1"/>
    <col min="7" max="7" width="16" style="582" customWidth="1"/>
    <col min="8" max="8" width="21.33203125" style="663" customWidth="1"/>
    <col min="9" max="9" width="15.1640625" style="663" customWidth="1"/>
    <col min="10" max="10" width="27.83203125" style="948" customWidth="1"/>
    <col min="11" max="11" width="67" style="948" customWidth="1"/>
    <col min="12" max="12" width="15.83203125" style="509" customWidth="1"/>
    <col min="13" max="13" width="13.1640625" style="509" customWidth="1"/>
    <col min="14" max="20" width="9.33203125" style="509"/>
  </cols>
  <sheetData>
    <row r="1" spans="1:20" ht="16.5" x14ac:dyDescent="0.2">
      <c r="A1" s="1642" t="s">
        <v>824</v>
      </c>
      <c r="B1" s="1642"/>
      <c r="C1" s="1642"/>
      <c r="D1" s="1642"/>
      <c r="E1" s="1642"/>
      <c r="F1" s="1642"/>
      <c r="G1" s="1642"/>
      <c r="H1" s="1642"/>
      <c r="I1" s="1642"/>
    </row>
    <row r="2" spans="1:20" ht="16.5" x14ac:dyDescent="0.2">
      <c r="A2" s="1642" t="s">
        <v>815</v>
      </c>
      <c r="B2" s="1642"/>
      <c r="C2" s="1642"/>
      <c r="D2" s="1642"/>
      <c r="E2" s="1642"/>
      <c r="F2" s="1642"/>
      <c r="G2" s="1642"/>
      <c r="H2" s="1642"/>
      <c r="I2" s="1642"/>
    </row>
    <row r="3" spans="1:20" s="506" customFormat="1" ht="15.75" x14ac:dyDescent="0.2">
      <c r="A3" s="1644" t="s">
        <v>819</v>
      </c>
      <c r="B3" s="1644"/>
      <c r="C3" s="1644"/>
      <c r="D3" s="1644"/>
      <c r="E3" s="1644"/>
      <c r="F3" s="1644"/>
      <c r="G3" s="1644"/>
      <c r="H3" s="1644"/>
      <c r="I3" s="1644"/>
      <c r="J3" s="949"/>
      <c r="K3" s="949"/>
      <c r="L3" s="510"/>
      <c r="M3" s="510"/>
      <c r="N3" s="510"/>
      <c r="O3" s="510"/>
      <c r="P3" s="510"/>
      <c r="Q3" s="510"/>
      <c r="R3" s="510"/>
      <c r="S3" s="510"/>
      <c r="T3" s="510"/>
    </row>
    <row r="4" spans="1:20" s="506" customFormat="1" ht="16.5" thickBot="1" x14ac:dyDescent="0.25">
      <c r="A4" s="800"/>
      <c r="B4" s="800"/>
      <c r="C4" s="800"/>
      <c r="D4" s="800"/>
      <c r="E4" s="800"/>
      <c r="F4" s="800"/>
      <c r="G4" s="800"/>
      <c r="H4" s="800"/>
      <c r="I4" s="800"/>
      <c r="J4" s="949"/>
      <c r="K4" s="949"/>
      <c r="L4" s="510"/>
      <c r="M4" s="510"/>
      <c r="N4" s="510"/>
      <c r="O4" s="510"/>
      <c r="P4" s="510"/>
      <c r="Q4" s="510"/>
      <c r="R4" s="510"/>
      <c r="S4" s="510"/>
      <c r="T4" s="510"/>
    </row>
    <row r="5" spans="1:20" s="506" customFormat="1" x14ac:dyDescent="0.2">
      <c r="A5" s="1650" t="s">
        <v>647</v>
      </c>
      <c r="B5" s="1650" t="s">
        <v>347</v>
      </c>
      <c r="C5" s="1650" t="s">
        <v>707</v>
      </c>
      <c r="D5" s="1648" t="s">
        <v>175</v>
      </c>
      <c r="E5" s="1778" t="s">
        <v>180</v>
      </c>
      <c r="F5" s="1752" t="s">
        <v>461</v>
      </c>
      <c r="G5" s="1753"/>
      <c r="H5" s="1753"/>
      <c r="I5" s="1754"/>
      <c r="J5" s="1755" t="s">
        <v>175</v>
      </c>
      <c r="K5" s="1758" t="s">
        <v>855</v>
      </c>
      <c r="L5" s="1761" t="s">
        <v>81</v>
      </c>
      <c r="M5" s="1764" t="s">
        <v>857</v>
      </c>
      <c r="N5" s="510"/>
      <c r="O5" s="510"/>
      <c r="P5" s="510"/>
      <c r="Q5" s="510"/>
      <c r="R5" s="510"/>
      <c r="S5" s="510"/>
      <c r="T5" s="510"/>
    </row>
    <row r="6" spans="1:20" s="506" customFormat="1" x14ac:dyDescent="0.2">
      <c r="A6" s="1650"/>
      <c r="B6" s="1650"/>
      <c r="C6" s="1650"/>
      <c r="D6" s="1648"/>
      <c r="E6" s="1657"/>
      <c r="F6" s="1661" t="s">
        <v>713</v>
      </c>
      <c r="G6" s="1779" t="s">
        <v>710</v>
      </c>
      <c r="H6" s="1659" t="s">
        <v>716</v>
      </c>
      <c r="I6" s="1659"/>
      <c r="J6" s="1756"/>
      <c r="K6" s="1759"/>
      <c r="L6" s="1762"/>
      <c r="M6" s="1762"/>
      <c r="N6" s="510"/>
      <c r="O6" s="510"/>
      <c r="P6" s="510"/>
      <c r="Q6" s="510"/>
      <c r="R6" s="510"/>
      <c r="S6" s="510"/>
      <c r="T6" s="510"/>
    </row>
    <row r="7" spans="1:20" s="506" customFormat="1" x14ac:dyDescent="0.2">
      <c r="A7" s="1650"/>
      <c r="B7" s="1650"/>
      <c r="C7" s="1650"/>
      <c r="D7" s="1648"/>
      <c r="E7" s="1657"/>
      <c r="F7" s="1662"/>
      <c r="G7" s="1747"/>
      <c r="H7" s="1784" t="s">
        <v>298</v>
      </c>
      <c r="I7" s="1669" t="s">
        <v>771</v>
      </c>
      <c r="J7" s="1756"/>
      <c r="K7" s="1759"/>
      <c r="L7" s="1762"/>
      <c r="M7" s="1762"/>
      <c r="N7" s="510"/>
      <c r="O7" s="510"/>
      <c r="P7" s="510"/>
      <c r="Q7" s="510"/>
      <c r="R7" s="510"/>
      <c r="S7" s="510"/>
      <c r="T7" s="510"/>
    </row>
    <row r="8" spans="1:20" s="507" customFormat="1" ht="13.5" thickBot="1" x14ac:dyDescent="0.25">
      <c r="A8" s="1650"/>
      <c r="B8" s="1650"/>
      <c r="C8" s="1650"/>
      <c r="D8" s="1648"/>
      <c r="E8" s="1658"/>
      <c r="F8" s="1663"/>
      <c r="G8" s="1780"/>
      <c r="H8" s="1785"/>
      <c r="I8" s="1670"/>
      <c r="J8" s="1757"/>
      <c r="K8" s="1760"/>
      <c r="L8" s="1763"/>
      <c r="M8" s="1763"/>
      <c r="N8" s="511"/>
      <c r="O8" s="511"/>
      <c r="P8" s="511"/>
      <c r="Q8" s="511"/>
      <c r="R8" s="511"/>
      <c r="S8" s="511"/>
      <c r="T8" s="511"/>
    </row>
    <row r="9" spans="1:20" s="507" customFormat="1" ht="39.75" hidden="1" customHeight="1" x14ac:dyDescent="0.2">
      <c r="A9" s="1786" t="s">
        <v>463</v>
      </c>
      <c r="B9" s="1786"/>
      <c r="C9" s="1786"/>
      <c r="D9" s="1786"/>
      <c r="E9" s="1786"/>
      <c r="F9" s="801"/>
      <c r="G9" s="801"/>
      <c r="H9" s="802">
        <f>H10</f>
        <v>0</v>
      </c>
      <c r="I9" s="803">
        <f t="shared" ref="I9" si="0">I10</f>
        <v>0</v>
      </c>
      <c r="J9" s="1317"/>
      <c r="K9" s="955"/>
      <c r="L9" s="939"/>
      <c r="M9" s="939"/>
      <c r="N9" s="511"/>
      <c r="O9" s="511"/>
      <c r="P9" s="511"/>
      <c r="Q9" s="511"/>
      <c r="R9" s="511"/>
      <c r="S9" s="511"/>
      <c r="T9" s="511"/>
    </row>
    <row r="10" spans="1:20" s="344" customFormat="1" hidden="1" x14ac:dyDescent="0.2">
      <c r="A10" s="1310"/>
      <c r="B10" s="1310"/>
      <c r="C10" s="1310">
        <v>991</v>
      </c>
      <c r="D10" s="584" t="s">
        <v>703</v>
      </c>
      <c r="E10" s="569"/>
      <c r="F10" s="594"/>
      <c r="G10" s="576"/>
      <c r="H10" s="656">
        <f>H11+H12</f>
        <v>0</v>
      </c>
      <c r="I10" s="657">
        <f t="shared" ref="I10" si="1">I11+I12</f>
        <v>0</v>
      </c>
      <c r="J10" s="1318"/>
      <c r="K10" s="950"/>
      <c r="L10" s="942"/>
      <c r="M10" s="942"/>
      <c r="N10" s="570"/>
      <c r="O10" s="570"/>
      <c r="P10" s="570"/>
      <c r="Q10" s="570"/>
      <c r="R10" s="570"/>
      <c r="S10" s="570"/>
      <c r="T10" s="570"/>
    </row>
    <row r="11" spans="1:20" s="506" customFormat="1" ht="25.5" hidden="1" x14ac:dyDescent="0.2">
      <c r="A11" s="566">
        <v>111</v>
      </c>
      <c r="B11" s="566">
        <v>211</v>
      </c>
      <c r="C11" s="566">
        <v>991</v>
      </c>
      <c r="D11" s="585" t="s">
        <v>733</v>
      </c>
      <c r="E11" s="562" t="s">
        <v>714</v>
      </c>
      <c r="F11" s="595">
        <v>5</v>
      </c>
      <c r="G11" s="578">
        <f t="shared" ref="G11" si="2">(H11+I11)/F11</f>
        <v>0</v>
      </c>
      <c r="H11" s="658"/>
      <c r="I11" s="659"/>
      <c r="J11" s="1319" t="str">
        <f>D11</f>
        <v>Фонд оплаты</v>
      </c>
      <c r="K11" s="947" t="s">
        <v>863</v>
      </c>
      <c r="L11" s="943">
        <v>153539.92000000001</v>
      </c>
      <c r="M11" s="943">
        <f t="shared" ref="M11:M16" si="3">H11+I11-L11</f>
        <v>-153539.92000000001</v>
      </c>
      <c r="N11" s="510"/>
      <c r="O11" s="510"/>
      <c r="P11" s="510"/>
      <c r="Q11" s="510"/>
      <c r="R11" s="510"/>
      <c r="S11" s="510"/>
      <c r="T11" s="510"/>
    </row>
    <row r="12" spans="1:20" s="506" customFormat="1" ht="25.5" hidden="1" x14ac:dyDescent="0.2">
      <c r="A12" s="567">
        <v>111</v>
      </c>
      <c r="B12" s="567">
        <v>266</v>
      </c>
      <c r="C12" s="567">
        <v>991</v>
      </c>
      <c r="D12" s="495" t="s">
        <v>708</v>
      </c>
      <c r="E12" s="565" t="s">
        <v>714</v>
      </c>
      <c r="F12" s="596"/>
      <c r="G12" s="578" t="e">
        <f>(H12+I12)/F12</f>
        <v>#DIV/0!</v>
      </c>
      <c r="H12" s="660"/>
      <c r="I12" s="661"/>
      <c r="J12" s="1319" t="str">
        <f>D12</f>
        <v>Оплата листов временной нетрудоспособности</v>
      </c>
      <c r="K12" s="947"/>
      <c r="L12" s="943"/>
      <c r="M12" s="943">
        <f t="shared" si="3"/>
        <v>0</v>
      </c>
      <c r="N12" s="510"/>
      <c r="O12" s="510"/>
      <c r="P12" s="510"/>
      <c r="Q12" s="510"/>
      <c r="R12" s="510"/>
      <c r="S12" s="510"/>
      <c r="T12" s="510"/>
    </row>
    <row r="13" spans="1:20" ht="36.75" hidden="1" customHeight="1" x14ac:dyDescent="0.2">
      <c r="A13" s="1765" t="s">
        <v>465</v>
      </c>
      <c r="B13" s="1766"/>
      <c r="C13" s="1766"/>
      <c r="D13" s="1766"/>
      <c r="E13" s="1767"/>
      <c r="F13" s="804"/>
      <c r="G13" s="805"/>
      <c r="H13" s="806">
        <f>H15+H14+H16</f>
        <v>0</v>
      </c>
      <c r="I13" s="808">
        <f>I15+I14+I16</f>
        <v>0</v>
      </c>
      <c r="J13" s="1320"/>
      <c r="K13" s="951"/>
      <c r="L13" s="944"/>
      <c r="M13" s="944"/>
    </row>
    <row r="14" spans="1:20" s="506" customFormat="1" ht="57" hidden="1" customHeight="1" x14ac:dyDescent="0.2">
      <c r="A14" s="1310">
        <v>112</v>
      </c>
      <c r="B14" s="1310">
        <v>212</v>
      </c>
      <c r="C14" s="1310">
        <v>912</v>
      </c>
      <c r="D14" s="1107" t="s">
        <v>880</v>
      </c>
      <c r="E14" s="592" t="s">
        <v>769</v>
      </c>
      <c r="F14" s="602"/>
      <c r="G14" s="576" t="e">
        <f>(H14+I14)/F14</f>
        <v>#DIV/0!</v>
      </c>
      <c r="H14" s="698"/>
      <c r="I14" s="1325"/>
      <c r="J14" s="1319" t="str">
        <f t="shared" ref="J14:J16" si="4">D14</f>
        <v>Расходы, связанные со служебными командировками и учебными отпусками работников (сотрудников)</v>
      </c>
      <c r="K14" s="956"/>
      <c r="L14" s="943"/>
      <c r="M14" s="943">
        <f t="shared" si="3"/>
        <v>0</v>
      </c>
      <c r="N14" s="510"/>
      <c r="O14" s="510"/>
      <c r="P14" s="510"/>
      <c r="Q14" s="510"/>
      <c r="R14" s="510"/>
      <c r="S14" s="510"/>
      <c r="T14" s="510"/>
    </row>
    <row r="15" spans="1:20" s="604" customFormat="1" ht="63.75" hidden="1" x14ac:dyDescent="0.2">
      <c r="A15" s="1308">
        <v>112</v>
      </c>
      <c r="B15" s="1308">
        <v>214</v>
      </c>
      <c r="C15" s="1310">
        <v>912</v>
      </c>
      <c r="D15" s="1107" t="s">
        <v>880</v>
      </c>
      <c r="E15" s="626" t="s">
        <v>182</v>
      </c>
      <c r="F15" s="597"/>
      <c r="G15" s="576" t="e">
        <f>(H15+I15)/F15</f>
        <v>#DIV/0!</v>
      </c>
      <c r="H15" s="798">
        <v>0</v>
      </c>
      <c r="I15" s="698">
        <v>0</v>
      </c>
      <c r="J15" s="1321" t="str">
        <f t="shared" si="4"/>
        <v>Расходы, связанные со служебными командировками и учебными отпусками работников (сотрудников)</v>
      </c>
      <c r="K15" s="952"/>
      <c r="L15" s="945"/>
      <c r="M15" s="945">
        <f t="shared" si="3"/>
        <v>0</v>
      </c>
      <c r="N15" s="603"/>
      <c r="O15" s="603"/>
      <c r="P15" s="603"/>
      <c r="Q15" s="603"/>
      <c r="R15" s="603"/>
      <c r="S15" s="603"/>
      <c r="T15" s="603"/>
    </row>
    <row r="16" spans="1:20" s="604" customFormat="1" ht="63.75" hidden="1" x14ac:dyDescent="0.2">
      <c r="A16" s="1308">
        <v>112</v>
      </c>
      <c r="B16" s="1308">
        <v>226</v>
      </c>
      <c r="C16" s="1308">
        <v>912</v>
      </c>
      <c r="D16" s="1107" t="s">
        <v>880</v>
      </c>
      <c r="E16" s="626" t="s">
        <v>769</v>
      </c>
      <c r="F16" s="597"/>
      <c r="G16" s="576" t="e">
        <f t="shared" ref="G16" si="5">(H16+I16)/F16</f>
        <v>#DIV/0!</v>
      </c>
      <c r="H16" s="696"/>
      <c r="I16" s="696"/>
      <c r="J16" s="1321" t="str">
        <f t="shared" si="4"/>
        <v>Расходы, связанные со служебными командировками и учебными отпусками работников (сотрудников)</v>
      </c>
      <c r="K16" s="952"/>
      <c r="L16" s="945"/>
      <c r="M16" s="945">
        <f t="shared" si="3"/>
        <v>0</v>
      </c>
      <c r="N16" s="603"/>
      <c r="O16" s="603"/>
      <c r="P16" s="603"/>
      <c r="Q16" s="603"/>
      <c r="R16" s="603"/>
      <c r="S16" s="603"/>
      <c r="T16" s="603"/>
    </row>
    <row r="17" spans="1:20" s="558" customFormat="1" ht="55.5" hidden="1" customHeight="1" x14ac:dyDescent="0.2">
      <c r="A17" s="1772" t="s">
        <v>637</v>
      </c>
      <c r="B17" s="1773"/>
      <c r="C17" s="1773"/>
      <c r="D17" s="1773"/>
      <c r="E17" s="1774"/>
      <c r="F17" s="801"/>
      <c r="G17" s="801"/>
      <c r="H17" s="803">
        <f>H18</f>
        <v>0</v>
      </c>
      <c r="I17" s="803">
        <f t="shared" ref="I17:I18" si="6">I18</f>
        <v>0</v>
      </c>
      <c r="J17" s="1322"/>
      <c r="K17" s="953"/>
      <c r="L17" s="946"/>
      <c r="M17" s="946"/>
      <c r="N17" s="557"/>
      <c r="O17" s="557"/>
      <c r="P17" s="557"/>
      <c r="Q17" s="557"/>
      <c r="R17" s="557"/>
      <c r="S17" s="557"/>
      <c r="T17" s="557"/>
    </row>
    <row r="18" spans="1:20" s="604" customFormat="1" ht="165.75" hidden="1" x14ac:dyDescent="0.2">
      <c r="A18" s="1770">
        <v>113</v>
      </c>
      <c r="B18" s="1769">
        <v>226</v>
      </c>
      <c r="C18" s="1776">
        <v>966</v>
      </c>
      <c r="D18" s="623" t="s">
        <v>229</v>
      </c>
      <c r="E18" s="569"/>
      <c r="F18" s="594"/>
      <c r="G18" s="575"/>
      <c r="H18" s="657">
        <f>H19</f>
        <v>0</v>
      </c>
      <c r="I18" s="1325">
        <f t="shared" si="6"/>
        <v>0</v>
      </c>
      <c r="J18" s="1321"/>
      <c r="K18" s="952"/>
      <c r="L18" s="945"/>
      <c r="M18" s="945"/>
      <c r="N18" s="603"/>
      <c r="O18" s="603"/>
      <c r="P18" s="603"/>
      <c r="Q18" s="603"/>
      <c r="R18" s="603"/>
      <c r="S18" s="603"/>
      <c r="T18" s="603"/>
    </row>
    <row r="19" spans="1:20" s="604" customFormat="1" ht="25.5" hidden="1" x14ac:dyDescent="0.2">
      <c r="A19" s="1770"/>
      <c r="B19" s="1775"/>
      <c r="C19" s="1777"/>
      <c r="D19" s="495" t="s">
        <v>694</v>
      </c>
      <c r="E19" s="565" t="s">
        <v>748</v>
      </c>
      <c r="F19" s="596"/>
      <c r="G19" s="579" t="e">
        <f t="shared" ref="G19" si="7">(H19+I19)/F19</f>
        <v>#DIV/0!</v>
      </c>
      <c r="H19" s="661"/>
      <c r="I19" s="1326"/>
      <c r="J19" s="1321" t="str">
        <f>D19</f>
        <v>Расходы на организацию мероприятий</v>
      </c>
      <c r="K19" s="952"/>
      <c r="L19" s="945"/>
      <c r="M19" s="945">
        <f t="shared" ref="M19" si="8">H19+I19-L19</f>
        <v>0</v>
      </c>
      <c r="N19" s="603"/>
      <c r="O19" s="603"/>
      <c r="P19" s="603"/>
      <c r="Q19" s="603"/>
      <c r="R19" s="603"/>
      <c r="S19" s="603"/>
      <c r="T19" s="603"/>
    </row>
    <row r="20" spans="1:20" s="507" customFormat="1" ht="44.25" hidden="1" customHeight="1" x14ac:dyDescent="0.2">
      <c r="A20" s="1765" t="s">
        <v>715</v>
      </c>
      <c r="B20" s="1766"/>
      <c r="C20" s="1766"/>
      <c r="D20" s="1766"/>
      <c r="E20" s="1767"/>
      <c r="F20" s="807"/>
      <c r="G20" s="807"/>
      <c r="H20" s="808">
        <f>H21</f>
        <v>0</v>
      </c>
      <c r="I20" s="808">
        <f t="shared" ref="I20" si="9">I21</f>
        <v>0</v>
      </c>
      <c r="J20" s="1323"/>
      <c r="K20" s="940"/>
      <c r="L20" s="941"/>
      <c r="M20" s="941"/>
      <c r="N20" s="511"/>
      <c r="O20" s="511"/>
      <c r="P20" s="511"/>
      <c r="Q20" s="511"/>
      <c r="R20" s="511"/>
      <c r="S20" s="511"/>
      <c r="T20" s="511"/>
    </row>
    <row r="21" spans="1:20" s="507" customFormat="1" ht="13.5" hidden="1" customHeight="1" x14ac:dyDescent="0.2">
      <c r="A21" s="592"/>
      <c r="B21" s="568"/>
      <c r="C21" s="592">
        <v>992</v>
      </c>
      <c r="D21" s="571" t="s">
        <v>709</v>
      </c>
      <c r="E21" s="591"/>
      <c r="F21" s="594"/>
      <c r="G21" s="599"/>
      <c r="H21" s="670">
        <f>SUM(H22:H22)</f>
        <v>0</v>
      </c>
      <c r="I21" s="670">
        <f>SUM(I22:I22)</f>
        <v>0</v>
      </c>
      <c r="J21" s="1323"/>
      <c r="K21" s="940"/>
      <c r="L21" s="941"/>
      <c r="M21" s="941"/>
      <c r="N21" s="511"/>
      <c r="O21" s="511"/>
      <c r="P21" s="511"/>
      <c r="Q21" s="511"/>
      <c r="R21" s="511"/>
      <c r="S21" s="511"/>
      <c r="T21" s="511"/>
    </row>
    <row r="22" spans="1:20" s="506" customFormat="1" ht="25.5" hidden="1" x14ac:dyDescent="0.2">
      <c r="A22" s="566">
        <v>119</v>
      </c>
      <c r="B22" s="561">
        <v>213</v>
      </c>
      <c r="C22" s="566">
        <v>992</v>
      </c>
      <c r="D22" s="585" t="s">
        <v>709</v>
      </c>
      <c r="E22" s="562" t="s">
        <v>714</v>
      </c>
      <c r="F22" s="595">
        <v>5</v>
      </c>
      <c r="G22" s="577">
        <f t="shared" ref="G22" si="10">(H22+I22)/F22</f>
        <v>0</v>
      </c>
      <c r="H22" s="659"/>
      <c r="I22" s="659"/>
      <c r="J22" s="1319" t="str">
        <f>D22</f>
        <v>Начисления на выплаты по оплате труда</v>
      </c>
      <c r="K22" s="947" t="s">
        <v>864</v>
      </c>
      <c r="L22" s="943">
        <v>46369.06</v>
      </c>
      <c r="M22" s="943">
        <f t="shared" ref="M22" si="11">H22+I22-L22</f>
        <v>-46369.06</v>
      </c>
      <c r="N22" s="510"/>
      <c r="O22" s="510"/>
      <c r="P22" s="510"/>
      <c r="Q22" s="510"/>
      <c r="R22" s="510"/>
      <c r="S22" s="510"/>
      <c r="T22" s="510"/>
    </row>
    <row r="23" spans="1:20" ht="37.5" hidden="1" customHeight="1" x14ac:dyDescent="0.2">
      <c r="A23" s="1781" t="s">
        <v>638</v>
      </c>
      <c r="B23" s="1782"/>
      <c r="C23" s="1782"/>
      <c r="D23" s="1782"/>
      <c r="E23" s="1783"/>
      <c r="F23" s="805"/>
      <c r="G23" s="805"/>
      <c r="H23" s="809">
        <f>H25+H27+H33+H35+H39+H46+H48+H52+H24+H44+H50</f>
        <v>0</v>
      </c>
      <c r="I23" s="809">
        <f>I25+I27+I33+I35+I39+I46+I48+I52+I24+I44+I50</f>
        <v>0</v>
      </c>
      <c r="J23" s="1320"/>
      <c r="K23" s="951"/>
      <c r="L23" s="944"/>
      <c r="M23" s="944"/>
    </row>
    <row r="24" spans="1:20" s="506" customFormat="1" ht="37.5" hidden="1" customHeight="1" x14ac:dyDescent="0.2">
      <c r="A24" s="626">
        <v>244</v>
      </c>
      <c r="B24" s="626">
        <v>222</v>
      </c>
      <c r="C24" s="626">
        <v>922</v>
      </c>
      <c r="D24" s="810" t="s">
        <v>772</v>
      </c>
      <c r="E24" s="626" t="s">
        <v>773</v>
      </c>
      <c r="F24" s="811"/>
      <c r="G24" s="597" t="e">
        <f t="shared" ref="G24:G26" si="12">(H24+I24)/F24</f>
        <v>#DIV/0!</v>
      </c>
      <c r="H24" s="695"/>
      <c r="I24" s="662"/>
      <c r="J24" s="1319" t="str">
        <f>D24</f>
        <v xml:space="preserve">Прочие транспортные расходы (оплата по счету проезда участника) </v>
      </c>
      <c r="K24" s="947"/>
      <c r="L24" s="943"/>
      <c r="M24" s="943">
        <f t="shared" ref="M24" si="13">H24+I24-L24</f>
        <v>0</v>
      </c>
      <c r="N24" s="510"/>
      <c r="O24" s="510"/>
      <c r="P24" s="510"/>
      <c r="Q24" s="510"/>
      <c r="R24" s="510"/>
      <c r="S24" s="510"/>
      <c r="T24" s="510"/>
    </row>
    <row r="25" spans="1:20" s="604" customFormat="1" hidden="1" x14ac:dyDescent="0.2">
      <c r="A25" s="1310">
        <v>244</v>
      </c>
      <c r="B25" s="1313">
        <v>221</v>
      </c>
      <c r="C25" s="1310">
        <v>925</v>
      </c>
      <c r="D25" s="589" t="s">
        <v>734</v>
      </c>
      <c r="E25" s="592"/>
      <c r="F25" s="602"/>
      <c r="G25" s="576"/>
      <c r="H25" s="657">
        <f>H26</f>
        <v>0</v>
      </c>
      <c r="I25" s="657">
        <f t="shared" ref="I25" si="14">I26</f>
        <v>0</v>
      </c>
      <c r="J25" s="1321"/>
      <c r="K25" s="952"/>
      <c r="L25" s="945"/>
      <c r="M25" s="945"/>
      <c r="N25" s="603"/>
      <c r="O25" s="603"/>
      <c r="P25" s="603"/>
      <c r="Q25" s="603"/>
      <c r="R25" s="603"/>
      <c r="S25" s="603"/>
      <c r="T25" s="603"/>
    </row>
    <row r="26" spans="1:20" s="604" customFormat="1" ht="51" hidden="1" x14ac:dyDescent="0.2">
      <c r="A26" s="567"/>
      <c r="B26" s="564"/>
      <c r="C26" s="567">
        <v>925</v>
      </c>
      <c r="D26" s="590" t="s">
        <v>384</v>
      </c>
      <c r="E26" s="605" t="s">
        <v>181</v>
      </c>
      <c r="F26" s="606"/>
      <c r="G26" s="580" t="e">
        <f t="shared" si="12"/>
        <v>#DIV/0!</v>
      </c>
      <c r="H26" s="661"/>
      <c r="I26" s="1327"/>
      <c r="J26" s="1321" t="str">
        <f>D26</f>
        <v>Абонентский номер индивидуального пользования (основной телефонный аппарат)</v>
      </c>
      <c r="K26" s="952"/>
      <c r="L26" s="945"/>
      <c r="M26" s="945">
        <f t="shared" ref="M26" si="15">H26+I26-L26</f>
        <v>0</v>
      </c>
      <c r="N26" s="603"/>
      <c r="O26" s="603"/>
      <c r="P26" s="603"/>
      <c r="Q26" s="603"/>
      <c r="R26" s="603"/>
      <c r="S26" s="603"/>
      <c r="T26" s="603"/>
    </row>
    <row r="27" spans="1:20" s="604" customFormat="1" ht="25.5" hidden="1" x14ac:dyDescent="0.2">
      <c r="A27" s="592">
        <v>244</v>
      </c>
      <c r="B27" s="569">
        <v>225</v>
      </c>
      <c r="C27" s="592">
        <v>941</v>
      </c>
      <c r="D27" s="589" t="s">
        <v>749</v>
      </c>
      <c r="E27" s="614"/>
      <c r="F27" s="615"/>
      <c r="G27" s="616"/>
      <c r="H27" s="657">
        <f>SUM(H28:H32)</f>
        <v>0</v>
      </c>
      <c r="I27" s="1325">
        <f t="shared" ref="I27" si="16">SUM(I28:I32)</f>
        <v>0</v>
      </c>
      <c r="J27" s="1321"/>
      <c r="K27" s="952"/>
      <c r="L27" s="945"/>
      <c r="M27" s="945"/>
      <c r="N27" s="603"/>
      <c r="O27" s="603"/>
      <c r="P27" s="603"/>
      <c r="Q27" s="603"/>
      <c r="R27" s="603"/>
      <c r="S27" s="603"/>
      <c r="T27" s="603"/>
    </row>
    <row r="28" spans="1:20" s="604" customFormat="1" ht="25.5" hidden="1" x14ac:dyDescent="0.2">
      <c r="A28" s="612"/>
      <c r="B28" s="562"/>
      <c r="C28" s="612"/>
      <c r="D28" s="588" t="s">
        <v>396</v>
      </c>
      <c r="E28" s="612" t="s">
        <v>748</v>
      </c>
      <c r="F28" s="613"/>
      <c r="G28" s="578" t="e">
        <f t="shared" ref="G28:G51" si="17">(H28+I28)/F28</f>
        <v>#DIV/0!</v>
      </c>
      <c r="H28" s="659"/>
      <c r="I28" s="1328"/>
      <c r="J28" s="1321" t="str">
        <f t="shared" ref="J28:J32" si="18">D28</f>
        <v>Техническое обслуживание  АУТВР</v>
      </c>
      <c r="K28" s="952"/>
      <c r="L28" s="945"/>
      <c r="M28" s="945">
        <f t="shared" ref="M28:M53" si="19">H28+I28-L28</f>
        <v>0</v>
      </c>
      <c r="N28" s="603"/>
      <c r="O28" s="603"/>
      <c r="P28" s="603"/>
      <c r="Q28" s="603"/>
      <c r="R28" s="603"/>
      <c r="S28" s="603"/>
      <c r="T28" s="603"/>
    </row>
    <row r="29" spans="1:20" s="604" customFormat="1" ht="25.5" hidden="1" x14ac:dyDescent="0.2">
      <c r="A29" s="612"/>
      <c r="B29" s="562"/>
      <c r="C29" s="612"/>
      <c r="D29" s="588" t="s">
        <v>397</v>
      </c>
      <c r="E29" s="612" t="s">
        <v>748</v>
      </c>
      <c r="F29" s="613"/>
      <c r="G29" s="578" t="e">
        <f t="shared" si="17"/>
        <v>#DIV/0!</v>
      </c>
      <c r="H29" s="659"/>
      <c r="I29" s="1328"/>
      <c r="J29" s="1321" t="str">
        <f t="shared" si="18"/>
        <v>Дератизация и дезинсекция помещений</v>
      </c>
      <c r="K29" s="952"/>
      <c r="L29" s="945"/>
      <c r="M29" s="945">
        <f t="shared" si="19"/>
        <v>0</v>
      </c>
      <c r="N29" s="603"/>
      <c r="O29" s="603"/>
      <c r="P29" s="603"/>
      <c r="Q29" s="603"/>
      <c r="R29" s="603"/>
      <c r="S29" s="603"/>
      <c r="T29" s="603"/>
    </row>
    <row r="30" spans="1:20" s="604" customFormat="1" ht="25.5" hidden="1" x14ac:dyDescent="0.2">
      <c r="A30" s="612"/>
      <c r="B30" s="562"/>
      <c r="C30" s="612"/>
      <c r="D30" s="588" t="s">
        <v>398</v>
      </c>
      <c r="E30" s="612" t="s">
        <v>748</v>
      </c>
      <c r="F30" s="613"/>
      <c r="G30" s="578" t="e">
        <f t="shared" si="17"/>
        <v>#DIV/0!</v>
      </c>
      <c r="H30" s="659"/>
      <c r="I30" s="1328"/>
      <c r="J30" s="1321" t="str">
        <f t="shared" si="18"/>
        <v>Мерзлотно - технический надзор за зданием</v>
      </c>
      <c r="K30" s="952"/>
      <c r="L30" s="945"/>
      <c r="M30" s="945">
        <f t="shared" si="19"/>
        <v>0</v>
      </c>
      <c r="N30" s="603"/>
      <c r="O30" s="603"/>
      <c r="P30" s="603"/>
      <c r="Q30" s="603"/>
      <c r="R30" s="603"/>
      <c r="S30" s="603"/>
      <c r="T30" s="603"/>
    </row>
    <row r="31" spans="1:20" s="604" customFormat="1" ht="25.5" hidden="1" x14ac:dyDescent="0.2">
      <c r="A31" s="612"/>
      <c r="B31" s="562"/>
      <c r="C31" s="612"/>
      <c r="D31" s="588" t="s">
        <v>414</v>
      </c>
      <c r="E31" s="612" t="s">
        <v>748</v>
      </c>
      <c r="F31" s="613"/>
      <c r="G31" s="578" t="e">
        <f t="shared" si="17"/>
        <v>#DIV/0!</v>
      </c>
      <c r="H31" s="659"/>
      <c r="I31" s="1328"/>
      <c r="J31" s="1321" t="str">
        <f t="shared" si="18"/>
        <v>Очистка кровель от снега и наледи</v>
      </c>
      <c r="K31" s="952"/>
      <c r="L31" s="945"/>
      <c r="M31" s="945">
        <f t="shared" si="19"/>
        <v>0</v>
      </c>
      <c r="N31" s="603"/>
      <c r="O31" s="603"/>
      <c r="P31" s="603"/>
      <c r="Q31" s="603"/>
      <c r="R31" s="603"/>
      <c r="S31" s="603"/>
      <c r="T31" s="603"/>
    </row>
    <row r="32" spans="1:20" s="604" customFormat="1" hidden="1" x14ac:dyDescent="0.2">
      <c r="A32" s="605"/>
      <c r="B32" s="565"/>
      <c r="C32" s="605"/>
      <c r="D32" s="590" t="s">
        <v>692</v>
      </c>
      <c r="E32" s="612" t="s">
        <v>748</v>
      </c>
      <c r="F32" s="606"/>
      <c r="G32" s="578" t="e">
        <f t="shared" si="17"/>
        <v>#DIV/0!</v>
      </c>
      <c r="H32" s="661"/>
      <c r="I32" s="1326"/>
      <c r="J32" s="1321" t="str">
        <f t="shared" si="18"/>
        <v>Поверка средств измерений</v>
      </c>
      <c r="K32" s="952"/>
      <c r="L32" s="945"/>
      <c r="M32" s="945">
        <f t="shared" si="19"/>
        <v>0</v>
      </c>
      <c r="N32" s="603"/>
      <c r="O32" s="603"/>
      <c r="P32" s="603"/>
      <c r="Q32" s="603"/>
      <c r="R32" s="603"/>
      <c r="S32" s="603"/>
      <c r="T32" s="603"/>
    </row>
    <row r="33" spans="1:20" s="604" customFormat="1" ht="13.5" hidden="1" customHeight="1" x14ac:dyDescent="0.2">
      <c r="A33" s="618">
        <v>244</v>
      </c>
      <c r="B33" s="592">
        <v>225</v>
      </c>
      <c r="C33" s="569" t="s">
        <v>750</v>
      </c>
      <c r="D33" s="584" t="s">
        <v>751</v>
      </c>
      <c r="E33" s="563"/>
      <c r="F33" s="619"/>
      <c r="G33" s="620"/>
      <c r="H33" s="657">
        <f>H34</f>
        <v>0</v>
      </c>
      <c r="I33" s="1325">
        <f t="shared" ref="I33" si="20">I34</f>
        <v>0</v>
      </c>
      <c r="J33" s="1321"/>
      <c r="K33" s="952"/>
      <c r="L33" s="945"/>
      <c r="M33" s="945"/>
      <c r="N33" s="603"/>
      <c r="O33" s="603"/>
      <c r="P33" s="603"/>
      <c r="Q33" s="603"/>
      <c r="R33" s="603"/>
      <c r="S33" s="603"/>
      <c r="T33" s="603"/>
    </row>
    <row r="34" spans="1:20" s="604" customFormat="1" ht="25.5" hidden="1" x14ac:dyDescent="0.2">
      <c r="A34" s="621"/>
      <c r="B34" s="605"/>
      <c r="C34" s="565"/>
      <c r="D34" s="495" t="s">
        <v>752</v>
      </c>
      <c r="E34" s="612" t="s">
        <v>748</v>
      </c>
      <c r="F34" s="596"/>
      <c r="G34" s="579" t="e">
        <f t="shared" si="17"/>
        <v>#DIV/0!</v>
      </c>
      <c r="H34" s="661"/>
      <c r="I34" s="1326"/>
      <c r="J34" s="1321" t="str">
        <f>D34</f>
        <v>Техническое обслуживание ОПС и ППА СОУЭ</v>
      </c>
      <c r="K34" s="952"/>
      <c r="L34" s="945"/>
      <c r="M34" s="945">
        <f t="shared" si="19"/>
        <v>0</v>
      </c>
      <c r="N34" s="603"/>
      <c r="O34" s="603"/>
      <c r="P34" s="603"/>
      <c r="Q34" s="603"/>
      <c r="R34" s="603"/>
      <c r="S34" s="603"/>
      <c r="T34" s="603"/>
    </row>
    <row r="35" spans="1:20" s="604" customFormat="1" ht="63.75" hidden="1" x14ac:dyDescent="0.2">
      <c r="A35" s="618">
        <v>244</v>
      </c>
      <c r="B35" s="592">
        <v>226</v>
      </c>
      <c r="C35" s="569">
        <v>953</v>
      </c>
      <c r="D35" s="584" t="s">
        <v>753</v>
      </c>
      <c r="E35" s="563"/>
      <c r="F35" s="619"/>
      <c r="G35" s="620"/>
      <c r="H35" s="657">
        <f>SUM(H36:H38)</f>
        <v>0</v>
      </c>
      <c r="I35" s="1325">
        <f t="shared" ref="I35" si="21">SUM(I36:I38)</f>
        <v>0</v>
      </c>
      <c r="J35" s="1321"/>
      <c r="K35" s="952"/>
      <c r="L35" s="945"/>
      <c r="M35" s="945"/>
      <c r="N35" s="603"/>
      <c r="O35" s="603"/>
      <c r="P35" s="603"/>
      <c r="Q35" s="603"/>
      <c r="R35" s="603"/>
      <c r="S35" s="603"/>
      <c r="T35" s="603"/>
    </row>
    <row r="36" spans="1:20" s="604" customFormat="1" hidden="1" x14ac:dyDescent="0.2">
      <c r="A36" s="622"/>
      <c r="B36" s="612"/>
      <c r="C36" s="562"/>
      <c r="D36" s="585" t="s">
        <v>399</v>
      </c>
      <c r="E36" s="562" t="s">
        <v>178</v>
      </c>
      <c r="F36" s="595"/>
      <c r="G36" s="577" t="e">
        <f t="shared" si="17"/>
        <v>#DIV/0!</v>
      </c>
      <c r="H36" s="659"/>
      <c r="I36" s="1328"/>
      <c r="J36" s="1321" t="str">
        <f t="shared" ref="J36:J38" si="22">D36</f>
        <v>Тревожная сигнализация</v>
      </c>
      <c r="K36" s="952"/>
      <c r="L36" s="945"/>
      <c r="M36" s="945">
        <f t="shared" si="19"/>
        <v>0</v>
      </c>
      <c r="N36" s="603"/>
      <c r="O36" s="603"/>
      <c r="P36" s="603"/>
      <c r="Q36" s="603"/>
      <c r="R36" s="603"/>
      <c r="S36" s="603"/>
      <c r="T36" s="603"/>
    </row>
    <row r="37" spans="1:20" s="604" customFormat="1" ht="63.75" hidden="1" x14ac:dyDescent="0.2">
      <c r="A37" s="622"/>
      <c r="B37" s="612"/>
      <c r="C37" s="562"/>
      <c r="D37" s="585" t="s">
        <v>702</v>
      </c>
      <c r="E37" s="562" t="s">
        <v>178</v>
      </c>
      <c r="F37" s="595"/>
      <c r="G37" s="577" t="e">
        <f t="shared" si="17"/>
        <v>#DIV/0!</v>
      </c>
      <c r="H37" s="659"/>
      <c r="I37" s="1328"/>
      <c r="J37" s="1321" t="str">
        <f t="shared" si="22"/>
        <v>Охранно-пожарная сигнализация (Вывод сигнала срабатывания систем ПС на пульт, мониторинговые услуги)</v>
      </c>
      <c r="K37" s="952"/>
      <c r="L37" s="945"/>
      <c r="M37" s="945">
        <f t="shared" si="19"/>
        <v>0</v>
      </c>
      <c r="N37" s="603"/>
      <c r="O37" s="603"/>
      <c r="P37" s="603"/>
      <c r="Q37" s="603"/>
      <c r="R37" s="603"/>
      <c r="S37" s="603"/>
      <c r="T37" s="603"/>
    </row>
    <row r="38" spans="1:20" s="604" customFormat="1" hidden="1" x14ac:dyDescent="0.2">
      <c r="A38" s="621"/>
      <c r="B38" s="605"/>
      <c r="C38" s="565"/>
      <c r="D38" s="495" t="s">
        <v>400</v>
      </c>
      <c r="E38" s="565" t="s">
        <v>178</v>
      </c>
      <c r="F38" s="596"/>
      <c r="G38" s="577" t="e">
        <f t="shared" si="17"/>
        <v>#DIV/0!</v>
      </c>
      <c r="H38" s="661"/>
      <c r="I38" s="1326"/>
      <c r="J38" s="1321" t="str">
        <f t="shared" si="22"/>
        <v>Охрана физическая</v>
      </c>
      <c r="K38" s="952"/>
      <c r="L38" s="945"/>
      <c r="M38" s="945">
        <f t="shared" si="19"/>
        <v>0</v>
      </c>
      <c r="N38" s="603"/>
      <c r="O38" s="603"/>
      <c r="P38" s="603"/>
      <c r="Q38" s="603"/>
      <c r="R38" s="603"/>
      <c r="S38" s="603"/>
      <c r="T38" s="603"/>
    </row>
    <row r="39" spans="1:20" s="604" customFormat="1" hidden="1" x14ac:dyDescent="0.2">
      <c r="A39" s="618">
        <v>244</v>
      </c>
      <c r="B39" s="592">
        <v>226</v>
      </c>
      <c r="C39" s="569" t="s">
        <v>754</v>
      </c>
      <c r="D39" s="584" t="s">
        <v>755</v>
      </c>
      <c r="E39" s="569"/>
      <c r="F39" s="594"/>
      <c r="G39" s="575"/>
      <c r="H39" s="657">
        <f>SUM(H40:H43)</f>
        <v>0</v>
      </c>
      <c r="I39" s="1325">
        <f t="shared" ref="I39" si="23">SUM(I40:I43)</f>
        <v>0</v>
      </c>
      <c r="J39" s="1321"/>
      <c r="K39" s="952"/>
      <c r="L39" s="945"/>
      <c r="M39" s="945"/>
      <c r="N39" s="603"/>
      <c r="O39" s="603"/>
      <c r="P39" s="603"/>
      <c r="Q39" s="603"/>
      <c r="R39" s="603"/>
      <c r="S39" s="603"/>
      <c r="T39" s="603"/>
    </row>
    <row r="40" spans="1:20" s="604" customFormat="1" ht="63.75" hidden="1" x14ac:dyDescent="0.2">
      <c r="A40" s="622"/>
      <c r="B40" s="612"/>
      <c r="C40" s="562"/>
      <c r="D40" s="585" t="s">
        <v>693</v>
      </c>
      <c r="E40" s="562" t="s">
        <v>389</v>
      </c>
      <c r="F40" s="595"/>
      <c r="G40" s="577" t="e">
        <f t="shared" si="17"/>
        <v>#DIV/0!</v>
      </c>
      <c r="H40" s="659"/>
      <c r="I40" s="1328"/>
      <c r="J40" s="1321" t="str">
        <f t="shared" ref="J40:J43" si="24">D40</f>
        <v>Проведение лабораторно-инструментальных исследований согласно требованиям Санитарных норм</v>
      </c>
      <c r="K40" s="952"/>
      <c r="L40" s="945"/>
      <c r="M40" s="945">
        <f t="shared" si="19"/>
        <v>0</v>
      </c>
      <c r="N40" s="603"/>
      <c r="O40" s="603"/>
      <c r="P40" s="603"/>
      <c r="Q40" s="603"/>
      <c r="R40" s="603"/>
      <c r="S40" s="603"/>
      <c r="T40" s="603"/>
    </row>
    <row r="41" spans="1:20" s="604" customFormat="1" ht="25.5" hidden="1" x14ac:dyDescent="0.2">
      <c r="A41" s="622"/>
      <c r="B41" s="612"/>
      <c r="C41" s="562"/>
      <c r="D41" s="585" t="s">
        <v>402</v>
      </c>
      <c r="E41" s="562" t="s">
        <v>389</v>
      </c>
      <c r="F41" s="595"/>
      <c r="G41" s="577" t="e">
        <f t="shared" si="17"/>
        <v>#DIV/0!</v>
      </c>
      <c r="H41" s="659"/>
      <c r="I41" s="1328"/>
      <c r="J41" s="1321" t="str">
        <f t="shared" si="24"/>
        <v>Гигиеническое обучение сотрудников</v>
      </c>
      <c r="K41" s="952"/>
      <c r="L41" s="945"/>
      <c r="M41" s="945">
        <f t="shared" si="19"/>
        <v>0</v>
      </c>
      <c r="N41" s="603"/>
      <c r="O41" s="603"/>
      <c r="P41" s="603"/>
      <c r="Q41" s="603"/>
      <c r="R41" s="603"/>
      <c r="S41" s="603"/>
      <c r="T41" s="603"/>
    </row>
    <row r="42" spans="1:20" s="604" customFormat="1" ht="25.5" hidden="1" x14ac:dyDescent="0.2">
      <c r="A42" s="622"/>
      <c r="B42" s="612"/>
      <c r="C42" s="562"/>
      <c r="D42" s="585" t="s">
        <v>401</v>
      </c>
      <c r="E42" s="562" t="s">
        <v>389</v>
      </c>
      <c r="F42" s="595"/>
      <c r="G42" s="577" t="e">
        <f t="shared" si="17"/>
        <v>#DIV/0!</v>
      </c>
      <c r="H42" s="659"/>
      <c r="I42" s="1328"/>
      <c r="J42" s="1321" t="str">
        <f t="shared" si="24"/>
        <v>Обучение пожарно-техническому минимуму</v>
      </c>
      <c r="K42" s="952"/>
      <c r="L42" s="945"/>
      <c r="M42" s="945">
        <f t="shared" si="19"/>
        <v>0</v>
      </c>
      <c r="N42" s="603"/>
      <c r="O42" s="603"/>
      <c r="P42" s="603"/>
      <c r="Q42" s="603"/>
      <c r="R42" s="603"/>
      <c r="S42" s="603"/>
      <c r="T42" s="603"/>
    </row>
    <row r="43" spans="1:20" s="604" customFormat="1" ht="25.5" hidden="1" x14ac:dyDescent="0.2">
      <c r="A43" s="621"/>
      <c r="B43" s="605"/>
      <c r="C43" s="565"/>
      <c r="D43" s="495" t="s">
        <v>694</v>
      </c>
      <c r="E43" s="565" t="s">
        <v>748</v>
      </c>
      <c r="F43" s="596"/>
      <c r="G43" s="577" t="e">
        <f t="shared" si="17"/>
        <v>#DIV/0!</v>
      </c>
      <c r="H43" s="661"/>
      <c r="I43" s="1326"/>
      <c r="J43" s="1321" t="str">
        <f t="shared" si="24"/>
        <v>Расходы на организацию мероприятий</v>
      </c>
      <c r="K43" s="952"/>
      <c r="L43" s="945"/>
      <c r="M43" s="945">
        <f t="shared" si="19"/>
        <v>0</v>
      </c>
      <c r="N43" s="603"/>
      <c r="O43" s="603"/>
      <c r="P43" s="603"/>
      <c r="Q43" s="603"/>
      <c r="R43" s="603"/>
      <c r="S43" s="603"/>
      <c r="T43" s="603"/>
    </row>
    <row r="44" spans="1:20" s="604" customFormat="1" ht="25.5" hidden="1" x14ac:dyDescent="0.2">
      <c r="A44" s="671">
        <v>244</v>
      </c>
      <c r="B44" s="610">
        <v>226</v>
      </c>
      <c r="C44" s="568">
        <v>955</v>
      </c>
      <c r="D44" s="617" t="s">
        <v>777</v>
      </c>
      <c r="E44" s="562"/>
      <c r="F44" s="595"/>
      <c r="G44" s="616"/>
      <c r="H44" s="611">
        <f>H45</f>
        <v>0</v>
      </c>
      <c r="I44" s="611">
        <f>I45</f>
        <v>0</v>
      </c>
      <c r="J44" s="1321"/>
      <c r="K44" s="952"/>
      <c r="L44" s="945"/>
      <c r="M44" s="945"/>
      <c r="N44" s="603"/>
      <c r="O44" s="603"/>
      <c r="P44" s="603"/>
      <c r="Q44" s="603"/>
      <c r="R44" s="603"/>
      <c r="S44" s="603"/>
      <c r="T44" s="603"/>
    </row>
    <row r="45" spans="1:20" s="604" customFormat="1" ht="25.5" hidden="1" x14ac:dyDescent="0.2">
      <c r="A45" s="622"/>
      <c r="B45" s="612"/>
      <c r="C45" s="562"/>
      <c r="D45" s="495" t="s">
        <v>694</v>
      </c>
      <c r="E45" s="565" t="s">
        <v>748</v>
      </c>
      <c r="F45" s="595">
        <v>1</v>
      </c>
      <c r="G45" s="580">
        <f t="shared" si="17"/>
        <v>0</v>
      </c>
      <c r="H45" s="659"/>
      <c r="I45" s="1328"/>
      <c r="J45" s="1321" t="str">
        <f>D45</f>
        <v>Расходы на организацию мероприятий</v>
      </c>
      <c r="K45" s="952" t="s">
        <v>865</v>
      </c>
      <c r="L45" s="945">
        <v>10856.34</v>
      </c>
      <c r="M45" s="945">
        <f t="shared" si="19"/>
        <v>-10856.34</v>
      </c>
      <c r="N45" s="603"/>
      <c r="O45" s="603"/>
      <c r="P45" s="603"/>
      <c r="Q45" s="603"/>
      <c r="R45" s="603"/>
      <c r="S45" s="603"/>
      <c r="T45" s="603"/>
    </row>
    <row r="46" spans="1:20" s="604" customFormat="1" ht="51" hidden="1" x14ac:dyDescent="0.2">
      <c r="A46" s="618">
        <v>244</v>
      </c>
      <c r="B46" s="592" t="s">
        <v>758</v>
      </c>
      <c r="C46" s="569" t="s">
        <v>756</v>
      </c>
      <c r="D46" s="584" t="s">
        <v>757</v>
      </c>
      <c r="E46" s="569"/>
      <c r="F46" s="594"/>
      <c r="G46" s="575"/>
      <c r="H46" s="657">
        <f>H47</f>
        <v>0</v>
      </c>
      <c r="I46" s="1325">
        <f t="shared" ref="I46" si="25">I47</f>
        <v>0</v>
      </c>
      <c r="J46" s="1321"/>
      <c r="K46" s="952"/>
      <c r="L46" s="945"/>
      <c r="M46" s="945"/>
      <c r="N46" s="603"/>
      <c r="O46" s="603"/>
      <c r="P46" s="603"/>
      <c r="Q46" s="603"/>
      <c r="R46" s="603"/>
      <c r="S46" s="603"/>
      <c r="T46" s="603"/>
    </row>
    <row r="47" spans="1:20" s="604" customFormat="1" ht="25.5" hidden="1" x14ac:dyDescent="0.2">
      <c r="A47" s="621"/>
      <c r="B47" s="605"/>
      <c r="C47" s="565"/>
      <c r="D47" s="495" t="s">
        <v>694</v>
      </c>
      <c r="E47" s="565" t="s">
        <v>748</v>
      </c>
      <c r="F47" s="596"/>
      <c r="G47" s="579" t="e">
        <f t="shared" si="17"/>
        <v>#DIV/0!</v>
      </c>
      <c r="H47" s="661"/>
      <c r="I47" s="1326"/>
      <c r="J47" s="1321" t="str">
        <f>D47</f>
        <v>Расходы на организацию мероприятий</v>
      </c>
      <c r="K47" s="952"/>
      <c r="L47" s="945"/>
      <c r="M47" s="945">
        <f t="shared" si="19"/>
        <v>0</v>
      </c>
      <c r="N47" s="603"/>
      <c r="O47" s="603"/>
      <c r="P47" s="603"/>
      <c r="Q47" s="603"/>
      <c r="R47" s="603"/>
      <c r="S47" s="603"/>
      <c r="T47" s="603"/>
    </row>
    <row r="48" spans="1:20" s="604" customFormat="1" ht="105" hidden="1" customHeight="1" x14ac:dyDescent="0.2">
      <c r="A48" s="1768">
        <v>244</v>
      </c>
      <c r="B48" s="1768">
        <v>226</v>
      </c>
      <c r="C48" s="1770">
        <v>966</v>
      </c>
      <c r="D48" s="623" t="s">
        <v>229</v>
      </c>
      <c r="E48" s="563"/>
      <c r="F48" s="619"/>
      <c r="G48" s="620"/>
      <c r="H48" s="657">
        <f>H49</f>
        <v>0</v>
      </c>
      <c r="I48" s="1325">
        <f t="shared" ref="I48" si="26">I49</f>
        <v>0</v>
      </c>
      <c r="J48" s="1321"/>
      <c r="K48" s="952"/>
      <c r="L48" s="945"/>
      <c r="M48" s="945"/>
      <c r="N48" s="603"/>
      <c r="O48" s="603"/>
      <c r="P48" s="603"/>
      <c r="Q48" s="603"/>
      <c r="R48" s="603"/>
      <c r="S48" s="603"/>
      <c r="T48" s="603"/>
    </row>
    <row r="49" spans="1:20" s="604" customFormat="1" ht="25.5" hidden="1" x14ac:dyDescent="0.2">
      <c r="A49" s="1769"/>
      <c r="B49" s="1769"/>
      <c r="C49" s="1771"/>
      <c r="D49" s="495" t="s">
        <v>694</v>
      </c>
      <c r="E49" s="565" t="s">
        <v>748</v>
      </c>
      <c r="F49" s="596"/>
      <c r="G49" s="579" t="e">
        <f t="shared" si="17"/>
        <v>#DIV/0!</v>
      </c>
      <c r="H49" s="661"/>
      <c r="I49" s="1326"/>
      <c r="J49" s="1321" t="str">
        <f>D49</f>
        <v>Расходы на организацию мероприятий</v>
      </c>
      <c r="K49" s="952"/>
      <c r="L49" s="945"/>
      <c r="M49" s="945">
        <f t="shared" si="19"/>
        <v>0</v>
      </c>
      <c r="N49" s="603"/>
      <c r="O49" s="603"/>
      <c r="P49" s="603"/>
      <c r="Q49" s="603"/>
      <c r="R49" s="603"/>
      <c r="S49" s="603"/>
      <c r="T49" s="603"/>
    </row>
    <row r="50" spans="1:20" s="604" customFormat="1" hidden="1" x14ac:dyDescent="0.2">
      <c r="A50" s="1310">
        <v>244</v>
      </c>
      <c r="B50" s="1310">
        <v>310</v>
      </c>
      <c r="C50" s="774">
        <v>971</v>
      </c>
      <c r="D50" s="765" t="s">
        <v>776</v>
      </c>
      <c r="E50" s="614"/>
      <c r="F50" s="776"/>
      <c r="G50" s="577"/>
      <c r="H50" s="611">
        <f>H51</f>
        <v>0</v>
      </c>
      <c r="I50" s="611">
        <f>I51</f>
        <v>0</v>
      </c>
      <c r="J50" s="1321"/>
      <c r="K50" s="952"/>
      <c r="L50" s="945"/>
      <c r="M50" s="945"/>
      <c r="N50" s="603"/>
      <c r="O50" s="603"/>
      <c r="P50" s="603"/>
      <c r="Q50" s="603"/>
      <c r="R50" s="603"/>
      <c r="S50" s="603"/>
      <c r="T50" s="603"/>
    </row>
    <row r="51" spans="1:20" s="604" customFormat="1" ht="25.5" hidden="1" x14ac:dyDescent="0.2">
      <c r="A51" s="1312"/>
      <c r="B51" s="1312"/>
      <c r="C51" s="779"/>
      <c r="D51" s="590" t="s">
        <v>694</v>
      </c>
      <c r="E51" s="605" t="s">
        <v>748</v>
      </c>
      <c r="F51" s="776"/>
      <c r="G51" s="577" t="e">
        <f t="shared" si="17"/>
        <v>#DIV/0!</v>
      </c>
      <c r="H51" s="659"/>
      <c r="I51" s="1328"/>
      <c r="J51" s="1321" t="str">
        <f>D51</f>
        <v>Расходы на организацию мероприятий</v>
      </c>
      <c r="K51" s="952"/>
      <c r="L51" s="945"/>
      <c r="M51" s="945">
        <f t="shared" si="19"/>
        <v>0</v>
      </c>
      <c r="N51" s="603"/>
      <c r="O51" s="603"/>
      <c r="P51" s="603"/>
      <c r="Q51" s="603"/>
      <c r="R51" s="603"/>
      <c r="S51" s="603"/>
      <c r="T51" s="603"/>
    </row>
    <row r="52" spans="1:20" s="604" customFormat="1" ht="25.5" hidden="1" x14ac:dyDescent="0.2">
      <c r="A52" s="618">
        <v>244</v>
      </c>
      <c r="B52" s="592">
        <v>346</v>
      </c>
      <c r="C52" s="569" t="s">
        <v>759</v>
      </c>
      <c r="D52" s="584" t="s">
        <v>760</v>
      </c>
      <c r="E52" s="562"/>
      <c r="F52" s="619"/>
      <c r="G52" s="620"/>
      <c r="H52" s="657">
        <f>H53</f>
        <v>0</v>
      </c>
      <c r="I52" s="1325">
        <f t="shared" ref="I52" si="27">I53</f>
        <v>0</v>
      </c>
      <c r="J52" s="1321"/>
      <c r="K52" s="952"/>
      <c r="L52" s="945"/>
      <c r="M52" s="945"/>
      <c r="N52" s="603"/>
      <c r="O52" s="603"/>
      <c r="P52" s="603"/>
      <c r="Q52" s="603"/>
      <c r="R52" s="603"/>
      <c r="S52" s="603"/>
      <c r="T52" s="603"/>
    </row>
    <row r="53" spans="1:20" s="604" customFormat="1" ht="25.5" hidden="1" x14ac:dyDescent="0.2">
      <c r="A53" s="621"/>
      <c r="B53" s="605"/>
      <c r="C53" s="565"/>
      <c r="D53" s="495" t="s">
        <v>694</v>
      </c>
      <c r="E53" s="565" t="s">
        <v>748</v>
      </c>
      <c r="F53" s="596"/>
      <c r="G53" s="579" t="e">
        <f>(H53+I53)/F53</f>
        <v>#DIV/0!</v>
      </c>
      <c r="H53" s="661"/>
      <c r="I53" s="1326"/>
      <c r="J53" s="1321" t="str">
        <f>D53</f>
        <v>Расходы на организацию мероприятий</v>
      </c>
      <c r="K53" s="952"/>
      <c r="L53" s="945"/>
      <c r="M53" s="945">
        <f t="shared" si="19"/>
        <v>0</v>
      </c>
      <c r="N53" s="603"/>
      <c r="O53" s="603"/>
      <c r="P53" s="603"/>
      <c r="Q53" s="603"/>
      <c r="R53" s="603"/>
      <c r="S53" s="603"/>
      <c r="T53" s="603"/>
    </row>
    <row r="54" spans="1:20" s="506" customFormat="1" x14ac:dyDescent="0.2">
      <c r="A54" s="1180"/>
      <c r="B54" s="1180"/>
      <c r="C54" s="1180"/>
      <c r="D54" s="1181" t="s">
        <v>8</v>
      </c>
      <c r="E54" s="1316"/>
      <c r="F54" s="1182"/>
      <c r="G54" s="1183"/>
      <c r="H54" s="1183">
        <f>H23+H20+H17+H13+H9</f>
        <v>0</v>
      </c>
      <c r="I54" s="1183">
        <f>I23+I20+I17+I13+I9</f>
        <v>0</v>
      </c>
      <c r="J54" s="1324"/>
      <c r="K54" s="947"/>
      <c r="L54" s="943"/>
      <c r="M54" s="943"/>
      <c r="N54" s="510"/>
      <c r="O54" s="510"/>
      <c r="P54" s="510"/>
      <c r="Q54" s="510"/>
      <c r="R54" s="510"/>
      <c r="S54" s="510"/>
      <c r="T54" s="510"/>
    </row>
    <row r="55" spans="1:20" s="506" customFormat="1" ht="36.75" customHeight="1" x14ac:dyDescent="0.2">
      <c r="A55" s="507"/>
      <c r="B55" s="507"/>
      <c r="C55" s="507"/>
      <c r="D55" s="583"/>
      <c r="E55" s="508"/>
      <c r="F55" s="593"/>
      <c r="G55" s="573"/>
      <c r="H55" s="655"/>
      <c r="I55" s="655"/>
      <c r="J55" s="949"/>
      <c r="K55" s="949"/>
      <c r="L55" s="510"/>
      <c r="M55" s="510"/>
      <c r="N55" s="510"/>
      <c r="O55" s="510"/>
      <c r="P55" s="510"/>
      <c r="Q55" s="510"/>
      <c r="R55" s="510"/>
      <c r="S55" s="510"/>
      <c r="T55" s="510"/>
    </row>
    <row r="56" spans="1:20" ht="14.25" customHeight="1" x14ac:dyDescent="0.2">
      <c r="E56" s="681"/>
      <c r="H56" s="693">
        <f>'постуления 820 25-27'!H9</f>
        <v>0</v>
      </c>
      <c r="I56" s="693">
        <f>'постуления 820 25-27'!I9</f>
        <v>0</v>
      </c>
    </row>
    <row r="57" spans="1:20" ht="14.25" customHeight="1" x14ac:dyDescent="0.2">
      <c r="A57" s="1722" t="s">
        <v>128</v>
      </c>
      <c r="B57" s="1722"/>
      <c r="C57" s="1722"/>
      <c r="D57" s="1722"/>
      <c r="E57" s="681"/>
      <c r="H57" s="693">
        <f>H56-H54</f>
        <v>0</v>
      </c>
      <c r="I57" s="693">
        <f>I56-I54</f>
        <v>0</v>
      </c>
    </row>
    <row r="58" spans="1:20" x14ac:dyDescent="0.2">
      <c r="A58" s="1722" t="s">
        <v>789</v>
      </c>
      <c r="B58" s="1722"/>
      <c r="C58" s="1722"/>
      <c r="D58" s="1722"/>
    </row>
    <row r="84" spans="1:1" x14ac:dyDescent="0.2">
      <c r="A84" s="930"/>
    </row>
    <row r="187" spans="25:25" x14ac:dyDescent="0.2">
      <c r="Y187">
        <f>W187*X187</f>
        <v>0</v>
      </c>
    </row>
  </sheetData>
  <autoFilter ref="A8:Y8"/>
  <mergeCells count="31">
    <mergeCell ref="A57:D57"/>
    <mergeCell ref="A58:D58"/>
    <mergeCell ref="A2:I2"/>
    <mergeCell ref="A5:A8"/>
    <mergeCell ref="B5:B8"/>
    <mergeCell ref="C5:C8"/>
    <mergeCell ref="D5:D8"/>
    <mergeCell ref="E5:E8"/>
    <mergeCell ref="F5:I5"/>
    <mergeCell ref="F6:F8"/>
    <mergeCell ref="G6:G8"/>
    <mergeCell ref="H6:I6"/>
    <mergeCell ref="A23:E23"/>
    <mergeCell ref="H7:H8"/>
    <mergeCell ref="I7:I8"/>
    <mergeCell ref="A9:E9"/>
    <mergeCell ref="A48:A49"/>
    <mergeCell ref="B48:B49"/>
    <mergeCell ref="C48:C49"/>
    <mergeCell ref="A1:I1"/>
    <mergeCell ref="A3:I3"/>
    <mergeCell ref="A13:E13"/>
    <mergeCell ref="A17:E17"/>
    <mergeCell ref="A18:A19"/>
    <mergeCell ref="B18:B19"/>
    <mergeCell ref="C18:C19"/>
    <mergeCell ref="J5:J8"/>
    <mergeCell ref="K5:K8"/>
    <mergeCell ref="L5:L8"/>
    <mergeCell ref="M5:M8"/>
    <mergeCell ref="A20:E20"/>
  </mergeCells>
  <pageMargins left="0.7" right="0.7" top="0.75" bottom="0.75" header="0.3" footer="0.3"/>
  <pageSetup paperSize="9" scale="69" orientation="portrait" r:id="rId1"/>
  <rowBreaks count="1" manualBreakCount="1">
    <brk id="57"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U184"/>
  <sheetViews>
    <sheetView view="pageBreakPreview" zoomScale="90" zoomScaleNormal="100" zoomScaleSheetLayoutView="90" workbookViewId="0">
      <pane ySplit="8" topLeftCell="A24" activePane="bottomLeft" state="frozen"/>
      <selection pane="bottomLeft" activeCell="F27" sqref="F27"/>
    </sheetView>
  </sheetViews>
  <sheetFormatPr defaultRowHeight="12.75" x14ac:dyDescent="0.2"/>
  <cols>
    <col min="1" max="3" width="9.33203125" style="492"/>
    <col min="4" max="4" width="51.1640625" style="586" customWidth="1"/>
    <col min="5" max="5" width="14" style="634" customWidth="1"/>
    <col min="6" max="6" width="12" style="699" customWidth="1"/>
    <col min="7" max="7" width="13.1640625" style="663" customWidth="1"/>
    <col min="8" max="8" width="26.5" style="908" customWidth="1"/>
    <col min="9" max="9" width="25.6640625" style="908" customWidth="1"/>
    <col min="10" max="10" width="18.1640625" style="908" customWidth="1"/>
    <col min="11" max="11" width="12" style="917" customWidth="1"/>
    <col min="12" max="12" width="13.6640625" style="908" customWidth="1"/>
    <col min="13" max="13" width="26.5" style="908" customWidth="1"/>
    <col min="14" max="14" width="25.6640625" style="908" customWidth="1"/>
    <col min="15" max="15" width="18.1640625" style="908" customWidth="1"/>
    <col min="16" max="16" width="9.33203125" style="682"/>
  </cols>
  <sheetData>
    <row r="1" spans="1:16" ht="16.5" x14ac:dyDescent="0.2">
      <c r="A1" s="1642" t="s">
        <v>824</v>
      </c>
      <c r="B1" s="1642"/>
      <c r="C1" s="1642"/>
      <c r="D1" s="1642"/>
      <c r="E1" s="1642"/>
      <c r="F1" s="1642"/>
      <c r="G1" s="1642"/>
      <c r="H1" s="1642"/>
      <c r="I1" s="1642"/>
      <c r="J1" s="1642"/>
      <c r="K1" s="1642"/>
      <c r="L1" s="1642"/>
      <c r="M1" s="1642"/>
      <c r="N1" s="1642"/>
      <c r="O1" s="1642"/>
    </row>
    <row r="2" spans="1:16" ht="16.5" x14ac:dyDescent="0.2">
      <c r="A2" s="1642" t="s">
        <v>816</v>
      </c>
      <c r="B2" s="1642"/>
      <c r="C2" s="1642"/>
      <c r="D2" s="1642"/>
      <c r="E2" s="1642"/>
      <c r="F2" s="1642"/>
      <c r="G2" s="1642"/>
      <c r="H2" s="1642"/>
      <c r="I2" s="1642"/>
      <c r="J2" s="1642"/>
      <c r="K2" s="1642"/>
      <c r="L2" s="1642"/>
      <c r="M2" s="1642"/>
      <c r="N2" s="1642"/>
      <c r="O2" s="1642"/>
    </row>
    <row r="3" spans="1:16" ht="20.25" x14ac:dyDescent="0.2">
      <c r="A3" s="1644" t="s">
        <v>817</v>
      </c>
      <c r="B3" s="1644"/>
      <c r="C3" s="1644"/>
      <c r="D3" s="1644"/>
      <c r="E3" s="1644"/>
      <c r="F3" s="1644"/>
      <c r="G3" s="1644"/>
      <c r="H3" s="1644"/>
      <c r="I3" s="1644"/>
      <c r="J3" s="1644"/>
      <c r="K3" s="1644"/>
      <c r="L3" s="1644"/>
      <c r="M3" s="914"/>
      <c r="N3" s="914"/>
      <c r="O3" s="914"/>
    </row>
    <row r="4" spans="1:16" s="506" customFormat="1" ht="13.5" thickBot="1" x14ac:dyDescent="0.25">
      <c r="A4" s="507"/>
      <c r="B4" s="507"/>
      <c r="C4" s="507"/>
      <c r="D4" s="583"/>
      <c r="E4" s="508"/>
      <c r="F4" s="694"/>
      <c r="G4" s="655"/>
      <c r="H4" s="907"/>
      <c r="I4" s="907"/>
      <c r="J4" s="907"/>
      <c r="K4" s="916"/>
      <c r="L4" s="907"/>
      <c r="M4" s="907"/>
      <c r="N4" s="907"/>
      <c r="O4" s="907"/>
      <c r="P4" s="683"/>
    </row>
    <row r="5" spans="1:16" s="506" customFormat="1" x14ac:dyDescent="0.2">
      <c r="A5" s="1645" t="s">
        <v>647</v>
      </c>
      <c r="B5" s="1649" t="s">
        <v>347</v>
      </c>
      <c r="C5" s="1649" t="s">
        <v>707</v>
      </c>
      <c r="D5" s="1647" t="s">
        <v>175</v>
      </c>
      <c r="E5" s="1656" t="s">
        <v>180</v>
      </c>
      <c r="F5" s="1798" t="s">
        <v>723</v>
      </c>
      <c r="G5" s="1799"/>
      <c r="H5" s="1799"/>
      <c r="I5" s="1799"/>
      <c r="J5" s="1799"/>
      <c r="K5" s="1800" t="s">
        <v>871</v>
      </c>
      <c r="L5" s="1801"/>
      <c r="M5" s="1801"/>
      <c r="N5" s="1801"/>
      <c r="O5" s="1802"/>
      <c r="P5" s="683"/>
    </row>
    <row r="6" spans="1:16" s="506" customFormat="1" x14ac:dyDescent="0.2">
      <c r="A6" s="1646"/>
      <c r="B6" s="1650"/>
      <c r="C6" s="1650"/>
      <c r="D6" s="1648"/>
      <c r="E6" s="1657"/>
      <c r="F6" s="1669" t="s">
        <v>713</v>
      </c>
      <c r="G6" s="1794" t="s">
        <v>710</v>
      </c>
      <c r="H6" s="1797" t="s">
        <v>716</v>
      </c>
      <c r="I6" s="1797"/>
      <c r="J6" s="1797"/>
      <c r="K6" s="1695" t="s">
        <v>713</v>
      </c>
      <c r="L6" s="1804" t="s">
        <v>710</v>
      </c>
      <c r="M6" s="1807" t="s">
        <v>716</v>
      </c>
      <c r="N6" s="1807"/>
      <c r="O6" s="1808"/>
      <c r="P6" s="683"/>
    </row>
    <row r="7" spans="1:16" s="506" customFormat="1" ht="12.75" customHeight="1" x14ac:dyDescent="0.2">
      <c r="A7" s="1646"/>
      <c r="B7" s="1650"/>
      <c r="C7" s="1650"/>
      <c r="D7" s="1648"/>
      <c r="E7" s="1657"/>
      <c r="F7" s="1688"/>
      <c r="G7" s="1795"/>
      <c r="H7" s="1792" t="s">
        <v>732</v>
      </c>
      <c r="I7" s="1651" t="s">
        <v>712</v>
      </c>
      <c r="J7" s="1791"/>
      <c r="K7" s="1696"/>
      <c r="L7" s="1805"/>
      <c r="M7" s="1792" t="s">
        <v>732</v>
      </c>
      <c r="N7" s="1651" t="s">
        <v>712</v>
      </c>
      <c r="O7" s="1652"/>
      <c r="P7" s="683"/>
    </row>
    <row r="8" spans="1:16" s="507" customFormat="1" ht="98.45" customHeight="1" x14ac:dyDescent="0.2">
      <c r="A8" s="1646"/>
      <c r="B8" s="1650"/>
      <c r="C8" s="1650"/>
      <c r="D8" s="1648"/>
      <c r="E8" s="1658"/>
      <c r="F8" s="1670"/>
      <c r="G8" s="1796"/>
      <c r="H8" s="1793"/>
      <c r="I8" s="1306" t="s">
        <v>711</v>
      </c>
      <c r="J8" s="1289" t="s">
        <v>788</v>
      </c>
      <c r="K8" s="1803"/>
      <c r="L8" s="1806"/>
      <c r="M8" s="1793"/>
      <c r="N8" s="1306" t="s">
        <v>711</v>
      </c>
      <c r="O8" s="993" t="s">
        <v>787</v>
      </c>
      <c r="P8" s="780"/>
    </row>
    <row r="9" spans="1:16" s="856" customFormat="1" ht="29.25" customHeight="1" x14ac:dyDescent="0.2">
      <c r="A9" s="1671" t="s">
        <v>463</v>
      </c>
      <c r="B9" s="1672"/>
      <c r="C9" s="1672"/>
      <c r="D9" s="1672"/>
      <c r="E9" s="1672"/>
      <c r="F9" s="574"/>
      <c r="G9" s="574"/>
      <c r="H9" s="574">
        <f>H10</f>
        <v>68111100</v>
      </c>
      <c r="I9" s="574">
        <f>I10</f>
        <v>0</v>
      </c>
      <c r="J9" s="574">
        <f t="shared" ref="J9" si="0">J10</f>
        <v>0</v>
      </c>
      <c r="K9" s="574"/>
      <c r="L9" s="574"/>
      <c r="M9" s="574">
        <f>M10</f>
        <v>68111100</v>
      </c>
      <c r="N9" s="574">
        <f t="shared" ref="N9:O9" si="1">N10</f>
        <v>0</v>
      </c>
      <c r="O9" s="1054">
        <f t="shared" si="1"/>
        <v>0</v>
      </c>
      <c r="P9" s="855"/>
    </row>
    <row r="10" spans="1:16" s="883" customFormat="1" x14ac:dyDescent="0.2">
      <c r="A10" s="1095"/>
      <c r="B10" s="1288"/>
      <c r="C10" s="1288">
        <v>991</v>
      </c>
      <c r="D10" s="584" t="s">
        <v>703</v>
      </c>
      <c r="E10" s="569"/>
      <c r="F10" s="594"/>
      <c r="G10" s="576"/>
      <c r="H10" s="576">
        <f>H11+H12</f>
        <v>68111100</v>
      </c>
      <c r="I10" s="576">
        <f t="shared" ref="I10:J10" si="2">I11+I12</f>
        <v>0</v>
      </c>
      <c r="J10" s="576">
        <f t="shared" si="2"/>
        <v>0</v>
      </c>
      <c r="K10" s="594"/>
      <c r="L10" s="576"/>
      <c r="M10" s="576">
        <f>M11+M12</f>
        <v>68111100</v>
      </c>
      <c r="N10" s="576">
        <f t="shared" ref="N10:O10" si="3">N11+N12</f>
        <v>0</v>
      </c>
      <c r="O10" s="1055">
        <f t="shared" si="3"/>
        <v>0</v>
      </c>
      <c r="P10" s="882"/>
    </row>
    <row r="11" spans="1:16" s="604" customFormat="1" x14ac:dyDescent="0.2">
      <c r="A11" s="1056">
        <v>111</v>
      </c>
      <c r="B11" s="566">
        <v>211</v>
      </c>
      <c r="C11" s="566">
        <v>991</v>
      </c>
      <c r="D11" s="585" t="s">
        <v>733</v>
      </c>
      <c r="E11" s="562" t="s">
        <v>714</v>
      </c>
      <c r="F11" s="595">
        <v>79.86</v>
      </c>
      <c r="G11" s="578">
        <f>(H11+I11+J11)/F11</f>
        <v>850308.04</v>
      </c>
      <c r="H11" s="578">
        <f>68111100-H12</f>
        <v>67905600</v>
      </c>
      <c r="I11" s="578"/>
      <c r="J11" s="578"/>
      <c r="K11" s="595">
        <v>79.86</v>
      </c>
      <c r="L11" s="578">
        <f>(M11+N11+O11)/K11</f>
        <v>850308.04</v>
      </c>
      <c r="M11" s="578">
        <f>68111100-M12</f>
        <v>67905600</v>
      </c>
      <c r="N11" s="578"/>
      <c r="O11" s="1057"/>
      <c r="P11" s="603"/>
    </row>
    <row r="12" spans="1:16" s="604" customFormat="1" x14ac:dyDescent="0.2">
      <c r="A12" s="1058">
        <v>111</v>
      </c>
      <c r="B12" s="567">
        <v>266</v>
      </c>
      <c r="C12" s="567">
        <v>991</v>
      </c>
      <c r="D12" s="495" t="s">
        <v>708</v>
      </c>
      <c r="E12" s="565" t="s">
        <v>714</v>
      </c>
      <c r="F12" s="596">
        <v>79.86</v>
      </c>
      <c r="G12" s="580">
        <f>(H12+I12+J12)/F12</f>
        <v>2573.25</v>
      </c>
      <c r="H12" s="580">
        <v>205500</v>
      </c>
      <c r="I12" s="580"/>
      <c r="J12" s="580"/>
      <c r="K12" s="596">
        <v>79.86</v>
      </c>
      <c r="L12" s="580">
        <f>(M12+N12+O12)/K12</f>
        <v>2573.25</v>
      </c>
      <c r="M12" s="580">
        <v>205500</v>
      </c>
      <c r="N12" s="580"/>
      <c r="O12" s="1059"/>
      <c r="P12" s="603"/>
    </row>
    <row r="13" spans="1:16" s="558" customFormat="1" ht="39" customHeight="1" x14ac:dyDescent="0.2">
      <c r="A13" s="1609" t="s">
        <v>465</v>
      </c>
      <c r="B13" s="1610"/>
      <c r="C13" s="1610"/>
      <c r="D13" s="1610"/>
      <c r="E13" s="1674"/>
      <c r="F13" s="581"/>
      <c r="G13" s="581"/>
      <c r="H13" s="581">
        <f>H14</f>
        <v>0</v>
      </c>
      <c r="I13" s="581">
        <f>I14</f>
        <v>1251300</v>
      </c>
      <c r="J13" s="581">
        <f>J14</f>
        <v>0</v>
      </c>
      <c r="K13" s="581"/>
      <c r="L13" s="581"/>
      <c r="M13" s="581">
        <f>M14</f>
        <v>0</v>
      </c>
      <c r="N13" s="581">
        <f>N14</f>
        <v>1251300</v>
      </c>
      <c r="O13" s="1060">
        <f>O14</f>
        <v>0</v>
      </c>
      <c r="P13" s="557"/>
    </row>
    <row r="14" spans="1:16" s="604" customFormat="1" ht="25.5" x14ac:dyDescent="0.2">
      <c r="A14" s="1156">
        <v>112</v>
      </c>
      <c r="B14" s="1290">
        <v>214</v>
      </c>
      <c r="C14" s="1290">
        <v>911</v>
      </c>
      <c r="D14" s="587" t="s">
        <v>220</v>
      </c>
      <c r="E14" s="626" t="s">
        <v>714</v>
      </c>
      <c r="F14" s="597">
        <v>79.86</v>
      </c>
      <c r="G14" s="775">
        <f>(H14+I14+J14)/F14</f>
        <v>15668.67</v>
      </c>
      <c r="H14" s="625"/>
      <c r="I14" s="775">
        <v>1251300</v>
      </c>
      <c r="J14" s="1248"/>
      <c r="K14" s="597">
        <v>79.86</v>
      </c>
      <c r="L14" s="775">
        <f>(M14+N14+O14)/K14</f>
        <v>15668.67</v>
      </c>
      <c r="M14" s="625"/>
      <c r="N14" s="775">
        <v>1251300</v>
      </c>
      <c r="O14" s="1274"/>
      <c r="P14" s="603"/>
    </row>
    <row r="15" spans="1:16" s="856" customFormat="1" ht="42" customHeight="1" x14ac:dyDescent="0.2">
      <c r="A15" s="1609" t="s">
        <v>715</v>
      </c>
      <c r="B15" s="1610"/>
      <c r="C15" s="1610"/>
      <c r="D15" s="1610"/>
      <c r="E15" s="1674"/>
      <c r="F15" s="581"/>
      <c r="G15" s="581"/>
      <c r="H15" s="581">
        <f>H16</f>
        <v>20569600</v>
      </c>
      <c r="I15" s="581">
        <f t="shared" ref="I15:J15" si="4">I16</f>
        <v>0</v>
      </c>
      <c r="J15" s="581">
        <f t="shared" si="4"/>
        <v>0</v>
      </c>
      <c r="K15" s="581"/>
      <c r="L15" s="581"/>
      <c r="M15" s="581">
        <f>M16</f>
        <v>20569600</v>
      </c>
      <c r="N15" s="581">
        <f t="shared" ref="N15:O15" si="5">N16</f>
        <v>0</v>
      </c>
      <c r="O15" s="1060">
        <f t="shared" si="5"/>
        <v>0</v>
      </c>
      <c r="P15" s="855"/>
    </row>
    <row r="16" spans="1:16" s="856" customFormat="1" ht="13.5" customHeight="1" x14ac:dyDescent="0.2">
      <c r="A16" s="1062"/>
      <c r="B16" s="568"/>
      <c r="C16" s="592">
        <v>992</v>
      </c>
      <c r="D16" s="571" t="s">
        <v>709</v>
      </c>
      <c r="E16" s="591"/>
      <c r="F16" s="594"/>
      <c r="G16" s="599"/>
      <c r="H16" s="594">
        <f>SUM(H17:H17)</f>
        <v>20569600</v>
      </c>
      <c r="I16" s="594">
        <f>SUM(I17:I17)</f>
        <v>0</v>
      </c>
      <c r="J16" s="594">
        <f>SUM(J17:J17)</f>
        <v>0</v>
      </c>
      <c r="K16" s="594"/>
      <c r="L16" s="599"/>
      <c r="M16" s="594">
        <f>SUM(M17:M17)</f>
        <v>20569600</v>
      </c>
      <c r="N16" s="594">
        <f>SUM(N17:N17)</f>
        <v>0</v>
      </c>
      <c r="O16" s="1087">
        <f>SUM(O17:O17)</f>
        <v>0</v>
      </c>
      <c r="P16" s="855"/>
    </row>
    <row r="17" spans="1:16" s="604" customFormat="1" x14ac:dyDescent="0.2">
      <c r="A17" s="1056">
        <v>119</v>
      </c>
      <c r="B17" s="561">
        <v>213</v>
      </c>
      <c r="C17" s="566">
        <v>992</v>
      </c>
      <c r="D17" s="585" t="s">
        <v>709</v>
      </c>
      <c r="E17" s="562" t="s">
        <v>714</v>
      </c>
      <c r="F17" s="595">
        <v>79.86</v>
      </c>
      <c r="G17" s="577">
        <f t="shared" ref="G17" si="6">(H17+I17+J17)/F17</f>
        <v>257570.75</v>
      </c>
      <c r="H17" s="578">
        <v>20569600</v>
      </c>
      <c r="I17" s="578"/>
      <c r="J17" s="577"/>
      <c r="K17" s="595">
        <v>79.86</v>
      </c>
      <c r="L17" s="577">
        <f t="shared" ref="L17:L23" si="7">(M17+N17+O17)/K17</f>
        <v>257570.75</v>
      </c>
      <c r="M17" s="578">
        <v>20569600</v>
      </c>
      <c r="N17" s="578"/>
      <c r="O17" s="1057"/>
      <c r="P17" s="603"/>
    </row>
    <row r="18" spans="1:16" s="558" customFormat="1" ht="30.75" customHeight="1" x14ac:dyDescent="0.2">
      <c r="A18" s="1666" t="s">
        <v>638</v>
      </c>
      <c r="B18" s="1667"/>
      <c r="C18" s="1667"/>
      <c r="D18" s="1667"/>
      <c r="E18" s="1668"/>
      <c r="F18" s="885"/>
      <c r="G18" s="886"/>
      <c r="H18" s="887">
        <f>H22+H24+H26+H27+H32+H36+H20+H39+H19</f>
        <v>4069200</v>
      </c>
      <c r="I18" s="887">
        <f>I22+I24+I26+I27+I32+I36+I20+I39+I19</f>
        <v>0</v>
      </c>
      <c r="J18" s="887">
        <f>J22+J24+J26+J27+J32+J36+J20+J39+J19</f>
        <v>2450100</v>
      </c>
      <c r="K18" s="887"/>
      <c r="L18" s="887"/>
      <c r="M18" s="887">
        <f>M22+M24+M26+M27+M32+M36+M20+M39+M19</f>
        <v>3417800</v>
      </c>
      <c r="N18" s="887">
        <f>N22+N24+N26+N27+N32+N36+N20+N39+N19</f>
        <v>0</v>
      </c>
      <c r="O18" s="1291">
        <f>O22+O24+O26+O27+O32+O36+O20+O39+O19</f>
        <v>2450100</v>
      </c>
      <c r="P18" s="557"/>
    </row>
    <row r="19" spans="1:16" s="558" customFormat="1" ht="37.5" customHeight="1" x14ac:dyDescent="0.2">
      <c r="A19" s="1153">
        <v>244</v>
      </c>
      <c r="B19" s="608">
        <v>226</v>
      </c>
      <c r="C19" s="782">
        <v>919</v>
      </c>
      <c r="D19" s="958" t="s">
        <v>904</v>
      </c>
      <c r="E19" s="782" t="s">
        <v>389</v>
      </c>
      <c r="F19" s="609">
        <v>1</v>
      </c>
      <c r="G19" s="912">
        <f t="shared" ref="G19" si="8">(H19+I19+J19)/F19</f>
        <v>366000</v>
      </c>
      <c r="H19" s="607">
        <v>366000</v>
      </c>
      <c r="I19" s="607"/>
      <c r="J19" s="912"/>
      <c r="K19" s="609">
        <v>1</v>
      </c>
      <c r="L19" s="912">
        <f t="shared" ref="L19" si="9">(M19+N19+O19)/K19</f>
        <v>366000</v>
      </c>
      <c r="M19" s="607">
        <v>366000</v>
      </c>
      <c r="N19" s="607"/>
      <c r="O19" s="1067"/>
      <c r="P19" s="557"/>
    </row>
    <row r="20" spans="1:16" s="558" customFormat="1" ht="23.25" customHeight="1" x14ac:dyDescent="0.2">
      <c r="A20" s="1064">
        <v>244</v>
      </c>
      <c r="B20" s="858">
        <v>222</v>
      </c>
      <c r="C20" s="857">
        <v>922</v>
      </c>
      <c r="D20" s="866" t="s">
        <v>912</v>
      </c>
      <c r="E20" s="859"/>
      <c r="F20" s="840"/>
      <c r="G20" s="841"/>
      <c r="H20" s="841">
        <f>H21</f>
        <v>0</v>
      </c>
      <c r="I20" s="841">
        <f t="shared" ref="I20:O20" si="10">I21</f>
        <v>0</v>
      </c>
      <c r="J20" s="841">
        <f t="shared" si="10"/>
        <v>294500</v>
      </c>
      <c r="K20" s="841"/>
      <c r="L20" s="841"/>
      <c r="M20" s="841">
        <f t="shared" si="10"/>
        <v>0</v>
      </c>
      <c r="N20" s="841">
        <f t="shared" si="10"/>
        <v>0</v>
      </c>
      <c r="O20" s="1275">
        <f t="shared" si="10"/>
        <v>294500</v>
      </c>
      <c r="P20" s="557"/>
    </row>
    <row r="21" spans="1:16" s="558" customFormat="1" ht="20.25" customHeight="1" x14ac:dyDescent="0.2">
      <c r="A21" s="1066"/>
      <c r="B21" s="861"/>
      <c r="C21" s="860">
        <v>922</v>
      </c>
      <c r="D21" s="862" t="s">
        <v>903</v>
      </c>
      <c r="E21" s="863" t="s">
        <v>748</v>
      </c>
      <c r="F21" s="843">
        <v>1</v>
      </c>
      <c r="G21" s="839">
        <f>(H21+I21+J21+K21)/F21</f>
        <v>294501</v>
      </c>
      <c r="H21" s="839"/>
      <c r="I21" s="839"/>
      <c r="J21" s="839">
        <v>294500</v>
      </c>
      <c r="K21" s="843">
        <v>1</v>
      </c>
      <c r="L21" s="839">
        <f>(M21+N21+O21+P21)/K21</f>
        <v>294500</v>
      </c>
      <c r="M21" s="839"/>
      <c r="N21" s="839"/>
      <c r="O21" s="1276">
        <v>294500</v>
      </c>
      <c r="P21" s="557"/>
    </row>
    <row r="22" spans="1:16" s="560" customFormat="1" x14ac:dyDescent="0.2">
      <c r="A22" s="1088">
        <v>244</v>
      </c>
      <c r="B22" s="865">
        <v>221</v>
      </c>
      <c r="C22" s="864">
        <v>925</v>
      </c>
      <c r="D22" s="866" t="s">
        <v>734</v>
      </c>
      <c r="E22" s="867"/>
      <c r="F22" s="844"/>
      <c r="G22" s="850"/>
      <c r="H22" s="814">
        <f>H23</f>
        <v>65000</v>
      </c>
      <c r="I22" s="576">
        <f t="shared" ref="I22:J22" si="11">I23</f>
        <v>0</v>
      </c>
      <c r="J22" s="576">
        <f t="shared" si="11"/>
        <v>0</v>
      </c>
      <c r="K22" s="602"/>
      <c r="L22" s="576"/>
      <c r="M22" s="576">
        <f>M23</f>
        <v>65000</v>
      </c>
      <c r="N22" s="575">
        <f t="shared" ref="N22:O22" si="12">N23</f>
        <v>0</v>
      </c>
      <c r="O22" s="1061">
        <f t="shared" si="12"/>
        <v>0</v>
      </c>
      <c r="P22" s="559"/>
    </row>
    <row r="23" spans="1:16" s="560" customFormat="1" ht="25.5" x14ac:dyDescent="0.2">
      <c r="A23" s="1066"/>
      <c r="B23" s="861"/>
      <c r="C23" s="860">
        <v>925</v>
      </c>
      <c r="D23" s="862" t="s">
        <v>384</v>
      </c>
      <c r="E23" s="863" t="s">
        <v>181</v>
      </c>
      <c r="F23" s="843">
        <v>7</v>
      </c>
      <c r="G23" s="839">
        <f t="shared" ref="G23:G38" si="13">(H23+I23+J23)/F23</f>
        <v>9285.7099999999991</v>
      </c>
      <c r="H23" s="766">
        <v>65000</v>
      </c>
      <c r="I23" s="912"/>
      <c r="J23" s="607"/>
      <c r="K23" s="606">
        <v>7</v>
      </c>
      <c r="L23" s="580">
        <f t="shared" si="7"/>
        <v>9285.7099999999991</v>
      </c>
      <c r="M23" s="766">
        <v>65000</v>
      </c>
      <c r="N23" s="912"/>
      <c r="O23" s="1067"/>
      <c r="P23" s="559"/>
    </row>
    <row r="24" spans="1:16" s="560" customFormat="1" ht="38.25" x14ac:dyDescent="0.2">
      <c r="A24" s="1064">
        <v>244</v>
      </c>
      <c r="B24" s="857">
        <v>225</v>
      </c>
      <c r="C24" s="857">
        <v>927</v>
      </c>
      <c r="D24" s="879" t="s">
        <v>735</v>
      </c>
      <c r="E24" s="880"/>
      <c r="F24" s="846"/>
      <c r="G24" s="841"/>
      <c r="H24" s="611">
        <f>H25</f>
        <v>972300</v>
      </c>
      <c r="I24" s="611">
        <f t="shared" ref="I24:J24" si="14">I25</f>
        <v>0</v>
      </c>
      <c r="J24" s="611">
        <f t="shared" si="14"/>
        <v>0</v>
      </c>
      <c r="K24" s="594"/>
      <c r="L24" s="611"/>
      <c r="M24" s="611">
        <f>M25</f>
        <v>320900</v>
      </c>
      <c r="N24" s="814">
        <f t="shared" ref="N24:O24" si="15">N25</f>
        <v>0</v>
      </c>
      <c r="O24" s="1055">
        <f t="shared" si="15"/>
        <v>0</v>
      </c>
      <c r="P24" s="559"/>
    </row>
    <row r="25" spans="1:16" s="560" customFormat="1" x14ac:dyDescent="0.2">
      <c r="A25" s="1068"/>
      <c r="B25" s="869"/>
      <c r="C25" s="868"/>
      <c r="D25" s="881" t="s">
        <v>745</v>
      </c>
      <c r="E25" s="870" t="s">
        <v>389</v>
      </c>
      <c r="F25" s="842">
        <v>1</v>
      </c>
      <c r="G25" s="838">
        <f t="shared" si="13"/>
        <v>972300</v>
      </c>
      <c r="H25" s="578">
        <v>972300</v>
      </c>
      <c r="I25" s="1145"/>
      <c r="J25" s="578"/>
      <c r="K25" s="595">
        <v>1</v>
      </c>
      <c r="L25" s="578">
        <f>(M25+N25+O25)/K25</f>
        <v>320900</v>
      </c>
      <c r="M25" s="578">
        <v>320900</v>
      </c>
      <c r="N25" s="1145"/>
      <c r="O25" s="1057"/>
      <c r="P25" s="559"/>
    </row>
    <row r="26" spans="1:16" s="560" customFormat="1" x14ac:dyDescent="0.2">
      <c r="A26" s="1292">
        <v>244</v>
      </c>
      <c r="B26" s="889">
        <v>223</v>
      </c>
      <c r="C26" s="889" t="s">
        <v>746</v>
      </c>
      <c r="D26" s="888" t="s">
        <v>747</v>
      </c>
      <c r="E26" s="889" t="s">
        <v>748</v>
      </c>
      <c r="F26" s="1278">
        <v>1</v>
      </c>
      <c r="G26" s="851">
        <f t="shared" si="13"/>
        <v>14900</v>
      </c>
      <c r="H26" s="775">
        <v>14900</v>
      </c>
      <c r="I26" s="775"/>
      <c r="J26" s="775"/>
      <c r="K26" s="597">
        <v>1</v>
      </c>
      <c r="L26" s="775">
        <f>(M26+N26+O26)/K26</f>
        <v>14900</v>
      </c>
      <c r="M26" s="775">
        <v>14900</v>
      </c>
      <c r="N26" s="775"/>
      <c r="O26" s="1089"/>
      <c r="P26" s="559"/>
    </row>
    <row r="27" spans="1:16" s="560" customFormat="1" ht="51" x14ac:dyDescent="0.2">
      <c r="A27" s="1069">
        <v>244</v>
      </c>
      <c r="B27" s="874">
        <v>225</v>
      </c>
      <c r="C27" s="867">
        <v>941</v>
      </c>
      <c r="D27" s="584" t="s">
        <v>881</v>
      </c>
      <c r="E27" s="875" t="s">
        <v>705</v>
      </c>
      <c r="F27" s="849"/>
      <c r="G27" s="850"/>
      <c r="H27" s="576">
        <f>SUM(H28:H31)</f>
        <v>393500</v>
      </c>
      <c r="I27" s="575">
        <f>SUM(I28:I31)</f>
        <v>0</v>
      </c>
      <c r="J27" s="576">
        <f>SUM(J28:J31)</f>
        <v>0</v>
      </c>
      <c r="K27" s="615"/>
      <c r="L27" s="616"/>
      <c r="M27" s="576">
        <f>SUM(M28:M31)</f>
        <v>393500</v>
      </c>
      <c r="N27" s="575">
        <f>SUM(N28:N31)</f>
        <v>0</v>
      </c>
      <c r="O27" s="1055">
        <f>SUM(O28:O31)</f>
        <v>0</v>
      </c>
      <c r="P27" s="559"/>
    </row>
    <row r="28" spans="1:16" s="604" customFormat="1" x14ac:dyDescent="0.2">
      <c r="A28" s="1074"/>
      <c r="B28" s="562"/>
      <c r="C28" s="612"/>
      <c r="D28" s="585" t="s">
        <v>396</v>
      </c>
      <c r="E28" s="612" t="s">
        <v>178</v>
      </c>
      <c r="F28" s="613">
        <v>12</v>
      </c>
      <c r="G28" s="578">
        <f t="shared" si="13"/>
        <v>14408.33</v>
      </c>
      <c r="H28" s="578">
        <v>172900</v>
      </c>
      <c r="I28" s="577"/>
      <c r="J28" s="578"/>
      <c r="K28" s="613">
        <v>12</v>
      </c>
      <c r="L28" s="578">
        <f t="shared" ref="L28:L38" si="16">(M28+N28+O28)/K28</f>
        <v>14408.33</v>
      </c>
      <c r="M28" s="578">
        <v>172900</v>
      </c>
      <c r="N28" s="577"/>
      <c r="O28" s="1057"/>
      <c r="P28" s="603"/>
    </row>
    <row r="29" spans="1:16" s="604" customFormat="1" x14ac:dyDescent="0.2">
      <c r="A29" s="1074"/>
      <c r="B29" s="562"/>
      <c r="C29" s="612"/>
      <c r="D29" s="588" t="s">
        <v>397</v>
      </c>
      <c r="E29" s="612" t="s">
        <v>178</v>
      </c>
      <c r="F29" s="613">
        <v>12</v>
      </c>
      <c r="G29" s="578">
        <f t="shared" si="13"/>
        <v>2141.67</v>
      </c>
      <c r="H29" s="578">
        <v>25700</v>
      </c>
      <c r="I29" s="577"/>
      <c r="J29" s="578"/>
      <c r="K29" s="613">
        <v>12</v>
      </c>
      <c r="L29" s="578">
        <f t="shared" si="16"/>
        <v>2141.67</v>
      </c>
      <c r="M29" s="578">
        <v>25700</v>
      </c>
      <c r="N29" s="577"/>
      <c r="O29" s="1057"/>
      <c r="P29" s="603"/>
    </row>
    <row r="30" spans="1:16" s="604" customFormat="1" x14ac:dyDescent="0.2">
      <c r="A30" s="1074"/>
      <c r="B30" s="562"/>
      <c r="C30" s="612"/>
      <c r="D30" s="588" t="s">
        <v>398</v>
      </c>
      <c r="E30" s="612" t="s">
        <v>836</v>
      </c>
      <c r="F30" s="613">
        <v>4</v>
      </c>
      <c r="G30" s="578">
        <f t="shared" si="13"/>
        <v>13350</v>
      </c>
      <c r="H30" s="578">
        <v>53400</v>
      </c>
      <c r="I30" s="577"/>
      <c r="J30" s="578"/>
      <c r="K30" s="613">
        <v>4</v>
      </c>
      <c r="L30" s="578">
        <f t="shared" si="16"/>
        <v>13350</v>
      </c>
      <c r="M30" s="578">
        <v>53400</v>
      </c>
      <c r="N30" s="577"/>
      <c r="O30" s="1057"/>
      <c r="P30" s="603"/>
    </row>
    <row r="31" spans="1:16" s="604" customFormat="1" x14ac:dyDescent="0.2">
      <c r="A31" s="1075"/>
      <c r="B31" s="565"/>
      <c r="C31" s="605"/>
      <c r="D31" s="495" t="s">
        <v>752</v>
      </c>
      <c r="E31" s="605" t="s">
        <v>178</v>
      </c>
      <c r="F31" s="606">
        <v>12</v>
      </c>
      <c r="G31" s="578">
        <f t="shared" si="13"/>
        <v>11791.67</v>
      </c>
      <c r="H31" s="580">
        <v>141500</v>
      </c>
      <c r="I31" s="579"/>
      <c r="J31" s="580"/>
      <c r="K31" s="606">
        <v>3</v>
      </c>
      <c r="L31" s="578">
        <f t="shared" si="16"/>
        <v>47166.67</v>
      </c>
      <c r="M31" s="580">
        <v>141500</v>
      </c>
      <c r="N31" s="579"/>
      <c r="O31" s="1059"/>
      <c r="P31" s="603"/>
    </row>
    <row r="32" spans="1:16" s="604" customFormat="1" ht="38.25" x14ac:dyDescent="0.2">
      <c r="A32" s="1076">
        <v>244</v>
      </c>
      <c r="B32" s="592">
        <v>226</v>
      </c>
      <c r="C32" s="569">
        <v>953</v>
      </c>
      <c r="D32" s="584" t="s">
        <v>753</v>
      </c>
      <c r="E32" s="563"/>
      <c r="F32" s="619"/>
      <c r="G32" s="620"/>
      <c r="H32" s="576">
        <f>SUM(H33:H35)</f>
        <v>2120400</v>
      </c>
      <c r="I32" s="576">
        <f t="shared" ref="I32:J32" si="17">SUM(I33:I35)</f>
        <v>0</v>
      </c>
      <c r="J32" s="575">
        <f t="shared" si="17"/>
        <v>0</v>
      </c>
      <c r="K32" s="619"/>
      <c r="L32" s="620"/>
      <c r="M32" s="576">
        <f>SUM(M33:M35)</f>
        <v>2120400</v>
      </c>
      <c r="N32" s="576">
        <f t="shared" ref="N32:O32" si="18">SUM(N33:N35)</f>
        <v>0</v>
      </c>
      <c r="O32" s="1055">
        <f t="shared" si="18"/>
        <v>0</v>
      </c>
      <c r="P32" s="603"/>
    </row>
    <row r="33" spans="1:16" s="604" customFormat="1" x14ac:dyDescent="0.2">
      <c r="A33" s="1078"/>
      <c r="B33" s="612"/>
      <c r="C33" s="562"/>
      <c r="D33" s="585" t="s">
        <v>399</v>
      </c>
      <c r="E33" s="562" t="s">
        <v>178</v>
      </c>
      <c r="F33" s="595">
        <v>12</v>
      </c>
      <c r="G33" s="577">
        <f t="shared" si="13"/>
        <v>2250</v>
      </c>
      <c r="H33" s="578">
        <v>27000</v>
      </c>
      <c r="I33" s="578"/>
      <c r="J33" s="577"/>
      <c r="K33" s="595">
        <v>12</v>
      </c>
      <c r="L33" s="577">
        <f t="shared" si="16"/>
        <v>2250</v>
      </c>
      <c r="M33" s="578">
        <v>27000</v>
      </c>
      <c r="N33" s="578"/>
      <c r="O33" s="1057"/>
      <c r="P33" s="603"/>
    </row>
    <row r="34" spans="1:16" s="604" customFormat="1" ht="38.25" x14ac:dyDescent="0.2">
      <c r="A34" s="1078"/>
      <c r="B34" s="612"/>
      <c r="C34" s="562"/>
      <c r="D34" s="585" t="s">
        <v>702</v>
      </c>
      <c r="E34" s="562" t="s">
        <v>178</v>
      </c>
      <c r="F34" s="595">
        <v>12</v>
      </c>
      <c r="G34" s="577">
        <f t="shared" si="13"/>
        <v>14566.67</v>
      </c>
      <c r="H34" s="578">
        <v>174800</v>
      </c>
      <c r="I34" s="578"/>
      <c r="J34" s="577"/>
      <c r="K34" s="595">
        <v>12</v>
      </c>
      <c r="L34" s="577">
        <f t="shared" si="16"/>
        <v>14566.67</v>
      </c>
      <c r="M34" s="578">
        <v>174800</v>
      </c>
      <c r="N34" s="578"/>
      <c r="O34" s="1057"/>
      <c r="P34" s="603"/>
    </row>
    <row r="35" spans="1:16" s="604" customFormat="1" x14ac:dyDescent="0.2">
      <c r="A35" s="1077"/>
      <c r="B35" s="605"/>
      <c r="C35" s="565"/>
      <c r="D35" s="495" t="s">
        <v>400</v>
      </c>
      <c r="E35" s="565" t="s">
        <v>178</v>
      </c>
      <c r="F35" s="596">
        <v>12</v>
      </c>
      <c r="G35" s="577">
        <f t="shared" si="13"/>
        <v>159883.32999999999</v>
      </c>
      <c r="H35" s="580">
        <v>1918600</v>
      </c>
      <c r="I35" s="580"/>
      <c r="J35" s="579"/>
      <c r="K35" s="596">
        <v>12</v>
      </c>
      <c r="L35" s="577">
        <f t="shared" si="16"/>
        <v>159883.32999999999</v>
      </c>
      <c r="M35" s="580">
        <v>1918600</v>
      </c>
      <c r="N35" s="580"/>
      <c r="O35" s="1059"/>
      <c r="P35" s="603"/>
    </row>
    <row r="36" spans="1:16" s="604" customFormat="1" x14ac:dyDescent="0.2">
      <c r="A36" s="1076">
        <v>244</v>
      </c>
      <c r="B36" s="592">
        <v>226</v>
      </c>
      <c r="C36" s="569" t="s">
        <v>754</v>
      </c>
      <c r="D36" s="584" t="s">
        <v>755</v>
      </c>
      <c r="E36" s="569"/>
      <c r="F36" s="594"/>
      <c r="G36" s="575"/>
      <c r="H36" s="576">
        <f>SUM(H37:H38)</f>
        <v>137100</v>
      </c>
      <c r="I36" s="576">
        <f>SUM(I37:I38)</f>
        <v>0</v>
      </c>
      <c r="J36" s="575">
        <f>SUM(J37:J38)</f>
        <v>2081200</v>
      </c>
      <c r="K36" s="594"/>
      <c r="L36" s="575"/>
      <c r="M36" s="576">
        <f>SUM(M37:M38)</f>
        <v>137100</v>
      </c>
      <c r="N36" s="576">
        <f>SUM(N37:N38)</f>
        <v>0</v>
      </c>
      <c r="O36" s="1055">
        <f>SUM(O37:O38)</f>
        <v>2081200</v>
      </c>
      <c r="P36" s="603"/>
    </row>
    <row r="37" spans="1:16" s="604" customFormat="1" ht="38.25" x14ac:dyDescent="0.2">
      <c r="A37" s="1078"/>
      <c r="B37" s="612"/>
      <c r="C37" s="562"/>
      <c r="D37" s="585" t="s">
        <v>693</v>
      </c>
      <c r="E37" s="562" t="s">
        <v>389</v>
      </c>
      <c r="F37" s="595">
        <v>1</v>
      </c>
      <c r="G37" s="577">
        <f t="shared" si="13"/>
        <v>137100</v>
      </c>
      <c r="H37" s="578">
        <v>137100</v>
      </c>
      <c r="I37" s="578"/>
      <c r="J37" s="577"/>
      <c r="K37" s="595">
        <v>1</v>
      </c>
      <c r="L37" s="577">
        <f t="shared" si="16"/>
        <v>137100</v>
      </c>
      <c r="M37" s="578">
        <v>137100</v>
      </c>
      <c r="N37" s="578"/>
      <c r="O37" s="1057"/>
      <c r="P37" s="603"/>
    </row>
    <row r="38" spans="1:16" s="604" customFormat="1" x14ac:dyDescent="0.2">
      <c r="A38" s="1078"/>
      <c r="B38" s="612"/>
      <c r="C38" s="562"/>
      <c r="D38" s="796" t="s">
        <v>903</v>
      </c>
      <c r="E38" s="565" t="s">
        <v>748</v>
      </c>
      <c r="F38" s="596">
        <v>1</v>
      </c>
      <c r="G38" s="577">
        <f t="shared" si="13"/>
        <v>2081200</v>
      </c>
      <c r="H38" s="578"/>
      <c r="I38" s="578"/>
      <c r="J38" s="577">
        <v>2081200</v>
      </c>
      <c r="K38" s="595">
        <v>1</v>
      </c>
      <c r="L38" s="577">
        <f t="shared" si="16"/>
        <v>2081200</v>
      </c>
      <c r="M38" s="578"/>
      <c r="N38" s="578"/>
      <c r="O38" s="1063">
        <v>2081200</v>
      </c>
      <c r="P38" s="603"/>
    </row>
    <row r="39" spans="1:16" s="604" customFormat="1" x14ac:dyDescent="0.2">
      <c r="A39" s="1076">
        <v>244</v>
      </c>
      <c r="B39" s="592">
        <v>226</v>
      </c>
      <c r="C39" s="569">
        <v>955</v>
      </c>
      <c r="D39" s="584" t="s">
        <v>777</v>
      </c>
      <c r="E39" s="569"/>
      <c r="F39" s="594"/>
      <c r="G39" s="575"/>
      <c r="H39" s="576"/>
      <c r="I39" s="576"/>
      <c r="J39" s="575">
        <f>J40</f>
        <v>74400</v>
      </c>
      <c r="K39" s="576"/>
      <c r="L39" s="575"/>
      <c r="M39" s="576">
        <f t="shared" ref="M39:O39" si="19">M40</f>
        <v>0</v>
      </c>
      <c r="N39" s="575">
        <f t="shared" si="19"/>
        <v>0</v>
      </c>
      <c r="O39" s="1061">
        <f t="shared" si="19"/>
        <v>74400</v>
      </c>
      <c r="P39" s="603"/>
    </row>
    <row r="40" spans="1:16" s="604" customFormat="1" x14ac:dyDescent="0.2">
      <c r="A40" s="1077"/>
      <c r="B40" s="605"/>
      <c r="C40" s="565"/>
      <c r="D40" s="495" t="s">
        <v>903</v>
      </c>
      <c r="E40" s="565" t="s">
        <v>748</v>
      </c>
      <c r="F40" s="596">
        <v>1</v>
      </c>
      <c r="G40" s="579">
        <f t="shared" ref="G40" si="20">(H40+I40+J40+K40)/F40</f>
        <v>74401</v>
      </c>
      <c r="H40" s="580"/>
      <c r="I40" s="580"/>
      <c r="J40" s="579">
        <v>74400</v>
      </c>
      <c r="K40" s="596">
        <v>1</v>
      </c>
      <c r="L40" s="579">
        <f t="shared" ref="L40" si="21">(M40+N40+O40+P40)/K40</f>
        <v>74400</v>
      </c>
      <c r="M40" s="580"/>
      <c r="N40" s="766"/>
      <c r="O40" s="1072">
        <v>74400</v>
      </c>
      <c r="P40" s="603"/>
    </row>
    <row r="41" spans="1:16" s="560" customFormat="1" ht="34.5" customHeight="1" x14ac:dyDescent="0.2">
      <c r="A41" s="1788" t="s">
        <v>736</v>
      </c>
      <c r="B41" s="1789"/>
      <c r="C41" s="1789"/>
      <c r="D41" s="1789"/>
      <c r="E41" s="1790"/>
      <c r="F41" s="852"/>
      <c r="G41" s="852"/>
      <c r="H41" s="598">
        <f>H42+H46+H47</f>
        <v>1048000</v>
      </c>
      <c r="I41" s="915">
        <f t="shared" ref="I41:J41" si="22">I42+I46</f>
        <v>0</v>
      </c>
      <c r="J41" s="836">
        <f t="shared" si="22"/>
        <v>0</v>
      </c>
      <c r="K41" s="598"/>
      <c r="L41" s="598"/>
      <c r="M41" s="598">
        <f>M42+M46+M47</f>
        <v>1116500</v>
      </c>
      <c r="N41" s="915">
        <f t="shared" ref="N41:O41" si="23">N42+N46</f>
        <v>0</v>
      </c>
      <c r="O41" s="1079">
        <f t="shared" si="23"/>
        <v>0</v>
      </c>
      <c r="P41" s="559"/>
    </row>
    <row r="42" spans="1:16" s="560" customFormat="1" ht="25.5" x14ac:dyDescent="0.2">
      <c r="A42" s="1088">
        <v>247</v>
      </c>
      <c r="B42" s="865">
        <v>223</v>
      </c>
      <c r="C42" s="864">
        <v>931</v>
      </c>
      <c r="D42" s="866" t="s">
        <v>737</v>
      </c>
      <c r="E42" s="867"/>
      <c r="F42" s="844"/>
      <c r="G42" s="837"/>
      <c r="H42" s="576">
        <f>SUM(H43:H45)</f>
        <v>778600</v>
      </c>
      <c r="I42" s="575">
        <f t="shared" ref="I42:J42" si="24">I45</f>
        <v>0</v>
      </c>
      <c r="J42" s="576">
        <f t="shared" si="24"/>
        <v>0</v>
      </c>
      <c r="K42" s="602"/>
      <c r="L42" s="576"/>
      <c r="M42" s="576">
        <f>SUM(M43:M45)</f>
        <v>833100</v>
      </c>
      <c r="N42" s="575">
        <f t="shared" ref="N42:O42" si="25">N45</f>
        <v>0</v>
      </c>
      <c r="O42" s="1055">
        <f t="shared" si="25"/>
        <v>0</v>
      </c>
      <c r="P42" s="559"/>
    </row>
    <row r="43" spans="1:16" s="560" customFormat="1" x14ac:dyDescent="0.2">
      <c r="A43" s="1068"/>
      <c r="B43" s="869"/>
      <c r="C43" s="868"/>
      <c r="D43" s="757" t="s">
        <v>392</v>
      </c>
      <c r="E43" s="870" t="s">
        <v>390</v>
      </c>
      <c r="F43" s="842">
        <v>412</v>
      </c>
      <c r="G43" s="838">
        <f t="shared" ref="G43:G46" si="26">(H43+I43+J43)/F43</f>
        <v>1864.05</v>
      </c>
      <c r="H43" s="578">
        <v>767989</v>
      </c>
      <c r="I43" s="577"/>
      <c r="J43" s="578"/>
      <c r="K43" s="842">
        <v>412</v>
      </c>
      <c r="L43" s="578">
        <f t="shared" ref="L43:L46" si="27">(M43+N43+O43)/K43</f>
        <v>1994.55</v>
      </c>
      <c r="M43" s="578">
        <v>821756</v>
      </c>
      <c r="N43" s="577"/>
      <c r="O43" s="1057"/>
      <c r="P43" s="559"/>
    </row>
    <row r="44" spans="1:16" s="560" customFormat="1" ht="25.5" x14ac:dyDescent="0.2">
      <c r="A44" s="1068"/>
      <c r="B44" s="869"/>
      <c r="C44" s="868"/>
      <c r="D44" s="757" t="s">
        <v>391</v>
      </c>
      <c r="E44" s="870" t="s">
        <v>390</v>
      </c>
      <c r="F44" s="842">
        <v>5.0999999999999996</v>
      </c>
      <c r="G44" s="838">
        <f t="shared" si="26"/>
        <v>1872.94</v>
      </c>
      <c r="H44" s="578">
        <v>9552</v>
      </c>
      <c r="I44" s="577"/>
      <c r="J44" s="578"/>
      <c r="K44" s="842">
        <v>5.0999999999999996</v>
      </c>
      <c r="L44" s="578">
        <f t="shared" si="27"/>
        <v>2004.12</v>
      </c>
      <c r="M44" s="578">
        <v>10221</v>
      </c>
      <c r="N44" s="577"/>
      <c r="O44" s="1057"/>
      <c r="P44" s="559"/>
    </row>
    <row r="45" spans="1:16" s="560" customFormat="1" ht="18" customHeight="1" x14ac:dyDescent="0.2">
      <c r="A45" s="1066"/>
      <c r="B45" s="861"/>
      <c r="C45" s="860"/>
      <c r="D45" s="862" t="s">
        <v>393</v>
      </c>
      <c r="E45" s="863" t="s">
        <v>460</v>
      </c>
      <c r="F45" s="843">
        <v>85</v>
      </c>
      <c r="G45" s="838">
        <f t="shared" si="26"/>
        <v>12.46</v>
      </c>
      <c r="H45" s="580">
        <v>1059</v>
      </c>
      <c r="I45" s="579"/>
      <c r="J45" s="580"/>
      <c r="K45" s="843">
        <v>85</v>
      </c>
      <c r="L45" s="578">
        <f t="shared" si="27"/>
        <v>13.21</v>
      </c>
      <c r="M45" s="580">
        <v>1123</v>
      </c>
      <c r="N45" s="579"/>
      <c r="O45" s="1059"/>
      <c r="P45" s="559"/>
    </row>
    <row r="46" spans="1:16" s="560" customFormat="1" x14ac:dyDescent="0.2">
      <c r="A46" s="1090">
        <v>247</v>
      </c>
      <c r="B46" s="871">
        <v>223</v>
      </c>
      <c r="C46" s="871">
        <v>932</v>
      </c>
      <c r="D46" s="872" t="s">
        <v>738</v>
      </c>
      <c r="E46" s="873" t="s">
        <v>739</v>
      </c>
      <c r="F46" s="847">
        <v>18208</v>
      </c>
      <c r="G46" s="851">
        <f t="shared" si="26"/>
        <v>4.97</v>
      </c>
      <c r="H46" s="607">
        <v>90500</v>
      </c>
      <c r="I46" s="906"/>
      <c r="J46" s="607"/>
      <c r="K46" s="847">
        <v>18208</v>
      </c>
      <c r="L46" s="775">
        <f t="shared" si="27"/>
        <v>5.18</v>
      </c>
      <c r="M46" s="607">
        <v>94300</v>
      </c>
      <c r="N46" s="906"/>
      <c r="O46" s="1067"/>
      <c r="P46" s="559"/>
    </row>
    <row r="47" spans="1:16" s="560" customFormat="1" x14ac:dyDescent="0.2">
      <c r="A47" s="1069">
        <v>247</v>
      </c>
      <c r="B47" s="874">
        <v>223</v>
      </c>
      <c r="C47" s="867" t="s">
        <v>740</v>
      </c>
      <c r="D47" s="866" t="s">
        <v>741</v>
      </c>
      <c r="E47" s="875"/>
      <c r="F47" s="849"/>
      <c r="G47" s="850"/>
      <c r="H47" s="576">
        <f>SUM(H48:H50)</f>
        <v>178900</v>
      </c>
      <c r="I47" s="576"/>
      <c r="J47" s="576"/>
      <c r="K47" s="1279"/>
      <c r="L47" s="616"/>
      <c r="M47" s="576">
        <f>SUM(M48:M50)</f>
        <v>189100</v>
      </c>
      <c r="N47" s="576"/>
      <c r="O47" s="1055"/>
      <c r="P47" s="559"/>
    </row>
    <row r="48" spans="1:16" s="560" customFormat="1" x14ac:dyDescent="0.2">
      <c r="A48" s="1068"/>
      <c r="B48" s="869"/>
      <c r="C48" s="868"/>
      <c r="D48" s="757" t="s">
        <v>742</v>
      </c>
      <c r="E48" s="870" t="s">
        <v>744</v>
      </c>
      <c r="F48" s="842">
        <v>1059</v>
      </c>
      <c r="G48" s="838">
        <f t="shared" ref="G48:G50" si="28">(H48+I48+J48)/F48</f>
        <v>70.89</v>
      </c>
      <c r="H48" s="578">
        <v>75070</v>
      </c>
      <c r="I48" s="578"/>
      <c r="J48" s="578"/>
      <c r="K48" s="842">
        <v>1059</v>
      </c>
      <c r="L48" s="578">
        <f t="shared" ref="L48:L50" si="29">(M48+N48+O48)/K48</f>
        <v>75.14</v>
      </c>
      <c r="M48" s="578">
        <v>79569</v>
      </c>
      <c r="N48" s="578"/>
      <c r="O48" s="1057"/>
      <c r="P48" s="559"/>
    </row>
    <row r="49" spans="1:16" s="560" customFormat="1" x14ac:dyDescent="0.2">
      <c r="A49" s="1070"/>
      <c r="B49" s="876"/>
      <c r="C49" s="870"/>
      <c r="D49" s="757" t="s">
        <v>394</v>
      </c>
      <c r="E49" s="870" t="s">
        <v>744</v>
      </c>
      <c r="F49" s="842">
        <v>1144</v>
      </c>
      <c r="G49" s="838">
        <f t="shared" si="28"/>
        <v>60.51</v>
      </c>
      <c r="H49" s="578">
        <v>69220</v>
      </c>
      <c r="I49" s="578"/>
      <c r="J49" s="578"/>
      <c r="K49" s="842">
        <v>1144</v>
      </c>
      <c r="L49" s="578">
        <f t="shared" si="29"/>
        <v>63.83</v>
      </c>
      <c r="M49" s="578">
        <v>73021</v>
      </c>
      <c r="N49" s="578"/>
      <c r="O49" s="1057"/>
      <c r="P49" s="559"/>
    </row>
    <row r="50" spans="1:16" s="560" customFormat="1" x14ac:dyDescent="0.2">
      <c r="A50" s="1071"/>
      <c r="B50" s="877"/>
      <c r="C50" s="863"/>
      <c r="D50" s="862" t="s">
        <v>743</v>
      </c>
      <c r="E50" s="863" t="s">
        <v>744</v>
      </c>
      <c r="F50" s="843">
        <f>F49*0.5</f>
        <v>572</v>
      </c>
      <c r="G50" s="839">
        <f t="shared" si="28"/>
        <v>60.51</v>
      </c>
      <c r="H50" s="580">
        <v>34610</v>
      </c>
      <c r="I50" s="580"/>
      <c r="J50" s="580"/>
      <c r="K50" s="799">
        <f>K49*0.5</f>
        <v>572</v>
      </c>
      <c r="L50" s="578">
        <f t="shared" si="29"/>
        <v>63.83</v>
      </c>
      <c r="M50" s="580">
        <v>36510</v>
      </c>
      <c r="N50" s="580"/>
      <c r="O50" s="1059"/>
      <c r="P50" s="559"/>
    </row>
    <row r="51" spans="1:16" s="558" customFormat="1" ht="13.5" thickBot="1" x14ac:dyDescent="0.25">
      <c r="A51" s="1081"/>
      <c r="B51" s="1082"/>
      <c r="C51" s="1082"/>
      <c r="D51" s="1083" t="s">
        <v>8</v>
      </c>
      <c r="E51" s="1084"/>
      <c r="F51" s="1085"/>
      <c r="G51" s="1086"/>
      <c r="H51" s="1086">
        <f>H41+H18+H15+H13+H9</f>
        <v>93797900</v>
      </c>
      <c r="I51" s="1086">
        <f>I41+I18+I15+I13+I9</f>
        <v>1251300</v>
      </c>
      <c r="J51" s="1086">
        <f>J41+J18+J15+J13+J9</f>
        <v>2450100</v>
      </c>
      <c r="K51" s="1086"/>
      <c r="L51" s="1086"/>
      <c r="M51" s="1086">
        <f>M41+M18+M15+M13+M9</f>
        <v>93215000</v>
      </c>
      <c r="N51" s="1086">
        <f>N41+N18+N15+N13+N9</f>
        <v>1251300</v>
      </c>
      <c r="O51" s="1254">
        <f>O41+O18+O15+O13+O9</f>
        <v>2450100</v>
      </c>
      <c r="P51" s="557"/>
    </row>
    <row r="52" spans="1:16" ht="36.75" customHeight="1" x14ac:dyDescent="0.2">
      <c r="F52" s="853"/>
      <c r="G52" s="854"/>
    </row>
    <row r="53" spans="1:16" s="705" customFormat="1" ht="15" customHeight="1" x14ac:dyDescent="0.2">
      <c r="A53" s="701"/>
      <c r="B53" s="701"/>
      <c r="C53" s="701"/>
      <c r="D53" s="702"/>
      <c r="E53" s="702"/>
      <c r="F53" s="703"/>
      <c r="G53" s="704"/>
      <c r="H53" s="913">
        <f>'поступления 831, 841 25-27'!H9</f>
        <v>93797900</v>
      </c>
      <c r="I53" s="913">
        <f>'поступления 831, 841 25-27'!J18</f>
        <v>1251300</v>
      </c>
      <c r="J53" s="913">
        <f>'поступления 831, 841 25-27'!L17</f>
        <v>2450100</v>
      </c>
      <c r="K53" s="918"/>
      <c r="L53" s="913"/>
      <c r="M53" s="913">
        <f>'поступления 831, 841 25-27'!I9</f>
        <v>93215000</v>
      </c>
      <c r="N53" s="913">
        <f>'поступления 831, 841 25-27'!L18</f>
        <v>1251300</v>
      </c>
      <c r="O53" s="913">
        <f>'поступления 831, 841 25-27'!L17</f>
        <v>2450100</v>
      </c>
      <c r="P53" s="781"/>
    </row>
    <row r="54" spans="1:16" s="705" customFormat="1" ht="15" customHeight="1" x14ac:dyDescent="0.2">
      <c r="A54" s="1787" t="s">
        <v>128</v>
      </c>
      <c r="B54" s="1787"/>
      <c r="C54" s="1787"/>
      <c r="D54" s="702"/>
      <c r="E54" s="702"/>
      <c r="F54" s="703"/>
      <c r="G54" s="704"/>
      <c r="H54" s="913">
        <f>H51-H53</f>
        <v>0</v>
      </c>
      <c r="I54" s="913">
        <f t="shared" ref="I54" si="30">I51-I53</f>
        <v>0</v>
      </c>
      <c r="J54" s="913">
        <f>J51-J53</f>
        <v>0</v>
      </c>
      <c r="K54" s="918"/>
      <c r="L54" s="913"/>
      <c r="M54" s="913">
        <f>M51-M53</f>
        <v>0</v>
      </c>
      <c r="N54" s="913">
        <f t="shared" ref="N54:O54" si="31">N51-N53</f>
        <v>0</v>
      </c>
      <c r="O54" s="913">
        <f t="shared" si="31"/>
        <v>0</v>
      </c>
      <c r="P54" s="781"/>
    </row>
    <row r="55" spans="1:16" x14ac:dyDescent="0.2">
      <c r="A55" s="1722" t="s">
        <v>786</v>
      </c>
      <c r="B55" s="1722"/>
      <c r="C55" s="1722"/>
      <c r="D55" s="1722"/>
      <c r="H55" s="909">
        <f>H51-'поступления 831, 841 25-27'!H9</f>
        <v>0</v>
      </c>
      <c r="I55" s="909">
        <f>I51-'поступления 831, 841 25-27'!J18</f>
        <v>0</v>
      </c>
      <c r="J55" s="909">
        <f>J51-'поступления 831, 841 25-27'!J17</f>
        <v>0</v>
      </c>
      <c r="K55" s="919"/>
      <c r="L55" s="909"/>
      <c r="M55" s="909">
        <f>M51-'поступления 831, 841 25-27'!I9</f>
        <v>0</v>
      </c>
      <c r="N55" s="909">
        <f>N51-'поступления 831, 841 25-27'!L18</f>
        <v>0</v>
      </c>
      <c r="O55" s="909">
        <f>O51-'поступления 831, 841 25-27'!L17</f>
        <v>0</v>
      </c>
    </row>
    <row r="184" spans="21:21" x14ac:dyDescent="0.2">
      <c r="U184">
        <f>S184*T184</f>
        <v>0</v>
      </c>
    </row>
  </sheetData>
  <mergeCells count="27">
    <mergeCell ref="A2:O2"/>
    <mergeCell ref="A3:L3"/>
    <mergeCell ref="A1:O1"/>
    <mergeCell ref="K5:O5"/>
    <mergeCell ref="K6:K8"/>
    <mergeCell ref="L6:L8"/>
    <mergeCell ref="M6:O6"/>
    <mergeCell ref="M7:M8"/>
    <mergeCell ref="N7:O7"/>
    <mergeCell ref="A5:A8"/>
    <mergeCell ref="B5:B8"/>
    <mergeCell ref="C5:C8"/>
    <mergeCell ref="D5:D8"/>
    <mergeCell ref="A55:D55"/>
    <mergeCell ref="A54:C54"/>
    <mergeCell ref="A41:E41"/>
    <mergeCell ref="A18:E18"/>
    <mergeCell ref="I7:J7"/>
    <mergeCell ref="A9:E9"/>
    <mergeCell ref="A13:E13"/>
    <mergeCell ref="H7:H8"/>
    <mergeCell ref="A15:E15"/>
    <mergeCell ref="F6:F8"/>
    <mergeCell ref="G6:G8"/>
    <mergeCell ref="H6:J6"/>
    <mergeCell ref="E5:E8"/>
    <mergeCell ref="F5:J5"/>
  </mergeCells>
  <pageMargins left="0.17" right="0.17" top="0.34" bottom="0.75" header="0.3" footer="0.3"/>
  <pageSetup paperSize="9" scale="56" fitToHeight="0" orientation="landscape" r:id="rId1"/>
  <rowBreaks count="2" manualBreakCount="2">
    <brk id="38" max="14" man="1"/>
    <brk id="54"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99"/>
    <pageSetUpPr fitToPage="1"/>
  </sheetPr>
  <dimension ref="A1:X202"/>
  <sheetViews>
    <sheetView view="pageBreakPreview" zoomScale="80" zoomScaleNormal="100" zoomScaleSheetLayoutView="80" workbookViewId="0">
      <pane ySplit="8" topLeftCell="A45" activePane="bottomLeft" state="frozen"/>
      <selection pane="bottomLeft" activeCell="K48" sqref="K48"/>
    </sheetView>
  </sheetViews>
  <sheetFormatPr defaultRowHeight="12.75" x14ac:dyDescent="0.2"/>
  <cols>
    <col min="1" max="3" width="9.33203125" style="492"/>
    <col min="4" max="4" width="51.1640625" style="778" customWidth="1"/>
    <col min="5" max="5" width="14" style="773" customWidth="1"/>
    <col min="6" max="6" width="12" style="600" customWidth="1"/>
    <col min="7" max="7" width="13.1640625" style="582" customWidth="1"/>
    <col min="8" max="8" width="21.33203125" style="908" customWidth="1"/>
    <col min="9" max="9" width="11.6640625" style="557" customWidth="1"/>
    <col min="10" max="10" width="14.1640625" style="557" customWidth="1"/>
    <col min="11" max="11" width="17.1640625" style="557" customWidth="1"/>
    <col min="12" max="19" width="9.33203125" style="509"/>
  </cols>
  <sheetData>
    <row r="1" spans="1:19" ht="16.5" x14ac:dyDescent="0.2">
      <c r="A1" s="1642" t="s">
        <v>824</v>
      </c>
      <c r="B1" s="1642"/>
      <c r="C1" s="1642"/>
      <c r="D1" s="1642"/>
      <c r="E1" s="1642"/>
      <c r="F1" s="1642"/>
      <c r="G1" s="1642"/>
      <c r="H1" s="1642"/>
      <c r="I1" s="1642"/>
      <c r="J1" s="1642"/>
      <c r="K1" s="1642"/>
    </row>
    <row r="2" spans="1:19" ht="16.5" x14ac:dyDescent="0.2">
      <c r="A2" s="1642" t="s">
        <v>815</v>
      </c>
      <c r="B2" s="1642"/>
      <c r="C2" s="1642"/>
      <c r="D2" s="1642"/>
      <c r="E2" s="1642"/>
      <c r="F2" s="1642"/>
      <c r="G2" s="1642"/>
      <c r="H2" s="1642"/>
      <c r="I2" s="1642"/>
      <c r="J2" s="1642"/>
      <c r="K2" s="1642"/>
    </row>
    <row r="3" spans="1:19" ht="15.75" x14ac:dyDescent="0.2">
      <c r="A3" s="1644" t="s">
        <v>818</v>
      </c>
      <c r="B3" s="1644"/>
      <c r="C3" s="1644"/>
      <c r="D3" s="1644"/>
      <c r="E3" s="1644"/>
      <c r="F3" s="1644"/>
      <c r="G3" s="1644"/>
      <c r="H3" s="1644"/>
      <c r="I3" s="1644"/>
    </row>
    <row r="4" spans="1:19" s="506" customFormat="1" x14ac:dyDescent="0.2">
      <c r="A4" s="507"/>
      <c r="B4" s="507"/>
      <c r="C4" s="507"/>
      <c r="D4" s="777"/>
      <c r="E4" s="508"/>
      <c r="F4" s="593"/>
      <c r="G4" s="573"/>
      <c r="H4" s="907"/>
      <c r="I4" s="603"/>
      <c r="J4" s="603"/>
      <c r="K4" s="603"/>
      <c r="L4" s="510"/>
      <c r="M4" s="510"/>
      <c r="N4" s="510"/>
      <c r="O4" s="510"/>
      <c r="P4" s="510"/>
      <c r="Q4" s="510"/>
      <c r="R4" s="510"/>
      <c r="S4" s="510"/>
    </row>
    <row r="5" spans="1:19" s="506" customFormat="1" x14ac:dyDescent="0.2">
      <c r="A5" s="1650" t="s">
        <v>647</v>
      </c>
      <c r="B5" s="1650" t="s">
        <v>347</v>
      </c>
      <c r="C5" s="1650" t="s">
        <v>707</v>
      </c>
      <c r="D5" s="1719" t="s">
        <v>175</v>
      </c>
      <c r="E5" s="1778" t="s">
        <v>180</v>
      </c>
      <c r="F5" s="1752" t="s">
        <v>723</v>
      </c>
      <c r="G5" s="1753"/>
      <c r="H5" s="1753"/>
      <c r="I5" s="1815" t="s">
        <v>871</v>
      </c>
      <c r="J5" s="1816"/>
      <c r="K5" s="1817"/>
      <c r="L5" s="510"/>
      <c r="M5" s="510"/>
      <c r="N5" s="510"/>
      <c r="O5" s="510"/>
      <c r="P5" s="510"/>
      <c r="Q5" s="510"/>
      <c r="R5" s="510"/>
      <c r="S5" s="510"/>
    </row>
    <row r="6" spans="1:19" s="506" customFormat="1" x14ac:dyDescent="0.2">
      <c r="A6" s="1650"/>
      <c r="B6" s="1650"/>
      <c r="C6" s="1650"/>
      <c r="D6" s="1719"/>
      <c r="E6" s="1657"/>
      <c r="F6" s="1661" t="s">
        <v>713</v>
      </c>
      <c r="G6" s="1779" t="s">
        <v>710</v>
      </c>
      <c r="H6" s="920" t="s">
        <v>716</v>
      </c>
      <c r="I6" s="1811" t="s">
        <v>713</v>
      </c>
      <c r="J6" s="1819" t="s">
        <v>710</v>
      </c>
      <c r="K6" s="1394" t="s">
        <v>716</v>
      </c>
      <c r="L6" s="510"/>
      <c r="M6" s="510"/>
      <c r="N6" s="510"/>
      <c r="O6" s="510"/>
      <c r="P6" s="510"/>
      <c r="Q6" s="510"/>
      <c r="R6" s="510"/>
      <c r="S6" s="510"/>
    </row>
    <row r="7" spans="1:19" s="506" customFormat="1" ht="30.75" customHeight="1" x14ac:dyDescent="0.2">
      <c r="A7" s="1650"/>
      <c r="B7" s="1650"/>
      <c r="C7" s="1650"/>
      <c r="D7" s="1719"/>
      <c r="E7" s="1657"/>
      <c r="F7" s="1662"/>
      <c r="G7" s="1747"/>
      <c r="H7" s="1811" t="s">
        <v>774</v>
      </c>
      <c r="I7" s="1818"/>
      <c r="J7" s="1820"/>
      <c r="K7" s="1819" t="s">
        <v>774</v>
      </c>
      <c r="L7" s="510"/>
      <c r="M7" s="510"/>
      <c r="N7" s="510"/>
      <c r="O7" s="510"/>
      <c r="P7" s="510"/>
      <c r="Q7" s="510"/>
      <c r="R7" s="510"/>
      <c r="S7" s="510"/>
    </row>
    <row r="8" spans="1:19" s="507" customFormat="1" ht="30.75" customHeight="1" x14ac:dyDescent="0.2">
      <c r="A8" s="1650"/>
      <c r="B8" s="1650"/>
      <c r="C8" s="1650"/>
      <c r="D8" s="1719"/>
      <c r="E8" s="1658"/>
      <c r="F8" s="1663"/>
      <c r="G8" s="1780"/>
      <c r="H8" s="1812"/>
      <c r="I8" s="1812"/>
      <c r="J8" s="1821"/>
      <c r="K8" s="1821"/>
      <c r="L8" s="511"/>
      <c r="M8" s="511"/>
      <c r="N8" s="511"/>
      <c r="O8" s="511"/>
      <c r="P8" s="511"/>
      <c r="Q8" s="511"/>
      <c r="R8" s="511"/>
      <c r="S8" s="511"/>
    </row>
    <row r="9" spans="1:19" ht="45.75" customHeight="1" x14ac:dyDescent="0.2">
      <c r="A9" s="1813" t="s">
        <v>465</v>
      </c>
      <c r="B9" s="1814"/>
      <c r="C9" s="1814"/>
      <c r="D9" s="1814"/>
      <c r="E9" s="1814"/>
      <c r="F9" s="812"/>
      <c r="G9" s="812"/>
      <c r="H9" s="898">
        <f>H10</f>
        <v>347700</v>
      </c>
      <c r="I9" s="898"/>
      <c r="J9" s="898"/>
      <c r="K9" s="898">
        <f>K10</f>
        <v>347700</v>
      </c>
    </row>
    <row r="10" spans="1:19" s="560" customFormat="1" ht="38.25" x14ac:dyDescent="0.2">
      <c r="A10" s="864">
        <v>112</v>
      </c>
      <c r="B10" s="865">
        <v>212</v>
      </c>
      <c r="C10" s="864">
        <v>912</v>
      </c>
      <c r="D10" s="866" t="s">
        <v>219</v>
      </c>
      <c r="E10" s="867" t="s">
        <v>769</v>
      </c>
      <c r="F10" s="594">
        <f>6*5+3*7</f>
        <v>51</v>
      </c>
      <c r="G10" s="837">
        <f>H10/F10</f>
        <v>6817.65</v>
      </c>
      <c r="H10" s="575">
        <f>H11+H12</f>
        <v>347700</v>
      </c>
      <c r="I10" s="594">
        <f>6*5+3*7</f>
        <v>51</v>
      </c>
      <c r="J10" s="1382">
        <f>K10/I10</f>
        <v>6817.65</v>
      </c>
      <c r="K10" s="576">
        <f>K11+K12</f>
        <v>347700</v>
      </c>
      <c r="L10" s="559"/>
      <c r="M10" s="559"/>
      <c r="N10" s="559"/>
      <c r="O10" s="559"/>
      <c r="P10" s="559"/>
      <c r="Q10" s="559"/>
      <c r="R10" s="559"/>
      <c r="S10" s="559"/>
    </row>
    <row r="11" spans="1:19" s="560" customFormat="1" ht="18.75" customHeight="1" x14ac:dyDescent="0.2">
      <c r="A11" s="1390">
        <v>112</v>
      </c>
      <c r="B11" s="1380">
        <v>212</v>
      </c>
      <c r="C11" s="1390">
        <v>912</v>
      </c>
      <c r="D11" s="1381" t="s">
        <v>896</v>
      </c>
      <c r="E11" s="1391" t="s">
        <v>769</v>
      </c>
      <c r="F11" s="1364">
        <f>6*5+3*7</f>
        <v>51</v>
      </c>
      <c r="G11" s="1365">
        <f>H11/F11</f>
        <v>700</v>
      </c>
      <c r="H11" s="1342">
        <v>35700</v>
      </c>
      <c r="I11" s="1364">
        <f>6*5+3*7</f>
        <v>51</v>
      </c>
      <c r="J11" s="1342">
        <v>700</v>
      </c>
      <c r="K11" s="1365">
        <v>35700</v>
      </c>
      <c r="L11" s="559"/>
      <c r="M11" s="559"/>
      <c r="N11" s="559"/>
      <c r="O11" s="559"/>
      <c r="P11" s="559"/>
      <c r="Q11" s="559"/>
      <c r="R11" s="559"/>
      <c r="S11" s="559"/>
    </row>
    <row r="12" spans="1:19" s="560" customFormat="1" x14ac:dyDescent="0.2">
      <c r="A12" s="1377">
        <v>112</v>
      </c>
      <c r="B12" s="1383">
        <v>226</v>
      </c>
      <c r="C12" s="1377">
        <v>912</v>
      </c>
      <c r="D12" s="1386" t="s">
        <v>895</v>
      </c>
      <c r="E12" s="1378" t="s">
        <v>182</v>
      </c>
      <c r="F12" s="1398">
        <v>9</v>
      </c>
      <c r="G12" s="1379">
        <f>H12/F12</f>
        <v>34666.67</v>
      </c>
      <c r="H12" s="1235">
        <v>312000</v>
      </c>
      <c r="I12" s="1379"/>
      <c r="J12" s="1235"/>
      <c r="K12" s="1379">
        <v>312000</v>
      </c>
      <c r="L12" s="559"/>
      <c r="M12" s="559"/>
      <c r="N12" s="559"/>
      <c r="O12" s="559"/>
      <c r="P12" s="559"/>
      <c r="Q12" s="559"/>
      <c r="R12" s="559"/>
      <c r="S12" s="559"/>
    </row>
    <row r="13" spans="1:19" s="558" customFormat="1" ht="48.75" customHeight="1" x14ac:dyDescent="0.2">
      <c r="A13" s="1809" t="s">
        <v>638</v>
      </c>
      <c r="B13" s="1810"/>
      <c r="C13" s="1810"/>
      <c r="D13" s="1810"/>
      <c r="E13" s="1810"/>
      <c r="F13" s="1384"/>
      <c r="G13" s="1384"/>
      <c r="H13" s="1385">
        <f>H14+H17+H20+H23+H32+H35+H42+H46+H50</f>
        <v>3401100</v>
      </c>
      <c r="I13" s="1385"/>
      <c r="J13" s="1385"/>
      <c r="K13" s="1385">
        <f>K14+K17+K20+K23+K32+K35+K42+K46+K50</f>
        <v>3571200</v>
      </c>
      <c r="L13" s="557"/>
      <c r="M13" s="557"/>
      <c r="N13" s="557"/>
      <c r="O13" s="557"/>
      <c r="P13" s="557"/>
      <c r="Q13" s="557"/>
      <c r="R13" s="557"/>
      <c r="S13" s="557"/>
    </row>
    <row r="14" spans="1:19" s="604" customFormat="1" ht="30" customHeight="1" x14ac:dyDescent="0.2">
      <c r="A14" s="592">
        <v>244</v>
      </c>
      <c r="B14" s="569">
        <v>222</v>
      </c>
      <c r="C14" s="592">
        <v>922</v>
      </c>
      <c r="D14" s="1338" t="s">
        <v>912</v>
      </c>
      <c r="E14" s="614"/>
      <c r="F14" s="602"/>
      <c r="G14" s="594"/>
      <c r="H14" s="1387">
        <f>SUM(H15:H16)</f>
        <v>68500</v>
      </c>
      <c r="I14" s="894"/>
      <c r="J14" s="893"/>
      <c r="K14" s="1393">
        <f>SUM(K15:K16)</f>
        <v>58500</v>
      </c>
      <c r="L14" s="603"/>
      <c r="M14" s="603"/>
      <c r="N14" s="603"/>
      <c r="O14" s="603"/>
      <c r="P14" s="603"/>
      <c r="Q14" s="603"/>
      <c r="R14" s="603"/>
      <c r="S14" s="603"/>
    </row>
    <row r="15" spans="1:19" s="604" customFormat="1" ht="15.75" customHeight="1" x14ac:dyDescent="0.2">
      <c r="A15" s="610"/>
      <c r="B15" s="568"/>
      <c r="C15" s="610"/>
      <c r="D15" s="1337" t="s">
        <v>825</v>
      </c>
      <c r="E15" s="612" t="s">
        <v>773</v>
      </c>
      <c r="F15" s="599">
        <v>1</v>
      </c>
      <c r="G15" s="595">
        <f t="shared" ref="G15:G16" si="0">(H15)/F15</f>
        <v>35000</v>
      </c>
      <c r="H15" s="577">
        <f>25000+10000</f>
        <v>35000</v>
      </c>
      <c r="I15" s="895">
        <v>1</v>
      </c>
      <c r="J15" s="896">
        <f t="shared" ref="J15:J16" si="1">(K15)/I15</f>
        <v>25000</v>
      </c>
      <c r="K15" s="578">
        <v>25000</v>
      </c>
      <c r="L15" s="603"/>
      <c r="M15" s="603"/>
      <c r="N15" s="603"/>
      <c r="O15" s="603"/>
      <c r="P15" s="603"/>
      <c r="Q15" s="603"/>
      <c r="R15" s="603"/>
      <c r="S15" s="603"/>
    </row>
    <row r="16" spans="1:19" s="604" customFormat="1" ht="17.25" customHeight="1" x14ac:dyDescent="0.2">
      <c r="A16" s="610"/>
      <c r="B16" s="568"/>
      <c r="C16" s="610"/>
      <c r="D16" s="1337" t="s">
        <v>903</v>
      </c>
      <c r="E16" s="612" t="s">
        <v>773</v>
      </c>
      <c r="F16" s="599">
        <v>1</v>
      </c>
      <c r="G16" s="595">
        <f t="shared" si="0"/>
        <v>33500</v>
      </c>
      <c r="H16" s="577">
        <f>33500</f>
        <v>33500</v>
      </c>
      <c r="I16" s="895">
        <v>1</v>
      </c>
      <c r="J16" s="896">
        <f t="shared" si="1"/>
        <v>33500</v>
      </c>
      <c r="K16" s="578">
        <f>33500</f>
        <v>33500</v>
      </c>
      <c r="L16" s="603"/>
      <c r="M16" s="603"/>
      <c r="N16" s="603"/>
      <c r="O16" s="603"/>
      <c r="P16" s="603"/>
      <c r="Q16" s="603"/>
      <c r="R16" s="603"/>
      <c r="S16" s="603"/>
    </row>
    <row r="17" spans="1:19" s="604" customFormat="1" x14ac:dyDescent="0.2">
      <c r="A17" s="1310">
        <v>244</v>
      </c>
      <c r="B17" s="1313">
        <v>221</v>
      </c>
      <c r="C17" s="1310">
        <v>925</v>
      </c>
      <c r="D17" s="589" t="s">
        <v>734</v>
      </c>
      <c r="E17" s="592"/>
      <c r="F17" s="602"/>
      <c r="G17" s="576"/>
      <c r="H17" s="575">
        <f>SUM(H18:H19)</f>
        <v>297000</v>
      </c>
      <c r="I17" s="894"/>
      <c r="J17" s="893"/>
      <c r="K17" s="783">
        <f>SUM(K18:K19)</f>
        <v>297000</v>
      </c>
      <c r="L17" s="603"/>
      <c r="M17" s="603"/>
      <c r="N17" s="603"/>
      <c r="O17" s="603"/>
      <c r="P17" s="603"/>
      <c r="Q17" s="603"/>
      <c r="R17" s="603"/>
      <c r="S17" s="603"/>
    </row>
    <row r="18" spans="1:19" s="604" customFormat="1" ht="15.75" customHeight="1" x14ac:dyDescent="0.2">
      <c r="A18" s="566"/>
      <c r="B18" s="561"/>
      <c r="C18" s="566"/>
      <c r="D18" s="588" t="s">
        <v>798</v>
      </c>
      <c r="E18" s="612" t="s">
        <v>181</v>
      </c>
      <c r="F18" s="613">
        <v>7</v>
      </c>
      <c r="G18" s="578">
        <f>(H18)/F18</f>
        <v>1285.71</v>
      </c>
      <c r="H18" s="577">
        <v>9000</v>
      </c>
      <c r="I18" s="895">
        <v>12</v>
      </c>
      <c r="J18" s="896">
        <f t="shared" ref="J18:J22" si="2">K18/I18</f>
        <v>750</v>
      </c>
      <c r="K18" s="578">
        <v>9000</v>
      </c>
      <c r="L18" s="603"/>
      <c r="M18" s="603"/>
      <c r="N18" s="603"/>
      <c r="O18" s="603"/>
      <c r="P18" s="603"/>
      <c r="Q18" s="603"/>
      <c r="R18" s="603"/>
      <c r="S18" s="603"/>
    </row>
    <row r="19" spans="1:19" s="604" customFormat="1" x14ac:dyDescent="0.2">
      <c r="A19" s="566"/>
      <c r="B19" s="561"/>
      <c r="C19" s="566"/>
      <c r="D19" s="588" t="s">
        <v>799</v>
      </c>
      <c r="E19" s="612" t="s">
        <v>178</v>
      </c>
      <c r="F19" s="613">
        <v>12</v>
      </c>
      <c r="G19" s="578">
        <f>(H19)/F19</f>
        <v>24000</v>
      </c>
      <c r="H19" s="577">
        <v>288000</v>
      </c>
      <c r="I19" s="895">
        <v>12</v>
      </c>
      <c r="J19" s="896">
        <f t="shared" si="2"/>
        <v>24000</v>
      </c>
      <c r="K19" s="578">
        <v>288000</v>
      </c>
      <c r="L19" s="603"/>
      <c r="M19" s="603"/>
      <c r="N19" s="603"/>
      <c r="O19" s="603"/>
      <c r="P19" s="603"/>
      <c r="Q19" s="603"/>
      <c r="R19" s="603"/>
      <c r="S19" s="603"/>
    </row>
    <row r="20" spans="1:19" s="604" customFormat="1" ht="51" x14ac:dyDescent="0.2">
      <c r="A20" s="592">
        <v>244</v>
      </c>
      <c r="B20" s="569">
        <v>225</v>
      </c>
      <c r="C20" s="592">
        <v>941</v>
      </c>
      <c r="D20" s="589" t="s">
        <v>881</v>
      </c>
      <c r="E20" s="614"/>
      <c r="F20" s="615"/>
      <c r="G20" s="616"/>
      <c r="H20" s="575">
        <f>H22+H21</f>
        <v>86500</v>
      </c>
      <c r="I20" s="894"/>
      <c r="J20" s="893"/>
      <c r="K20" s="1393">
        <f>K22+K21</f>
        <v>96500</v>
      </c>
      <c r="L20" s="603"/>
      <c r="M20" s="603"/>
      <c r="N20" s="603"/>
      <c r="O20" s="603"/>
      <c r="P20" s="603"/>
      <c r="Q20" s="603"/>
      <c r="R20" s="603"/>
      <c r="S20" s="603"/>
    </row>
    <row r="21" spans="1:19" s="604" customFormat="1" ht="15.75" customHeight="1" x14ac:dyDescent="0.2">
      <c r="A21" s="610"/>
      <c r="B21" s="568"/>
      <c r="C21" s="610"/>
      <c r="D21" s="1341" t="s">
        <v>801</v>
      </c>
      <c r="E21" s="1246" t="s">
        <v>748</v>
      </c>
      <c r="F21" s="896">
        <v>1</v>
      </c>
      <c r="G21" s="895">
        <f>H21/F21</f>
        <v>50000</v>
      </c>
      <c r="H21" s="896">
        <v>50000</v>
      </c>
      <c r="I21" s="895">
        <v>1</v>
      </c>
      <c r="J21" s="896">
        <f t="shared" si="2"/>
        <v>60000</v>
      </c>
      <c r="K21" s="895">
        <v>60000</v>
      </c>
      <c r="L21" s="603"/>
      <c r="M21" s="603"/>
      <c r="N21" s="603"/>
      <c r="O21" s="603"/>
      <c r="P21" s="603"/>
      <c r="Q21" s="603"/>
      <c r="R21" s="603"/>
      <c r="S21" s="603"/>
    </row>
    <row r="22" spans="1:19" s="604" customFormat="1" ht="17.25" customHeight="1" x14ac:dyDescent="0.2">
      <c r="A22" s="612"/>
      <c r="B22" s="562"/>
      <c r="C22" s="612"/>
      <c r="D22" s="1341" t="s">
        <v>800</v>
      </c>
      <c r="E22" s="1246" t="s">
        <v>748</v>
      </c>
      <c r="F22" s="896">
        <v>1</v>
      </c>
      <c r="G22" s="895">
        <f>(H22)/F22</f>
        <v>36500</v>
      </c>
      <c r="H22" s="896">
        <f>70000-33500</f>
        <v>36500</v>
      </c>
      <c r="I22" s="895">
        <v>1</v>
      </c>
      <c r="J22" s="896">
        <f t="shared" si="2"/>
        <v>36500</v>
      </c>
      <c r="K22" s="895">
        <f>70000-33500</f>
        <v>36500</v>
      </c>
      <c r="L22" s="603"/>
      <c r="M22" s="603"/>
      <c r="N22" s="603"/>
      <c r="O22" s="603"/>
      <c r="P22" s="603"/>
      <c r="Q22" s="603"/>
      <c r="R22" s="603"/>
      <c r="S22" s="603"/>
    </row>
    <row r="23" spans="1:19" s="604" customFormat="1" x14ac:dyDescent="0.2">
      <c r="A23" s="592">
        <v>244</v>
      </c>
      <c r="B23" s="569">
        <v>226</v>
      </c>
      <c r="C23" s="592" t="s">
        <v>754</v>
      </c>
      <c r="D23" s="589" t="s">
        <v>755</v>
      </c>
      <c r="E23" s="592"/>
      <c r="F23" s="602"/>
      <c r="G23" s="576"/>
      <c r="H23" s="575">
        <f>SUM(H24:H31)</f>
        <v>410000</v>
      </c>
      <c r="I23" s="894"/>
      <c r="J23" s="893"/>
      <c r="K23" s="783">
        <f>SUM(K24:K31)</f>
        <v>243000</v>
      </c>
      <c r="L23" s="603"/>
      <c r="M23" s="603"/>
      <c r="N23" s="603"/>
      <c r="O23" s="603"/>
      <c r="P23" s="603"/>
      <c r="Q23" s="603"/>
      <c r="R23" s="603"/>
      <c r="S23" s="603"/>
    </row>
    <row r="24" spans="1:19" s="604" customFormat="1" ht="15.75" customHeight="1" x14ac:dyDescent="0.2">
      <c r="A24" s="612"/>
      <c r="B24" s="562"/>
      <c r="C24" s="612"/>
      <c r="D24" s="1341" t="s">
        <v>826</v>
      </c>
      <c r="E24" s="612" t="s">
        <v>389</v>
      </c>
      <c r="F24" s="613">
        <v>1</v>
      </c>
      <c r="G24" s="578">
        <f t="shared" ref="G24:G31" si="3">H24/F24</f>
        <v>30000</v>
      </c>
      <c r="H24" s="896">
        <v>30000</v>
      </c>
      <c r="I24" s="895">
        <v>1</v>
      </c>
      <c r="J24" s="896">
        <f t="shared" ref="J24:J34" si="4">K24/I24</f>
        <v>30000</v>
      </c>
      <c r="K24" s="578">
        <v>30000</v>
      </c>
      <c r="L24" s="603"/>
      <c r="M24" s="603"/>
      <c r="N24" s="603"/>
      <c r="O24" s="603"/>
      <c r="P24" s="603"/>
      <c r="Q24" s="603"/>
      <c r="R24" s="603"/>
      <c r="S24" s="603"/>
    </row>
    <row r="25" spans="1:19" s="604" customFormat="1" ht="15.75" customHeight="1" x14ac:dyDescent="0.2">
      <c r="A25" s="612"/>
      <c r="B25" s="562"/>
      <c r="C25" s="612"/>
      <c r="D25" s="1341" t="s">
        <v>859</v>
      </c>
      <c r="E25" s="612" t="s">
        <v>389</v>
      </c>
      <c r="F25" s="613">
        <v>1</v>
      </c>
      <c r="G25" s="578">
        <f t="shared" si="3"/>
        <v>60000</v>
      </c>
      <c r="H25" s="896">
        <v>60000</v>
      </c>
      <c r="I25" s="895">
        <v>1</v>
      </c>
      <c r="J25" s="896">
        <f t="shared" si="4"/>
        <v>60000</v>
      </c>
      <c r="K25" s="578">
        <v>60000</v>
      </c>
      <c r="L25" s="603"/>
      <c r="M25" s="603"/>
      <c r="N25" s="603"/>
      <c r="O25" s="603"/>
      <c r="P25" s="603"/>
      <c r="Q25" s="603"/>
      <c r="R25" s="603"/>
      <c r="S25" s="603"/>
    </row>
    <row r="26" spans="1:19" s="604" customFormat="1" ht="15.75" customHeight="1" x14ac:dyDescent="0.2">
      <c r="A26" s="612"/>
      <c r="B26" s="562"/>
      <c r="C26" s="612"/>
      <c r="D26" s="1341" t="s">
        <v>828</v>
      </c>
      <c r="E26" s="612" t="s">
        <v>389</v>
      </c>
      <c r="F26" s="613">
        <v>1</v>
      </c>
      <c r="G26" s="578">
        <f t="shared" si="3"/>
        <v>10000</v>
      </c>
      <c r="H26" s="896">
        <v>10000</v>
      </c>
      <c r="I26" s="895">
        <v>1</v>
      </c>
      <c r="J26" s="896">
        <f t="shared" si="4"/>
        <v>10000</v>
      </c>
      <c r="K26" s="578">
        <v>10000</v>
      </c>
      <c r="L26" s="603"/>
      <c r="M26" s="603"/>
      <c r="N26" s="603"/>
      <c r="O26" s="603"/>
      <c r="P26" s="603"/>
      <c r="Q26" s="603"/>
      <c r="R26" s="603"/>
      <c r="S26" s="603"/>
    </row>
    <row r="27" spans="1:19" s="604" customFormat="1" ht="15.75" customHeight="1" x14ac:dyDescent="0.2">
      <c r="A27" s="612"/>
      <c r="B27" s="562"/>
      <c r="C27" s="612"/>
      <c r="D27" s="1341" t="s">
        <v>829</v>
      </c>
      <c r="E27" s="612" t="s">
        <v>389</v>
      </c>
      <c r="F27" s="613">
        <v>1</v>
      </c>
      <c r="G27" s="578">
        <f t="shared" si="3"/>
        <v>30000</v>
      </c>
      <c r="H27" s="896">
        <v>30000</v>
      </c>
      <c r="I27" s="895">
        <v>1</v>
      </c>
      <c r="J27" s="896">
        <f t="shared" si="4"/>
        <v>30000</v>
      </c>
      <c r="K27" s="578">
        <v>30000</v>
      </c>
      <c r="L27" s="603"/>
      <c r="M27" s="603"/>
      <c r="N27" s="603"/>
      <c r="O27" s="603"/>
      <c r="P27" s="603"/>
      <c r="Q27" s="603"/>
      <c r="R27" s="603"/>
      <c r="S27" s="603"/>
    </row>
    <row r="28" spans="1:19" s="604" customFormat="1" ht="15.75" customHeight="1" x14ac:dyDescent="0.2">
      <c r="A28" s="612"/>
      <c r="B28" s="562"/>
      <c r="C28" s="612"/>
      <c r="D28" s="1341" t="s">
        <v>827</v>
      </c>
      <c r="E28" s="612" t="s">
        <v>389</v>
      </c>
      <c r="F28" s="613">
        <v>1</v>
      </c>
      <c r="G28" s="578">
        <f t="shared" si="3"/>
        <v>10000</v>
      </c>
      <c r="H28" s="896">
        <v>10000</v>
      </c>
      <c r="I28" s="895">
        <v>1</v>
      </c>
      <c r="J28" s="896">
        <f t="shared" ref="J28:J30" si="5">K28/I28</f>
        <v>10000</v>
      </c>
      <c r="K28" s="578">
        <v>10000</v>
      </c>
      <c r="L28" s="603"/>
      <c r="M28" s="603"/>
      <c r="N28" s="603"/>
      <c r="O28" s="603"/>
      <c r="P28" s="603"/>
      <c r="Q28" s="603"/>
      <c r="R28" s="603"/>
      <c r="S28" s="603"/>
    </row>
    <row r="29" spans="1:19" s="604" customFormat="1" ht="15.75" customHeight="1" x14ac:dyDescent="0.2">
      <c r="A29" s="612"/>
      <c r="B29" s="562"/>
      <c r="C29" s="612"/>
      <c r="D29" s="588" t="s">
        <v>830</v>
      </c>
      <c r="E29" s="612" t="s">
        <v>389</v>
      </c>
      <c r="F29" s="613">
        <v>1</v>
      </c>
      <c r="G29" s="578">
        <f t="shared" si="3"/>
        <v>13000</v>
      </c>
      <c r="H29" s="896">
        <v>13000</v>
      </c>
      <c r="I29" s="895">
        <v>1</v>
      </c>
      <c r="J29" s="896">
        <f t="shared" si="5"/>
        <v>13000</v>
      </c>
      <c r="K29" s="578">
        <v>13000</v>
      </c>
      <c r="L29" s="603"/>
      <c r="M29" s="603"/>
      <c r="N29" s="603"/>
      <c r="O29" s="603"/>
      <c r="P29" s="603"/>
      <c r="Q29" s="603"/>
      <c r="R29" s="603"/>
      <c r="S29" s="603"/>
    </row>
    <row r="30" spans="1:19" s="604" customFormat="1" ht="15.75" customHeight="1" x14ac:dyDescent="0.2">
      <c r="A30" s="612"/>
      <c r="B30" s="562"/>
      <c r="C30" s="612"/>
      <c r="D30" s="588" t="s">
        <v>831</v>
      </c>
      <c r="E30" s="612" t="s">
        <v>389</v>
      </c>
      <c r="F30" s="613">
        <v>1</v>
      </c>
      <c r="G30" s="578">
        <f t="shared" si="3"/>
        <v>90000</v>
      </c>
      <c r="H30" s="896">
        <v>90000</v>
      </c>
      <c r="I30" s="895">
        <v>1</v>
      </c>
      <c r="J30" s="896">
        <f t="shared" si="5"/>
        <v>90000</v>
      </c>
      <c r="K30" s="578">
        <v>90000</v>
      </c>
      <c r="L30" s="603"/>
      <c r="M30" s="603"/>
      <c r="N30" s="603"/>
      <c r="O30" s="603"/>
      <c r="P30" s="603"/>
      <c r="Q30" s="603"/>
      <c r="R30" s="603"/>
      <c r="S30" s="603"/>
    </row>
    <row r="31" spans="1:19" s="604" customFormat="1" ht="15.75" customHeight="1" x14ac:dyDescent="0.2">
      <c r="A31" s="612"/>
      <c r="B31" s="562"/>
      <c r="C31" s="612"/>
      <c r="D31" s="588" t="s">
        <v>894</v>
      </c>
      <c r="E31" s="612" t="s">
        <v>748</v>
      </c>
      <c r="F31" s="613">
        <v>1</v>
      </c>
      <c r="G31" s="578">
        <f t="shared" si="3"/>
        <v>167000</v>
      </c>
      <c r="H31" s="896">
        <v>167000</v>
      </c>
      <c r="I31" s="895">
        <v>1</v>
      </c>
      <c r="J31" s="896">
        <f t="shared" si="4"/>
        <v>0</v>
      </c>
      <c r="K31" s="578">
        <v>0</v>
      </c>
      <c r="L31" s="603"/>
      <c r="M31" s="603"/>
      <c r="N31" s="603"/>
      <c r="O31" s="603"/>
      <c r="P31" s="603"/>
      <c r="Q31" s="603"/>
      <c r="R31" s="603"/>
      <c r="S31" s="603"/>
    </row>
    <row r="32" spans="1:19" s="604" customFormat="1" ht="27" customHeight="1" x14ac:dyDescent="0.2">
      <c r="A32" s="592"/>
      <c r="B32" s="569"/>
      <c r="C32" s="592">
        <v>955</v>
      </c>
      <c r="D32" s="589" t="s">
        <v>777</v>
      </c>
      <c r="E32" s="614"/>
      <c r="F32" s="615"/>
      <c r="G32" s="616"/>
      <c r="H32" s="575">
        <f>H33+H34</f>
        <v>400000</v>
      </c>
      <c r="I32" s="894"/>
      <c r="J32" s="893"/>
      <c r="K32" s="1393">
        <f>K33+K34</f>
        <v>400000</v>
      </c>
      <c r="L32" s="603"/>
      <c r="M32" s="603"/>
      <c r="N32" s="603"/>
      <c r="O32" s="603"/>
      <c r="P32" s="603"/>
      <c r="Q32" s="603"/>
      <c r="R32" s="603"/>
      <c r="S32" s="603"/>
    </row>
    <row r="33" spans="1:19" s="604" customFormat="1" ht="16.5" customHeight="1" x14ac:dyDescent="0.2">
      <c r="A33" s="612">
        <v>244</v>
      </c>
      <c r="B33" s="562">
        <v>225</v>
      </c>
      <c r="C33" s="612">
        <v>955</v>
      </c>
      <c r="D33" s="588" t="s">
        <v>813</v>
      </c>
      <c r="E33" s="612" t="s">
        <v>748</v>
      </c>
      <c r="F33" s="613">
        <v>1</v>
      </c>
      <c r="G33" s="578">
        <f>H33/F33</f>
        <v>100000</v>
      </c>
      <c r="H33" s="577">
        <v>100000</v>
      </c>
      <c r="I33" s="895">
        <v>1</v>
      </c>
      <c r="J33" s="896">
        <f t="shared" si="4"/>
        <v>100000</v>
      </c>
      <c r="K33" s="578">
        <v>100000</v>
      </c>
      <c r="L33" s="603"/>
      <c r="M33" s="603"/>
      <c r="N33" s="603"/>
      <c r="O33" s="603"/>
      <c r="P33" s="603"/>
      <c r="Q33" s="603"/>
      <c r="R33" s="603"/>
      <c r="S33" s="603"/>
    </row>
    <row r="34" spans="1:19" s="604" customFormat="1" ht="25.5" customHeight="1" x14ac:dyDescent="0.2">
      <c r="A34" s="612">
        <v>244</v>
      </c>
      <c r="B34" s="562">
        <v>226</v>
      </c>
      <c r="C34" s="612">
        <v>955</v>
      </c>
      <c r="D34" s="588" t="s">
        <v>832</v>
      </c>
      <c r="E34" s="612" t="s">
        <v>748</v>
      </c>
      <c r="F34" s="613">
        <v>1</v>
      </c>
      <c r="G34" s="578">
        <f>H34/F34</f>
        <v>300000</v>
      </c>
      <c r="H34" s="577">
        <v>300000</v>
      </c>
      <c r="I34" s="895">
        <v>1</v>
      </c>
      <c r="J34" s="896">
        <f t="shared" si="4"/>
        <v>300000</v>
      </c>
      <c r="K34" s="578">
        <v>300000</v>
      </c>
      <c r="L34" s="603"/>
      <c r="M34" s="603"/>
      <c r="N34" s="603"/>
      <c r="O34" s="603"/>
      <c r="P34" s="603"/>
      <c r="Q34" s="603"/>
      <c r="R34" s="603"/>
      <c r="S34" s="603"/>
    </row>
    <row r="35" spans="1:19" s="604" customFormat="1" ht="38.25" x14ac:dyDescent="0.2">
      <c r="A35" s="592">
        <v>244</v>
      </c>
      <c r="B35" s="569" t="s">
        <v>758</v>
      </c>
      <c r="C35" s="592" t="s">
        <v>756</v>
      </c>
      <c r="D35" s="589" t="s">
        <v>757</v>
      </c>
      <c r="E35" s="592"/>
      <c r="F35" s="602"/>
      <c r="G35" s="576"/>
      <c r="H35" s="575">
        <f>SUM(H36:H41)</f>
        <v>266100</v>
      </c>
      <c r="I35" s="894"/>
      <c r="J35" s="893"/>
      <c r="K35" s="1393">
        <f>SUM(K36:K41)</f>
        <v>201000</v>
      </c>
      <c r="L35" s="603"/>
      <c r="M35" s="603"/>
      <c r="N35" s="603"/>
      <c r="O35" s="603"/>
      <c r="P35" s="603"/>
      <c r="Q35" s="603"/>
      <c r="R35" s="603"/>
      <c r="S35" s="603"/>
    </row>
    <row r="36" spans="1:19" s="604" customFormat="1" ht="15" customHeight="1" x14ac:dyDescent="0.2">
      <c r="A36" s="610"/>
      <c r="B36" s="568"/>
      <c r="C36" s="610"/>
      <c r="D36" s="588" t="s">
        <v>854</v>
      </c>
      <c r="E36" s="612" t="s">
        <v>748</v>
      </c>
      <c r="F36" s="613">
        <v>1</v>
      </c>
      <c r="G36" s="578">
        <f>H36/F36</f>
        <v>50000</v>
      </c>
      <c r="H36" s="896">
        <v>50000</v>
      </c>
      <c r="I36" s="895">
        <v>1</v>
      </c>
      <c r="J36" s="896">
        <f>K36/I36</f>
        <v>50000</v>
      </c>
      <c r="K36" s="578">
        <v>50000</v>
      </c>
      <c r="L36" s="603"/>
      <c r="M36" s="603"/>
      <c r="N36" s="603"/>
      <c r="O36" s="603"/>
      <c r="P36" s="603"/>
      <c r="Q36" s="603"/>
      <c r="R36" s="603"/>
      <c r="S36" s="603"/>
    </row>
    <row r="37" spans="1:19" s="604" customFormat="1" ht="15" customHeight="1" x14ac:dyDescent="0.2">
      <c r="A37" s="610"/>
      <c r="B37" s="568"/>
      <c r="C37" s="610"/>
      <c r="D37" s="588" t="s">
        <v>888</v>
      </c>
      <c r="E37" s="612" t="s">
        <v>748</v>
      </c>
      <c r="F37" s="613">
        <v>1</v>
      </c>
      <c r="G37" s="578">
        <f t="shared" ref="G37:G41" si="6">H37/F37</f>
        <v>30000</v>
      </c>
      <c r="H37" s="896">
        <v>30000</v>
      </c>
      <c r="I37" s="895">
        <v>1</v>
      </c>
      <c r="J37" s="896">
        <f t="shared" ref="J37:J41" si="7">K37/I37</f>
        <v>30000</v>
      </c>
      <c r="K37" s="578">
        <v>30000</v>
      </c>
      <c r="L37" s="603"/>
      <c r="M37" s="603"/>
      <c r="N37" s="603"/>
      <c r="O37" s="603"/>
      <c r="P37" s="603"/>
      <c r="Q37" s="603"/>
      <c r="R37" s="603"/>
      <c r="S37" s="603"/>
    </row>
    <row r="38" spans="1:19" s="604" customFormat="1" ht="15" customHeight="1" x14ac:dyDescent="0.2">
      <c r="A38" s="610"/>
      <c r="B38" s="568"/>
      <c r="C38" s="610"/>
      <c r="D38" s="588" t="s">
        <v>851</v>
      </c>
      <c r="E38" s="612" t="s">
        <v>748</v>
      </c>
      <c r="F38" s="613">
        <v>1</v>
      </c>
      <c r="G38" s="578">
        <f t="shared" si="6"/>
        <v>50000</v>
      </c>
      <c r="H38" s="896">
        <v>50000</v>
      </c>
      <c r="I38" s="895">
        <v>1</v>
      </c>
      <c r="J38" s="896">
        <f t="shared" ref="J38:J39" si="8">K38/I38</f>
        <v>50000</v>
      </c>
      <c r="K38" s="578">
        <v>50000</v>
      </c>
      <c r="L38" s="603"/>
      <c r="M38" s="603"/>
      <c r="N38" s="603"/>
      <c r="O38" s="603"/>
      <c r="P38" s="603"/>
      <c r="Q38" s="603"/>
      <c r="R38" s="603"/>
      <c r="S38" s="603"/>
    </row>
    <row r="39" spans="1:19" s="604" customFormat="1" ht="15" customHeight="1" x14ac:dyDescent="0.2">
      <c r="A39" s="610"/>
      <c r="B39" s="568"/>
      <c r="C39" s="610"/>
      <c r="D39" s="588" t="s">
        <v>852</v>
      </c>
      <c r="E39" s="612" t="s">
        <v>748</v>
      </c>
      <c r="F39" s="613">
        <v>1</v>
      </c>
      <c r="G39" s="578">
        <f t="shared" si="6"/>
        <v>25000</v>
      </c>
      <c r="H39" s="896">
        <v>25000</v>
      </c>
      <c r="I39" s="895">
        <v>1</v>
      </c>
      <c r="J39" s="896">
        <f t="shared" si="8"/>
        <v>25000</v>
      </c>
      <c r="K39" s="578">
        <v>25000</v>
      </c>
      <c r="L39" s="603"/>
      <c r="M39" s="603"/>
      <c r="N39" s="603"/>
      <c r="O39" s="603"/>
      <c r="P39" s="603"/>
      <c r="Q39" s="603"/>
      <c r="R39" s="603"/>
      <c r="S39" s="603"/>
    </row>
    <row r="40" spans="1:19" s="604" customFormat="1" ht="15" customHeight="1" x14ac:dyDescent="0.2">
      <c r="A40" s="610"/>
      <c r="B40" s="568"/>
      <c r="C40" s="610"/>
      <c r="D40" s="588" t="s">
        <v>853</v>
      </c>
      <c r="E40" s="612" t="s">
        <v>748</v>
      </c>
      <c r="F40" s="613">
        <v>1</v>
      </c>
      <c r="G40" s="578">
        <f t="shared" si="6"/>
        <v>20000</v>
      </c>
      <c r="H40" s="896">
        <v>20000</v>
      </c>
      <c r="I40" s="895">
        <v>1</v>
      </c>
      <c r="J40" s="896">
        <f t="shared" si="7"/>
        <v>20000</v>
      </c>
      <c r="K40" s="578">
        <v>20000</v>
      </c>
      <c r="L40" s="603"/>
      <c r="M40" s="603"/>
      <c r="N40" s="603"/>
      <c r="O40" s="603"/>
      <c r="P40" s="603"/>
      <c r="Q40" s="603"/>
      <c r="R40" s="603"/>
      <c r="S40" s="603"/>
    </row>
    <row r="41" spans="1:19" s="604" customFormat="1" ht="15" customHeight="1" x14ac:dyDescent="0.2">
      <c r="A41" s="610"/>
      <c r="B41" s="568"/>
      <c r="C41" s="610"/>
      <c r="D41" s="588" t="s">
        <v>894</v>
      </c>
      <c r="E41" s="612" t="s">
        <v>748</v>
      </c>
      <c r="F41" s="613">
        <v>1</v>
      </c>
      <c r="G41" s="578">
        <f t="shared" si="6"/>
        <v>91100</v>
      </c>
      <c r="H41" s="896">
        <f>65100+26000</f>
        <v>91100</v>
      </c>
      <c r="I41" s="895">
        <v>1</v>
      </c>
      <c r="J41" s="896">
        <f t="shared" si="7"/>
        <v>26000</v>
      </c>
      <c r="K41" s="578">
        <f>26000</f>
        <v>26000</v>
      </c>
      <c r="L41" s="603"/>
      <c r="M41" s="603"/>
      <c r="N41" s="603"/>
      <c r="O41" s="603"/>
      <c r="P41" s="603"/>
      <c r="Q41" s="603"/>
      <c r="R41" s="603"/>
      <c r="S41" s="603"/>
    </row>
    <row r="42" spans="1:19" s="560" customFormat="1" ht="111" customHeight="1" x14ac:dyDescent="0.2">
      <c r="A42" s="592">
        <v>244</v>
      </c>
      <c r="B42" s="569">
        <v>226</v>
      </c>
      <c r="C42" s="592">
        <v>966</v>
      </c>
      <c r="D42" s="1348" t="s">
        <v>229</v>
      </c>
      <c r="E42" s="875"/>
      <c r="F42" s="849"/>
      <c r="G42" s="850"/>
      <c r="H42" s="575">
        <f>SUM(H43:H45)</f>
        <v>370000</v>
      </c>
      <c r="I42" s="894"/>
      <c r="J42" s="893"/>
      <c r="K42" s="1393">
        <f>SUM(K43:K45)</f>
        <v>496000</v>
      </c>
      <c r="L42" s="559"/>
      <c r="M42" s="559"/>
      <c r="N42" s="559"/>
      <c r="O42" s="559"/>
      <c r="P42" s="559"/>
      <c r="Q42" s="559"/>
      <c r="R42" s="559"/>
      <c r="S42" s="559"/>
    </row>
    <row r="43" spans="1:19" s="604" customFormat="1" ht="14.25" customHeight="1" x14ac:dyDescent="0.2">
      <c r="A43" s="610"/>
      <c r="B43" s="568"/>
      <c r="C43" s="610"/>
      <c r="D43" s="1388" t="s">
        <v>837</v>
      </c>
      <c r="E43" s="612" t="s">
        <v>182</v>
      </c>
      <c r="F43" s="613">
        <v>7</v>
      </c>
      <c r="G43" s="578">
        <f>(H43)/F43</f>
        <v>20000</v>
      </c>
      <c r="H43" s="577">
        <v>140000</v>
      </c>
      <c r="I43" s="595">
        <v>7</v>
      </c>
      <c r="J43" s="896">
        <f t="shared" ref="J43:J45" si="9">K43/I43</f>
        <v>35000</v>
      </c>
      <c r="K43" s="578">
        <v>245000</v>
      </c>
      <c r="L43" s="603"/>
      <c r="M43" s="603"/>
      <c r="N43" s="603"/>
      <c r="O43" s="603"/>
      <c r="P43" s="603"/>
      <c r="Q43" s="603"/>
      <c r="R43" s="603"/>
      <c r="S43" s="603"/>
    </row>
    <row r="44" spans="1:19" s="604" customFormat="1" ht="14.25" customHeight="1" x14ac:dyDescent="0.2">
      <c r="A44" s="610"/>
      <c r="B44" s="568"/>
      <c r="C44" s="610"/>
      <c r="D44" s="1388" t="s">
        <v>838</v>
      </c>
      <c r="E44" s="612" t="s">
        <v>182</v>
      </c>
      <c r="F44" s="613">
        <v>2</v>
      </c>
      <c r="G44" s="578">
        <f>(H44)/F44</f>
        <v>40000</v>
      </c>
      <c r="H44" s="577">
        <v>80000</v>
      </c>
      <c r="I44" s="595">
        <v>2</v>
      </c>
      <c r="J44" s="896">
        <f t="shared" si="9"/>
        <v>40000</v>
      </c>
      <c r="K44" s="578">
        <v>80000</v>
      </c>
      <c r="L44" s="603"/>
      <c r="M44" s="603"/>
      <c r="N44" s="603"/>
      <c r="O44" s="603"/>
      <c r="P44" s="603"/>
      <c r="Q44" s="603"/>
      <c r="R44" s="603"/>
      <c r="S44" s="603"/>
    </row>
    <row r="45" spans="1:19" s="905" customFormat="1" ht="14.25" customHeight="1" x14ac:dyDescent="0.2">
      <c r="A45" s="1249"/>
      <c r="B45" s="1339"/>
      <c r="C45" s="1249"/>
      <c r="D45" s="588" t="s">
        <v>894</v>
      </c>
      <c r="E45" s="612" t="s">
        <v>748</v>
      </c>
      <c r="F45" s="613">
        <v>1</v>
      </c>
      <c r="G45" s="578">
        <f>(H45)/F45</f>
        <v>150000</v>
      </c>
      <c r="H45" s="577">
        <v>150000</v>
      </c>
      <c r="I45" s="895">
        <v>1</v>
      </c>
      <c r="J45" s="896">
        <f t="shared" si="9"/>
        <v>171000</v>
      </c>
      <c r="K45" s="578">
        <v>171000</v>
      </c>
      <c r="L45" s="896"/>
      <c r="M45" s="896"/>
      <c r="N45" s="896"/>
      <c r="O45" s="896"/>
      <c r="P45" s="896"/>
      <c r="Q45" s="896"/>
      <c r="R45" s="896"/>
      <c r="S45" s="896"/>
    </row>
    <row r="46" spans="1:19" s="604" customFormat="1" x14ac:dyDescent="0.2">
      <c r="A46" s="1310">
        <v>244</v>
      </c>
      <c r="B46" s="1313">
        <v>310</v>
      </c>
      <c r="C46" s="1310">
        <v>971</v>
      </c>
      <c r="D46" s="589" t="s">
        <v>776</v>
      </c>
      <c r="E46" s="614"/>
      <c r="F46" s="615"/>
      <c r="G46" s="616"/>
      <c r="H46" s="575">
        <f>SUM(H47:H49)</f>
        <v>628500</v>
      </c>
      <c r="I46" s="576"/>
      <c r="J46" s="575"/>
      <c r="K46" s="576">
        <f>SUM(K47:K49)</f>
        <v>882600</v>
      </c>
      <c r="L46" s="603"/>
      <c r="M46" s="603"/>
      <c r="N46" s="603"/>
      <c r="O46" s="603"/>
      <c r="P46" s="603"/>
      <c r="Q46" s="603"/>
      <c r="R46" s="603"/>
      <c r="S46" s="603"/>
    </row>
    <row r="47" spans="1:19" s="604" customFormat="1" ht="15.75" customHeight="1" x14ac:dyDescent="0.2">
      <c r="A47" s="1249"/>
      <c r="B47" s="1339"/>
      <c r="C47" s="1249"/>
      <c r="D47" s="892" t="s">
        <v>911</v>
      </c>
      <c r="E47" s="612" t="s">
        <v>812</v>
      </c>
      <c r="F47" s="613">
        <v>1</v>
      </c>
      <c r="G47" s="895">
        <f t="shared" ref="G47" si="10">H47/F47</f>
        <v>97100</v>
      </c>
      <c r="H47" s="896">
        <v>97100</v>
      </c>
      <c r="I47" s="578">
        <v>1</v>
      </c>
      <c r="J47" s="896">
        <f t="shared" ref="J47:J48" si="11">K47/I47</f>
        <v>107700</v>
      </c>
      <c r="K47" s="578">
        <v>107700</v>
      </c>
      <c r="L47" s="603"/>
      <c r="M47" s="603"/>
      <c r="N47" s="603"/>
      <c r="O47" s="603"/>
      <c r="P47" s="603"/>
      <c r="Q47" s="603"/>
      <c r="R47" s="603"/>
      <c r="S47" s="603"/>
    </row>
    <row r="48" spans="1:19" s="604" customFormat="1" ht="15.75" customHeight="1" x14ac:dyDescent="0.2">
      <c r="A48" s="1249"/>
      <c r="B48" s="1339"/>
      <c r="C48" s="1249"/>
      <c r="D48" s="892" t="s">
        <v>802</v>
      </c>
      <c r="E48" s="612" t="s">
        <v>812</v>
      </c>
      <c r="F48" s="613">
        <v>4</v>
      </c>
      <c r="G48" s="895">
        <f t="shared" ref="G48:G49" si="12">H48/F48</f>
        <v>75000</v>
      </c>
      <c r="H48" s="896">
        <v>300000</v>
      </c>
      <c r="I48" s="578">
        <v>4</v>
      </c>
      <c r="J48" s="896">
        <f t="shared" si="11"/>
        <v>136075</v>
      </c>
      <c r="K48" s="578">
        <v>544300</v>
      </c>
      <c r="L48" s="603"/>
      <c r="M48" s="603"/>
      <c r="N48" s="603"/>
      <c r="O48" s="603"/>
      <c r="P48" s="603"/>
      <c r="Q48" s="603"/>
      <c r="R48" s="603"/>
      <c r="S48" s="603"/>
    </row>
    <row r="49" spans="1:20" s="604" customFormat="1" ht="15.75" customHeight="1" x14ac:dyDescent="0.2">
      <c r="A49" s="1249"/>
      <c r="B49" s="1339"/>
      <c r="C49" s="1249"/>
      <c r="D49" s="892" t="s">
        <v>803</v>
      </c>
      <c r="E49" s="612" t="s">
        <v>812</v>
      </c>
      <c r="F49" s="613">
        <v>3</v>
      </c>
      <c r="G49" s="895">
        <f t="shared" si="12"/>
        <v>77133.33</v>
      </c>
      <c r="H49" s="896">
        <v>231400</v>
      </c>
      <c r="I49" s="595">
        <v>3</v>
      </c>
      <c r="J49" s="896">
        <f t="shared" ref="J49" si="13">K49/I49</f>
        <v>76866.67</v>
      </c>
      <c r="K49" s="578">
        <v>230600</v>
      </c>
      <c r="L49" s="603"/>
      <c r="M49" s="603"/>
      <c r="N49" s="603"/>
      <c r="O49" s="603"/>
      <c r="P49" s="603"/>
      <c r="Q49" s="603"/>
      <c r="R49" s="603"/>
      <c r="S49" s="603"/>
    </row>
    <row r="50" spans="1:20" s="604" customFormat="1" ht="54.75" customHeight="1" x14ac:dyDescent="0.2">
      <c r="A50" s="592"/>
      <c r="B50" s="569"/>
      <c r="C50" s="592" t="s">
        <v>759</v>
      </c>
      <c r="D50" s="1350" t="s">
        <v>882</v>
      </c>
      <c r="E50" s="614"/>
      <c r="F50" s="615"/>
      <c r="G50" s="616"/>
      <c r="H50" s="575">
        <f>SUM(H51:H63)</f>
        <v>874500</v>
      </c>
      <c r="I50" s="576"/>
      <c r="J50" s="575"/>
      <c r="K50" s="576">
        <f>SUM(K51:K63)</f>
        <v>896600</v>
      </c>
      <c r="L50" s="603"/>
      <c r="M50" s="603"/>
      <c r="N50" s="603"/>
      <c r="O50" s="603"/>
      <c r="P50" s="603"/>
      <c r="Q50" s="603"/>
      <c r="R50" s="603"/>
      <c r="S50" s="603"/>
    </row>
    <row r="51" spans="1:20" s="604" customFormat="1" ht="15" customHeight="1" x14ac:dyDescent="0.2">
      <c r="A51" s="612">
        <v>244</v>
      </c>
      <c r="B51" s="562">
        <v>346</v>
      </c>
      <c r="C51" s="612">
        <v>981</v>
      </c>
      <c r="D51" s="588" t="s">
        <v>804</v>
      </c>
      <c r="E51" s="612" t="s">
        <v>748</v>
      </c>
      <c r="F51" s="613">
        <v>1</v>
      </c>
      <c r="G51" s="578">
        <f t="shared" ref="G51:G56" si="14">H51/F51</f>
        <v>35000</v>
      </c>
      <c r="H51" s="577">
        <v>35000</v>
      </c>
      <c r="I51" s="895">
        <v>1</v>
      </c>
      <c r="J51" s="896">
        <f t="shared" ref="J51:J56" si="15">K51/I51</f>
        <v>35000</v>
      </c>
      <c r="K51" s="578">
        <v>35000</v>
      </c>
      <c r="L51" s="603"/>
      <c r="M51" s="603"/>
      <c r="N51" s="603"/>
      <c r="O51" s="603"/>
      <c r="P51" s="603"/>
      <c r="Q51" s="603"/>
      <c r="R51" s="603"/>
      <c r="S51" s="603"/>
    </row>
    <row r="52" spans="1:20" s="604" customFormat="1" ht="25.5" x14ac:dyDescent="0.2">
      <c r="A52" s="612"/>
      <c r="B52" s="562"/>
      <c r="C52" s="612"/>
      <c r="D52" s="588" t="s">
        <v>805</v>
      </c>
      <c r="E52" s="612" t="s">
        <v>748</v>
      </c>
      <c r="F52" s="613">
        <v>1</v>
      </c>
      <c r="G52" s="578">
        <f t="shared" si="14"/>
        <v>70000</v>
      </c>
      <c r="H52" s="577">
        <v>70000</v>
      </c>
      <c r="I52" s="895">
        <v>1</v>
      </c>
      <c r="J52" s="896">
        <f t="shared" si="15"/>
        <v>70000</v>
      </c>
      <c r="K52" s="578">
        <v>70000</v>
      </c>
      <c r="L52" s="603"/>
      <c r="M52" s="603"/>
      <c r="N52" s="603"/>
      <c r="O52" s="603"/>
      <c r="P52" s="603"/>
      <c r="Q52" s="603"/>
      <c r="R52" s="603"/>
      <c r="S52" s="603"/>
    </row>
    <row r="53" spans="1:20" s="604" customFormat="1" x14ac:dyDescent="0.2">
      <c r="A53" s="612"/>
      <c r="B53" s="562"/>
      <c r="C53" s="612"/>
      <c r="D53" s="588" t="s">
        <v>806</v>
      </c>
      <c r="E53" s="612" t="s">
        <v>748</v>
      </c>
      <c r="F53" s="613">
        <v>1</v>
      </c>
      <c r="G53" s="578">
        <f t="shared" si="14"/>
        <v>140000</v>
      </c>
      <c r="H53" s="577">
        <v>140000</v>
      </c>
      <c r="I53" s="895">
        <v>1</v>
      </c>
      <c r="J53" s="896">
        <f t="shared" si="15"/>
        <v>140000</v>
      </c>
      <c r="K53" s="578">
        <v>140000</v>
      </c>
      <c r="L53" s="603"/>
      <c r="M53" s="603"/>
      <c r="N53" s="603"/>
      <c r="O53" s="603"/>
      <c r="P53" s="603"/>
      <c r="Q53" s="603"/>
      <c r="R53" s="603"/>
      <c r="S53" s="603"/>
    </row>
    <row r="54" spans="1:20" s="604" customFormat="1" x14ac:dyDescent="0.2">
      <c r="A54" s="612"/>
      <c r="B54" s="562"/>
      <c r="C54" s="612"/>
      <c r="D54" s="588" t="s">
        <v>807</v>
      </c>
      <c r="E54" s="612" t="s">
        <v>748</v>
      </c>
      <c r="F54" s="613">
        <v>1</v>
      </c>
      <c r="G54" s="578">
        <f t="shared" si="14"/>
        <v>60000</v>
      </c>
      <c r="H54" s="577">
        <v>60000</v>
      </c>
      <c r="I54" s="895">
        <v>1</v>
      </c>
      <c r="J54" s="896">
        <f t="shared" si="15"/>
        <v>60000</v>
      </c>
      <c r="K54" s="578">
        <v>60000</v>
      </c>
      <c r="L54" s="603"/>
      <c r="M54" s="603"/>
      <c r="N54" s="603"/>
      <c r="O54" s="603"/>
      <c r="P54" s="603"/>
      <c r="Q54" s="603"/>
      <c r="R54" s="603"/>
      <c r="S54" s="603"/>
    </row>
    <row r="55" spans="1:20" s="604" customFormat="1" x14ac:dyDescent="0.2">
      <c r="A55" s="612"/>
      <c r="B55" s="562"/>
      <c r="C55" s="612"/>
      <c r="D55" s="588" t="s">
        <v>808</v>
      </c>
      <c r="E55" s="612" t="s">
        <v>748</v>
      </c>
      <c r="F55" s="613">
        <v>1</v>
      </c>
      <c r="G55" s="578">
        <f t="shared" si="14"/>
        <v>20000</v>
      </c>
      <c r="H55" s="577">
        <v>20000</v>
      </c>
      <c r="I55" s="895">
        <v>1</v>
      </c>
      <c r="J55" s="896">
        <f t="shared" si="15"/>
        <v>20000</v>
      </c>
      <c r="K55" s="578">
        <v>20000</v>
      </c>
      <c r="L55" s="603"/>
      <c r="M55" s="603"/>
      <c r="N55" s="603"/>
      <c r="O55" s="603"/>
      <c r="P55" s="603"/>
      <c r="Q55" s="603"/>
      <c r="R55" s="603"/>
      <c r="S55" s="603"/>
    </row>
    <row r="56" spans="1:20" s="604" customFormat="1" ht="25.5" x14ac:dyDescent="0.2">
      <c r="A56" s="612"/>
      <c r="B56" s="562"/>
      <c r="C56" s="612"/>
      <c r="D56" s="588" t="s">
        <v>809</v>
      </c>
      <c r="E56" s="612" t="s">
        <v>748</v>
      </c>
      <c r="F56" s="613">
        <v>1</v>
      </c>
      <c r="G56" s="578">
        <f t="shared" si="14"/>
        <v>80000</v>
      </c>
      <c r="H56" s="577">
        <v>80000</v>
      </c>
      <c r="I56" s="895">
        <v>1</v>
      </c>
      <c r="J56" s="896">
        <f t="shared" si="15"/>
        <v>80000</v>
      </c>
      <c r="K56" s="578">
        <v>80000</v>
      </c>
      <c r="L56" s="603"/>
      <c r="M56" s="603"/>
      <c r="N56" s="603"/>
      <c r="O56" s="603"/>
      <c r="P56" s="603"/>
      <c r="Q56" s="603"/>
      <c r="R56" s="603"/>
      <c r="S56" s="603"/>
    </row>
    <row r="57" spans="1:20" s="604" customFormat="1" x14ac:dyDescent="0.2">
      <c r="A57" s="612"/>
      <c r="B57" s="562"/>
      <c r="C57" s="612"/>
      <c r="D57" s="588" t="s">
        <v>833</v>
      </c>
      <c r="E57" s="612"/>
      <c r="F57" s="613"/>
      <c r="G57" s="578"/>
      <c r="H57" s="577">
        <v>10000</v>
      </c>
      <c r="I57" s="895"/>
      <c r="J57" s="896"/>
      <c r="K57" s="578">
        <v>10000</v>
      </c>
      <c r="L57" s="603"/>
      <c r="M57" s="603"/>
      <c r="N57" s="603"/>
      <c r="O57" s="603"/>
      <c r="P57" s="603"/>
      <c r="Q57" s="603"/>
      <c r="R57" s="603"/>
      <c r="S57" s="603"/>
    </row>
    <row r="58" spans="1:20" s="604" customFormat="1" x14ac:dyDescent="0.2">
      <c r="A58" s="612"/>
      <c r="B58" s="562"/>
      <c r="C58" s="612"/>
      <c r="D58" s="588" t="s">
        <v>834</v>
      </c>
      <c r="E58" s="612" t="s">
        <v>748</v>
      </c>
      <c r="F58" s="613">
        <v>1</v>
      </c>
      <c r="G58" s="578">
        <f t="shared" ref="G58:G62" si="16">H58/F58</f>
        <v>50000</v>
      </c>
      <c r="H58" s="577">
        <v>50000</v>
      </c>
      <c r="I58" s="895">
        <v>1</v>
      </c>
      <c r="J58" s="896">
        <f t="shared" ref="J58:J61" si="17">K58/I58</f>
        <v>50000</v>
      </c>
      <c r="K58" s="578">
        <v>50000</v>
      </c>
      <c r="L58" s="603"/>
      <c r="M58" s="603"/>
      <c r="N58" s="603"/>
      <c r="O58" s="603"/>
      <c r="P58" s="603"/>
      <c r="Q58" s="603"/>
      <c r="R58" s="603"/>
      <c r="S58" s="603"/>
    </row>
    <row r="59" spans="1:20" s="604" customFormat="1" ht="38.25" x14ac:dyDescent="0.2">
      <c r="A59" s="612"/>
      <c r="B59" s="562"/>
      <c r="C59" s="612"/>
      <c r="D59" s="588" t="s">
        <v>810</v>
      </c>
      <c r="E59" s="612" t="s">
        <v>748</v>
      </c>
      <c r="F59" s="613">
        <v>1</v>
      </c>
      <c r="G59" s="578">
        <f t="shared" si="16"/>
        <v>80000</v>
      </c>
      <c r="H59" s="577">
        <v>80000</v>
      </c>
      <c r="I59" s="895">
        <v>1</v>
      </c>
      <c r="J59" s="896">
        <f t="shared" si="17"/>
        <v>90000</v>
      </c>
      <c r="K59" s="578">
        <v>90000</v>
      </c>
      <c r="L59" s="603"/>
      <c r="M59" s="603"/>
      <c r="N59" s="603"/>
      <c r="O59" s="603"/>
      <c r="P59" s="603"/>
      <c r="Q59" s="603"/>
      <c r="R59" s="603"/>
      <c r="S59" s="603"/>
    </row>
    <row r="60" spans="1:20" s="604" customFormat="1" x14ac:dyDescent="0.2">
      <c r="A60" s="612"/>
      <c r="B60" s="562"/>
      <c r="C60" s="612"/>
      <c r="D60" s="588" t="s">
        <v>894</v>
      </c>
      <c r="E60" s="612" t="s">
        <v>748</v>
      </c>
      <c r="F60" s="613">
        <v>1</v>
      </c>
      <c r="G60" s="578">
        <f t="shared" si="16"/>
        <v>148000</v>
      </c>
      <c r="H60" s="577">
        <f>16000+132000</f>
        <v>148000</v>
      </c>
      <c r="I60" s="895">
        <v>1</v>
      </c>
      <c r="J60" s="896">
        <f t="shared" si="17"/>
        <v>161600</v>
      </c>
      <c r="K60" s="578">
        <f>20000+141600</f>
        <v>161600</v>
      </c>
      <c r="L60" s="603"/>
      <c r="M60" s="603"/>
      <c r="N60" s="603"/>
      <c r="O60" s="603"/>
      <c r="P60" s="603"/>
      <c r="Q60" s="603"/>
      <c r="R60" s="603"/>
      <c r="S60" s="603"/>
    </row>
    <row r="61" spans="1:20" s="604" customFormat="1" x14ac:dyDescent="0.2">
      <c r="A61" s="612"/>
      <c r="B61" s="562"/>
      <c r="C61" s="612"/>
      <c r="D61" s="588" t="s">
        <v>894</v>
      </c>
      <c r="E61" s="612" t="s">
        <v>748</v>
      </c>
      <c r="F61" s="613">
        <v>1</v>
      </c>
      <c r="G61" s="578">
        <f t="shared" si="16"/>
        <v>1500</v>
      </c>
      <c r="H61" s="577">
        <v>1500</v>
      </c>
      <c r="I61" s="895">
        <v>1</v>
      </c>
      <c r="J61" s="896">
        <f t="shared" si="17"/>
        <v>0</v>
      </c>
      <c r="K61" s="578">
        <v>0</v>
      </c>
      <c r="L61" s="603"/>
      <c r="M61" s="603"/>
      <c r="N61" s="603"/>
      <c r="O61" s="603"/>
      <c r="P61" s="603"/>
      <c r="Q61" s="603"/>
      <c r="R61" s="603"/>
      <c r="S61" s="603"/>
    </row>
    <row r="62" spans="1:20" s="604" customFormat="1" x14ac:dyDescent="0.2">
      <c r="A62" s="612">
        <v>244</v>
      </c>
      <c r="B62" s="562">
        <v>345</v>
      </c>
      <c r="C62" s="612">
        <v>981</v>
      </c>
      <c r="D62" s="588" t="s">
        <v>906</v>
      </c>
      <c r="E62" s="612" t="s">
        <v>748</v>
      </c>
      <c r="F62" s="613">
        <v>1</v>
      </c>
      <c r="G62" s="578">
        <f t="shared" si="16"/>
        <v>50000</v>
      </c>
      <c r="H62" s="577">
        <v>50000</v>
      </c>
      <c r="I62" s="895"/>
      <c r="J62" s="896"/>
      <c r="K62" s="578">
        <v>50000</v>
      </c>
      <c r="L62" s="603"/>
      <c r="M62" s="603"/>
      <c r="N62" s="603"/>
      <c r="O62" s="603"/>
      <c r="P62" s="603"/>
      <c r="Q62" s="603"/>
      <c r="R62" s="603"/>
      <c r="S62" s="603"/>
      <c r="T62" s="603"/>
    </row>
    <row r="63" spans="1:20" s="604" customFormat="1" x14ac:dyDescent="0.2">
      <c r="A63" s="605">
        <v>244</v>
      </c>
      <c r="B63" s="565">
        <v>344</v>
      </c>
      <c r="C63" s="605">
        <v>981</v>
      </c>
      <c r="D63" s="590" t="s">
        <v>907</v>
      </c>
      <c r="E63" s="605" t="s">
        <v>748</v>
      </c>
      <c r="F63" s="606">
        <v>1</v>
      </c>
      <c r="G63" s="580">
        <f>(H63)/F63</f>
        <v>130000</v>
      </c>
      <c r="H63" s="579">
        <v>130000</v>
      </c>
      <c r="I63" s="1392">
        <v>1</v>
      </c>
      <c r="J63" s="1389">
        <f t="shared" ref="J63" si="18">(K63+L63)/I63</f>
        <v>130000</v>
      </c>
      <c r="K63" s="580">
        <v>130000</v>
      </c>
      <c r="L63" s="603"/>
      <c r="M63" s="603"/>
      <c r="N63" s="603"/>
      <c r="O63" s="603"/>
      <c r="P63" s="603"/>
      <c r="Q63" s="603"/>
      <c r="R63" s="603"/>
      <c r="S63" s="603"/>
      <c r="T63" s="603"/>
    </row>
    <row r="64" spans="1:20" s="604" customFormat="1" ht="34.5" customHeight="1" x14ac:dyDescent="0.2">
      <c r="A64" s="1809" t="s">
        <v>736</v>
      </c>
      <c r="B64" s="1810"/>
      <c r="C64" s="1810"/>
      <c r="D64" s="1810"/>
      <c r="E64" s="1810"/>
      <c r="F64" s="1384"/>
      <c r="G64" s="1384"/>
      <c r="H64" s="1385">
        <f>H65+H67+H68</f>
        <v>31500</v>
      </c>
      <c r="I64" s="1384"/>
      <c r="J64" s="1384"/>
      <c r="K64" s="1385">
        <f>K65+K67+K68</f>
        <v>31500</v>
      </c>
      <c r="L64" s="603"/>
      <c r="M64" s="603"/>
      <c r="N64" s="603"/>
      <c r="O64" s="603"/>
      <c r="P64" s="603"/>
      <c r="Q64" s="603"/>
      <c r="R64" s="603"/>
      <c r="S64" s="603"/>
    </row>
    <row r="65" spans="1:19" s="604" customFormat="1" ht="25.5" x14ac:dyDescent="0.2">
      <c r="A65" s="1311">
        <v>247</v>
      </c>
      <c r="B65" s="1310">
        <v>223</v>
      </c>
      <c r="C65" s="1313">
        <v>931</v>
      </c>
      <c r="D65" s="584" t="s">
        <v>737</v>
      </c>
      <c r="E65" s="569"/>
      <c r="F65" s="594"/>
      <c r="G65" s="575"/>
      <c r="H65" s="576">
        <f>SUM(H66:H66)</f>
        <v>21000</v>
      </c>
      <c r="I65" s="893"/>
      <c r="J65" s="894"/>
      <c r="K65" s="1393">
        <f>SUM(K66:K66)</f>
        <v>21000</v>
      </c>
      <c r="L65" s="603"/>
      <c r="M65" s="603"/>
      <c r="N65" s="603"/>
      <c r="O65" s="603"/>
      <c r="P65" s="603"/>
      <c r="Q65" s="603"/>
      <c r="R65" s="603"/>
      <c r="S65" s="603"/>
    </row>
    <row r="66" spans="1:19" s="604" customFormat="1" ht="25.5" x14ac:dyDescent="0.2">
      <c r="A66" s="1340"/>
      <c r="B66" s="567"/>
      <c r="C66" s="564"/>
      <c r="D66" s="495" t="s">
        <v>391</v>
      </c>
      <c r="E66" s="565" t="s">
        <v>390</v>
      </c>
      <c r="F66" s="596">
        <v>11.88</v>
      </c>
      <c r="G66" s="579">
        <f>H66/F66</f>
        <v>1767.68</v>
      </c>
      <c r="H66" s="580">
        <v>21000</v>
      </c>
      <c r="I66" s="606">
        <v>11.88</v>
      </c>
      <c r="J66" s="897">
        <f t="shared" ref="J66:J68" si="19">K66/I66</f>
        <v>1767.68</v>
      </c>
      <c r="K66" s="580">
        <v>21000</v>
      </c>
      <c r="L66" s="603"/>
      <c r="M66" s="603"/>
      <c r="N66" s="603"/>
      <c r="O66" s="603"/>
      <c r="P66" s="603"/>
      <c r="Q66" s="603"/>
      <c r="R66" s="603"/>
      <c r="S66" s="603"/>
    </row>
    <row r="67" spans="1:19" s="604" customFormat="1" x14ac:dyDescent="0.2">
      <c r="A67" s="1312">
        <v>247</v>
      </c>
      <c r="B67" s="1312">
        <v>223</v>
      </c>
      <c r="C67" s="1312">
        <v>932</v>
      </c>
      <c r="D67" s="958" t="s">
        <v>738</v>
      </c>
      <c r="E67" s="1160" t="s">
        <v>739</v>
      </c>
      <c r="F67" s="596">
        <v>1106</v>
      </c>
      <c r="G67" s="580">
        <f>H67/F67</f>
        <v>4.79</v>
      </c>
      <c r="H67" s="607">
        <v>5300</v>
      </c>
      <c r="I67" s="596">
        <v>1106</v>
      </c>
      <c r="J67" s="813">
        <f t="shared" si="19"/>
        <v>4.79</v>
      </c>
      <c r="K67" s="906">
        <v>5300</v>
      </c>
      <c r="L67" s="603"/>
      <c r="M67" s="603"/>
      <c r="N67" s="603"/>
      <c r="O67" s="603"/>
      <c r="P67" s="603"/>
      <c r="Q67" s="603"/>
      <c r="R67" s="603"/>
      <c r="S67" s="603"/>
    </row>
    <row r="68" spans="1:19" s="604" customFormat="1" x14ac:dyDescent="0.2">
      <c r="A68" s="626">
        <v>247</v>
      </c>
      <c r="B68" s="624">
        <v>223</v>
      </c>
      <c r="C68" s="626" t="s">
        <v>740</v>
      </c>
      <c r="D68" s="866" t="s">
        <v>741</v>
      </c>
      <c r="E68" s="621" t="s">
        <v>744</v>
      </c>
      <c r="F68" s="596">
        <v>78</v>
      </c>
      <c r="G68" s="580">
        <f>(H68)/F68</f>
        <v>66.67</v>
      </c>
      <c r="H68" s="607">
        <v>5200</v>
      </c>
      <c r="I68" s="596">
        <v>78</v>
      </c>
      <c r="J68" s="813">
        <f t="shared" si="19"/>
        <v>66.67</v>
      </c>
      <c r="K68" s="906">
        <v>5200</v>
      </c>
      <c r="L68" s="603"/>
      <c r="M68" s="603"/>
      <c r="N68" s="603"/>
      <c r="O68" s="603"/>
      <c r="P68" s="603"/>
      <c r="Q68" s="603"/>
      <c r="R68" s="603"/>
      <c r="S68" s="603"/>
    </row>
    <row r="69" spans="1:19" s="604" customFormat="1" x14ac:dyDescent="0.2">
      <c r="A69" s="1308"/>
      <c r="B69" s="1308"/>
      <c r="C69" s="1308"/>
      <c r="D69" s="587" t="s">
        <v>8</v>
      </c>
      <c r="E69" s="626"/>
      <c r="F69" s="609"/>
      <c r="G69" s="607"/>
      <c r="H69" s="1395">
        <f>H9+H13+H64</f>
        <v>3780300</v>
      </c>
      <c r="I69" s="1396"/>
      <c r="J69" s="1396"/>
      <c r="K69" s="1397">
        <f>K9+K13+K64</f>
        <v>3950400</v>
      </c>
      <c r="L69" s="603"/>
      <c r="M69" s="603"/>
      <c r="N69" s="603"/>
      <c r="O69" s="603"/>
      <c r="P69" s="603"/>
      <c r="Q69" s="603"/>
      <c r="R69" s="603"/>
      <c r="S69" s="603"/>
    </row>
    <row r="70" spans="1:19" ht="36.75" customHeight="1" x14ac:dyDescent="0.2"/>
    <row r="71" spans="1:19" ht="11.25" customHeight="1" x14ac:dyDescent="0.2">
      <c r="A71" s="1722"/>
      <c r="B71" s="1722"/>
      <c r="C71" s="1722"/>
      <c r="H71" s="909">
        <f>'поступления 810 25-27'!AF47</f>
        <v>3780300</v>
      </c>
      <c r="K71" s="557">
        <f>'поступления 810 25-27'!AG47</f>
        <v>3950400</v>
      </c>
    </row>
    <row r="72" spans="1:19" ht="12" customHeight="1" x14ac:dyDescent="0.2">
      <c r="A72" s="1722" t="s">
        <v>128</v>
      </c>
      <c r="B72" s="1722"/>
      <c r="C72" s="1722"/>
      <c r="H72" s="909">
        <f>H71-H69</f>
        <v>0</v>
      </c>
      <c r="K72" s="557">
        <f>K71-K69</f>
        <v>0</v>
      </c>
    </row>
    <row r="73" spans="1:19" ht="12.75" customHeight="1" x14ac:dyDescent="0.2">
      <c r="A73" s="1723" t="s">
        <v>789</v>
      </c>
      <c r="B73" s="1723"/>
      <c r="C73" s="1723"/>
      <c r="D73" s="1723"/>
    </row>
    <row r="202" spans="24:24" x14ac:dyDescent="0.2">
      <c r="X202">
        <f>V202*W202</f>
        <v>0</v>
      </c>
    </row>
  </sheetData>
  <mergeCells count="22">
    <mergeCell ref="A3:I3"/>
    <mergeCell ref="A1:K1"/>
    <mergeCell ref="A2:K2"/>
    <mergeCell ref="I5:K5"/>
    <mergeCell ref="I6:I8"/>
    <mergeCell ref="J6:J8"/>
    <mergeCell ref="K7:K8"/>
    <mergeCell ref="G6:G8"/>
    <mergeCell ref="A72:C72"/>
    <mergeCell ref="A73:D73"/>
    <mergeCell ref="A64:E64"/>
    <mergeCell ref="H7:H8"/>
    <mergeCell ref="A9:E9"/>
    <mergeCell ref="A5:A8"/>
    <mergeCell ref="B5:B8"/>
    <mergeCell ref="C5:C8"/>
    <mergeCell ref="D5:D8"/>
    <mergeCell ref="E5:E8"/>
    <mergeCell ref="F5:H5"/>
    <mergeCell ref="F6:F8"/>
    <mergeCell ref="A13:E13"/>
    <mergeCell ref="A71:C71"/>
  </mergeCells>
  <pageMargins left="0.27559055118110237" right="0.19685039370078741" top="1.1811023622047245" bottom="0.19685039370078741" header="0.31496062992125984" footer="0.31496062992125984"/>
  <pageSetup paperSize="9" scale="87" fitToHeight="0" orientation="landscape" r:id="rId1"/>
  <rowBreaks count="1" manualBreakCount="1">
    <brk id="7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X187"/>
  <sheetViews>
    <sheetView showZeros="0" view="pageBreakPreview" zoomScaleNormal="100" zoomScaleSheetLayoutView="100" workbookViewId="0">
      <pane ySplit="8" topLeftCell="A9" activePane="bottomLeft" state="frozen"/>
      <selection pane="bottomLeft" activeCell="A5" sqref="A5:K54"/>
    </sheetView>
  </sheetViews>
  <sheetFormatPr defaultRowHeight="12.75" x14ac:dyDescent="0.2"/>
  <cols>
    <col min="1" max="3" width="9.33203125" style="492"/>
    <col min="4" max="4" width="30.6640625" style="586" customWidth="1"/>
    <col min="5" max="5" width="14" style="675" customWidth="1"/>
    <col min="6" max="6" width="12" style="600" customWidth="1"/>
    <col min="7" max="7" width="16" style="582" customWidth="1"/>
    <col min="8" max="8" width="21.33203125" style="663" customWidth="1"/>
    <col min="9" max="9" width="13.6640625" style="509" customWidth="1"/>
    <col min="10" max="10" width="13.33203125" style="509" customWidth="1"/>
    <col min="11" max="11" width="19.5" style="682" customWidth="1"/>
    <col min="12" max="19" width="9.33203125" style="509"/>
  </cols>
  <sheetData>
    <row r="1" spans="1:19" ht="16.5" x14ac:dyDescent="0.2">
      <c r="A1" s="1642" t="s">
        <v>824</v>
      </c>
      <c r="B1" s="1642"/>
      <c r="C1" s="1642"/>
      <c r="D1" s="1642"/>
      <c r="E1" s="1642"/>
      <c r="F1" s="1642"/>
      <c r="G1" s="1642"/>
      <c r="H1" s="1642"/>
      <c r="I1" s="1642"/>
      <c r="J1" s="1642"/>
      <c r="K1" s="1642"/>
    </row>
    <row r="2" spans="1:19" ht="16.5" x14ac:dyDescent="0.2">
      <c r="A2" s="1642" t="s">
        <v>815</v>
      </c>
      <c r="B2" s="1642"/>
      <c r="C2" s="1642"/>
      <c r="D2" s="1642"/>
      <c r="E2" s="1642"/>
      <c r="F2" s="1642"/>
      <c r="G2" s="1642"/>
      <c r="H2" s="1642"/>
      <c r="I2" s="1642"/>
      <c r="J2" s="1642"/>
      <c r="K2" s="1642"/>
    </row>
    <row r="3" spans="1:19" ht="15.75" x14ac:dyDescent="0.2">
      <c r="A3" s="1644" t="s">
        <v>819</v>
      </c>
      <c r="B3" s="1644"/>
      <c r="C3" s="1644"/>
      <c r="D3" s="1644"/>
      <c r="E3" s="1644"/>
      <c r="F3" s="1644"/>
      <c r="G3" s="1644"/>
      <c r="H3" s="1644"/>
      <c r="I3" s="1644"/>
    </row>
    <row r="4" spans="1:19" s="506" customFormat="1" x14ac:dyDescent="0.2">
      <c r="A4" s="507"/>
      <c r="B4" s="507"/>
      <c r="C4" s="507"/>
      <c r="D4" s="583"/>
      <c r="E4" s="508"/>
      <c r="F4" s="593"/>
      <c r="G4" s="573"/>
      <c r="H4" s="655"/>
      <c r="I4" s="510"/>
      <c r="J4" s="510"/>
      <c r="K4" s="683"/>
      <c r="L4" s="510"/>
      <c r="M4" s="510"/>
      <c r="N4" s="510"/>
      <c r="O4" s="510"/>
      <c r="P4" s="510"/>
      <c r="Q4" s="510"/>
      <c r="R4" s="510"/>
      <c r="S4" s="510"/>
    </row>
    <row r="5" spans="1:19" s="506" customFormat="1" x14ac:dyDescent="0.2">
      <c r="A5" s="1650" t="s">
        <v>647</v>
      </c>
      <c r="B5" s="1650" t="s">
        <v>347</v>
      </c>
      <c r="C5" s="1650" t="s">
        <v>707</v>
      </c>
      <c r="D5" s="1648" t="s">
        <v>175</v>
      </c>
      <c r="E5" s="1778" t="s">
        <v>180</v>
      </c>
      <c r="F5" s="1752" t="s">
        <v>723</v>
      </c>
      <c r="G5" s="1753"/>
      <c r="H5" s="1753"/>
      <c r="I5" s="1752" t="s">
        <v>871</v>
      </c>
      <c r="J5" s="1753"/>
      <c r="K5" s="1754"/>
      <c r="L5" s="510"/>
      <c r="M5" s="510"/>
      <c r="N5" s="510"/>
      <c r="O5" s="510"/>
      <c r="P5" s="510"/>
      <c r="Q5" s="510"/>
      <c r="R5" s="510"/>
      <c r="S5" s="510"/>
    </row>
    <row r="6" spans="1:19" s="506" customFormat="1" x14ac:dyDescent="0.2">
      <c r="A6" s="1650"/>
      <c r="B6" s="1650"/>
      <c r="C6" s="1650"/>
      <c r="D6" s="1648"/>
      <c r="E6" s="1657"/>
      <c r="F6" s="1661" t="s">
        <v>713</v>
      </c>
      <c r="G6" s="1779" t="s">
        <v>710</v>
      </c>
      <c r="H6" s="1307" t="s">
        <v>716</v>
      </c>
      <c r="I6" s="1779" t="s">
        <v>713</v>
      </c>
      <c r="J6" s="1822" t="s">
        <v>710</v>
      </c>
      <c r="K6" s="1309" t="s">
        <v>716</v>
      </c>
      <c r="L6" s="510"/>
      <c r="M6" s="510"/>
      <c r="N6" s="510"/>
      <c r="O6" s="510"/>
      <c r="P6" s="510"/>
      <c r="Q6" s="510"/>
      <c r="R6" s="510"/>
      <c r="S6" s="510"/>
    </row>
    <row r="7" spans="1:19" s="506" customFormat="1" ht="12.75" customHeight="1" x14ac:dyDescent="0.2">
      <c r="A7" s="1650"/>
      <c r="B7" s="1650"/>
      <c r="C7" s="1650"/>
      <c r="D7" s="1648"/>
      <c r="E7" s="1657"/>
      <c r="F7" s="1662"/>
      <c r="G7" s="1747"/>
      <c r="H7" s="1784" t="s">
        <v>298</v>
      </c>
      <c r="I7" s="1747"/>
      <c r="J7" s="1823"/>
      <c r="K7" s="1669" t="s">
        <v>298</v>
      </c>
      <c r="L7" s="510"/>
      <c r="M7" s="510"/>
      <c r="N7" s="510"/>
      <c r="O7" s="510"/>
      <c r="P7" s="510"/>
      <c r="Q7" s="510"/>
      <c r="R7" s="510"/>
      <c r="S7" s="510"/>
    </row>
    <row r="8" spans="1:19" s="507" customFormat="1" x14ac:dyDescent="0.2">
      <c r="A8" s="1650"/>
      <c r="B8" s="1650"/>
      <c r="C8" s="1650"/>
      <c r="D8" s="1648"/>
      <c r="E8" s="1658"/>
      <c r="F8" s="1663"/>
      <c r="G8" s="1780"/>
      <c r="H8" s="1785"/>
      <c r="I8" s="1780"/>
      <c r="J8" s="1824"/>
      <c r="K8" s="1670"/>
      <c r="L8" s="511"/>
      <c r="M8" s="511"/>
      <c r="N8" s="511"/>
      <c r="O8" s="511"/>
      <c r="P8" s="511"/>
      <c r="Q8" s="511"/>
      <c r="R8" s="511"/>
      <c r="S8" s="511"/>
    </row>
    <row r="9" spans="1:19" s="507" customFormat="1" ht="33" hidden="1" customHeight="1" x14ac:dyDescent="0.2">
      <c r="A9" s="1786" t="s">
        <v>463</v>
      </c>
      <c r="B9" s="1786"/>
      <c r="C9" s="1786"/>
      <c r="D9" s="1786"/>
      <c r="E9" s="1786"/>
      <c r="F9" s="801"/>
      <c r="G9" s="801"/>
      <c r="H9" s="802">
        <f>H10</f>
        <v>0</v>
      </c>
      <c r="I9" s="801"/>
      <c r="J9" s="801"/>
      <c r="K9" s="803">
        <f>K10</f>
        <v>0</v>
      </c>
      <c r="L9" s="511"/>
      <c r="M9" s="511"/>
      <c r="N9" s="511"/>
      <c r="O9" s="511"/>
      <c r="P9" s="511"/>
      <c r="Q9" s="511"/>
      <c r="R9" s="511"/>
      <c r="S9" s="511"/>
    </row>
    <row r="10" spans="1:19" s="344" customFormat="1" ht="14.25" hidden="1" customHeight="1" x14ac:dyDescent="0.2">
      <c r="A10" s="1310"/>
      <c r="B10" s="1310"/>
      <c r="C10" s="1310">
        <v>991</v>
      </c>
      <c r="D10" s="584" t="s">
        <v>703</v>
      </c>
      <c r="E10" s="569"/>
      <c r="F10" s="594"/>
      <c r="G10" s="576"/>
      <c r="H10" s="656">
        <f>H11+H12</f>
        <v>0</v>
      </c>
      <c r="I10" s="594"/>
      <c r="J10" s="576"/>
      <c r="K10" s="1325">
        <f>K11+K12</f>
        <v>0</v>
      </c>
      <c r="L10" s="570"/>
      <c r="M10" s="570"/>
      <c r="N10" s="570"/>
      <c r="O10" s="570"/>
      <c r="P10" s="570"/>
      <c r="Q10" s="570"/>
      <c r="R10" s="570"/>
      <c r="S10" s="570"/>
    </row>
    <row r="11" spans="1:19" s="506" customFormat="1" hidden="1" x14ac:dyDescent="0.2">
      <c r="A11" s="566">
        <v>111</v>
      </c>
      <c r="B11" s="566">
        <v>211</v>
      </c>
      <c r="C11" s="566">
        <v>991</v>
      </c>
      <c r="D11" s="585" t="s">
        <v>733</v>
      </c>
      <c r="E11" s="562" t="s">
        <v>714</v>
      </c>
      <c r="F11" s="595"/>
      <c r="G11" s="578" t="e">
        <f>H11/F11</f>
        <v>#DIV/0!</v>
      </c>
      <c r="H11" s="658"/>
      <c r="I11" s="595"/>
      <c r="J11" s="578" t="e">
        <f>K11/I11</f>
        <v>#DIV/0!</v>
      </c>
      <c r="K11" s="1328"/>
      <c r="L11" s="510"/>
      <c r="M11" s="510"/>
      <c r="N11" s="510"/>
      <c r="O11" s="510"/>
      <c r="P11" s="510"/>
      <c r="Q11" s="510"/>
      <c r="R11" s="510"/>
      <c r="S11" s="510"/>
    </row>
    <row r="12" spans="1:19" s="506" customFormat="1" ht="25.5" hidden="1" x14ac:dyDescent="0.2">
      <c r="A12" s="567">
        <v>111</v>
      </c>
      <c r="B12" s="567">
        <v>266</v>
      </c>
      <c r="C12" s="567">
        <v>991</v>
      </c>
      <c r="D12" s="495" t="s">
        <v>708</v>
      </c>
      <c r="E12" s="565" t="s">
        <v>714</v>
      </c>
      <c r="F12" s="596"/>
      <c r="G12" s="578" t="e">
        <f>H12/F12</f>
        <v>#DIV/0!</v>
      </c>
      <c r="H12" s="660"/>
      <c r="I12" s="596"/>
      <c r="J12" s="578" t="e">
        <f>K12/I12</f>
        <v>#DIV/0!</v>
      </c>
      <c r="K12" s="1326"/>
      <c r="L12" s="510"/>
      <c r="M12" s="510"/>
      <c r="N12" s="510"/>
      <c r="O12" s="510"/>
      <c r="P12" s="510"/>
      <c r="Q12" s="510"/>
      <c r="R12" s="510"/>
      <c r="S12" s="510"/>
    </row>
    <row r="13" spans="1:19" ht="25.5" hidden="1" customHeight="1" x14ac:dyDescent="0.2">
      <c r="A13" s="1765" t="s">
        <v>465</v>
      </c>
      <c r="B13" s="1766"/>
      <c r="C13" s="1766"/>
      <c r="D13" s="1766"/>
      <c r="E13" s="1767"/>
      <c r="F13" s="804"/>
      <c r="G13" s="805"/>
      <c r="H13" s="806">
        <f>H15+H14+H16</f>
        <v>0</v>
      </c>
      <c r="I13" s="804"/>
      <c r="J13" s="805"/>
      <c r="K13" s="808">
        <f>K15+K14+K16</f>
        <v>0</v>
      </c>
    </row>
    <row r="14" spans="1:19" s="506" customFormat="1" ht="63.75" hidden="1" x14ac:dyDescent="0.2">
      <c r="A14" s="1310">
        <v>112</v>
      </c>
      <c r="B14" s="1310">
        <v>212</v>
      </c>
      <c r="C14" s="1310">
        <v>912</v>
      </c>
      <c r="D14" s="1107" t="s">
        <v>880</v>
      </c>
      <c r="E14" s="592" t="s">
        <v>769</v>
      </c>
      <c r="F14" s="594"/>
      <c r="G14" s="576" t="e">
        <f>H14/F14</f>
        <v>#DIV/0!</v>
      </c>
      <c r="H14" s="668">
        <v>0</v>
      </c>
      <c r="I14" s="706"/>
      <c r="J14" s="700" t="e">
        <f>K14/I14</f>
        <v>#DIV/0!</v>
      </c>
      <c r="K14" s="668">
        <v>0</v>
      </c>
      <c r="L14" s="510"/>
      <c r="M14" s="510"/>
      <c r="N14" s="510"/>
      <c r="O14" s="510"/>
      <c r="P14" s="510"/>
      <c r="Q14" s="510"/>
      <c r="R14" s="510"/>
      <c r="S14" s="510"/>
    </row>
    <row r="15" spans="1:19" s="558" customFormat="1" ht="63.75" hidden="1" x14ac:dyDescent="0.2">
      <c r="A15" s="1308">
        <v>112</v>
      </c>
      <c r="B15" s="1308">
        <v>214</v>
      </c>
      <c r="C15" s="1308">
        <v>912</v>
      </c>
      <c r="D15" s="1107" t="s">
        <v>880</v>
      </c>
      <c r="E15" s="572" t="s">
        <v>182</v>
      </c>
      <c r="F15" s="654"/>
      <c r="G15" s="576" t="e">
        <f>H15/F15</f>
        <v>#DIV/0!</v>
      </c>
      <c r="H15" s="674">
        <v>0</v>
      </c>
      <c r="I15" s="653"/>
      <c r="J15" s="700" t="e">
        <f>K15/I15</f>
        <v>#DIV/0!</v>
      </c>
      <c r="K15" s="1399">
        <v>0</v>
      </c>
      <c r="L15" s="557"/>
      <c r="M15" s="557"/>
      <c r="N15" s="557"/>
      <c r="O15" s="557"/>
      <c r="P15" s="557"/>
      <c r="Q15" s="557"/>
      <c r="R15" s="557"/>
      <c r="S15" s="557"/>
    </row>
    <row r="16" spans="1:19" s="558" customFormat="1" ht="63.75" hidden="1" x14ac:dyDescent="0.2">
      <c r="A16" s="1308">
        <v>112</v>
      </c>
      <c r="B16" s="1308">
        <v>226</v>
      </c>
      <c r="C16" s="1308">
        <v>912</v>
      </c>
      <c r="D16" s="1107" t="s">
        <v>880</v>
      </c>
      <c r="E16" s="572" t="s">
        <v>769</v>
      </c>
      <c r="F16" s="654"/>
      <c r="G16" s="576" t="e">
        <f>H16/F16</f>
        <v>#DIV/0!</v>
      </c>
      <c r="H16" s="664">
        <v>0</v>
      </c>
      <c r="I16" s="653"/>
      <c r="J16" s="700" t="e">
        <f>K16/I16</f>
        <v>#DIV/0!</v>
      </c>
      <c r="K16" s="669">
        <v>0</v>
      </c>
      <c r="L16" s="557"/>
      <c r="M16" s="557"/>
      <c r="N16" s="557"/>
      <c r="O16" s="557"/>
      <c r="P16" s="557"/>
      <c r="Q16" s="557"/>
      <c r="R16" s="557"/>
      <c r="S16" s="557"/>
    </row>
    <row r="17" spans="1:19" s="558" customFormat="1" ht="55.5" hidden="1" customHeight="1" x14ac:dyDescent="0.2">
      <c r="A17" s="1772" t="s">
        <v>637</v>
      </c>
      <c r="B17" s="1773"/>
      <c r="C17" s="1773"/>
      <c r="D17" s="1773"/>
      <c r="E17" s="1774"/>
      <c r="F17" s="801"/>
      <c r="G17" s="801"/>
      <c r="H17" s="803">
        <f>H18</f>
        <v>0</v>
      </c>
      <c r="I17" s="801"/>
      <c r="J17" s="801"/>
      <c r="K17" s="803">
        <f>K18</f>
        <v>0</v>
      </c>
      <c r="L17" s="557"/>
      <c r="M17" s="557"/>
      <c r="N17" s="557"/>
      <c r="O17" s="557"/>
      <c r="P17" s="557"/>
      <c r="Q17" s="557"/>
      <c r="R17" s="557"/>
      <c r="S17" s="557"/>
    </row>
    <row r="18" spans="1:19" s="604" customFormat="1" ht="204" hidden="1" x14ac:dyDescent="0.2">
      <c r="A18" s="1770">
        <v>113</v>
      </c>
      <c r="B18" s="1769">
        <v>226</v>
      </c>
      <c r="C18" s="1776">
        <v>966</v>
      </c>
      <c r="D18" s="623" t="s">
        <v>229</v>
      </c>
      <c r="E18" s="569"/>
      <c r="F18" s="594"/>
      <c r="G18" s="575"/>
      <c r="H18" s="657">
        <f>H19</f>
        <v>0</v>
      </c>
      <c r="I18" s="594"/>
      <c r="J18" s="575"/>
      <c r="K18" s="657">
        <f>K19</f>
        <v>0</v>
      </c>
      <c r="L18" s="603"/>
      <c r="M18" s="603"/>
      <c r="N18" s="603"/>
      <c r="O18" s="603"/>
      <c r="P18" s="603"/>
      <c r="Q18" s="603"/>
      <c r="R18" s="603"/>
      <c r="S18" s="603"/>
    </row>
    <row r="19" spans="1:19" s="604" customFormat="1" ht="25.5" hidden="1" x14ac:dyDescent="0.2">
      <c r="A19" s="1770"/>
      <c r="B19" s="1775"/>
      <c r="C19" s="1777"/>
      <c r="D19" s="495" t="s">
        <v>694</v>
      </c>
      <c r="E19" s="565" t="s">
        <v>748</v>
      </c>
      <c r="F19" s="596"/>
      <c r="G19" s="579" t="e">
        <f>H19/F19</f>
        <v>#DIV/0!</v>
      </c>
      <c r="H19" s="661"/>
      <c r="I19" s="596"/>
      <c r="J19" s="579" t="e">
        <f>K19/I19</f>
        <v>#DIV/0!</v>
      </c>
      <c r="K19" s="661"/>
      <c r="L19" s="603"/>
      <c r="M19" s="603"/>
      <c r="N19" s="603"/>
      <c r="O19" s="603"/>
      <c r="P19" s="603"/>
      <c r="Q19" s="603"/>
      <c r="R19" s="603"/>
      <c r="S19" s="603"/>
    </row>
    <row r="20" spans="1:19" s="507" customFormat="1" ht="44.25" hidden="1" customHeight="1" x14ac:dyDescent="0.2">
      <c r="A20" s="1765" t="s">
        <v>715</v>
      </c>
      <c r="B20" s="1766"/>
      <c r="C20" s="1766"/>
      <c r="D20" s="1766"/>
      <c r="E20" s="1767"/>
      <c r="F20" s="807"/>
      <c r="G20" s="807"/>
      <c r="H20" s="808">
        <f>H21</f>
        <v>0</v>
      </c>
      <c r="I20" s="807"/>
      <c r="J20" s="807"/>
      <c r="K20" s="808">
        <f>K21</f>
        <v>0</v>
      </c>
      <c r="L20" s="511"/>
      <c r="M20" s="511"/>
      <c r="N20" s="511"/>
      <c r="O20" s="511"/>
      <c r="P20" s="511"/>
      <c r="Q20" s="511"/>
      <c r="R20" s="511"/>
      <c r="S20" s="511"/>
    </row>
    <row r="21" spans="1:19" s="507" customFormat="1" ht="13.5" hidden="1" customHeight="1" x14ac:dyDescent="0.2">
      <c r="A21" s="592"/>
      <c r="B21" s="568"/>
      <c r="C21" s="592">
        <v>992</v>
      </c>
      <c r="D21" s="571" t="s">
        <v>709</v>
      </c>
      <c r="E21" s="591"/>
      <c r="F21" s="594"/>
      <c r="G21" s="599"/>
      <c r="H21" s="662">
        <f>H22</f>
        <v>0</v>
      </c>
      <c r="I21" s="594"/>
      <c r="J21" s="599"/>
      <c r="K21" s="662">
        <f>K22</f>
        <v>0</v>
      </c>
      <c r="L21" s="511"/>
      <c r="M21" s="511"/>
      <c r="N21" s="511"/>
      <c r="O21" s="511"/>
      <c r="P21" s="511"/>
      <c r="Q21" s="511"/>
      <c r="R21" s="511"/>
      <c r="S21" s="511"/>
    </row>
    <row r="22" spans="1:19" s="506" customFormat="1" ht="25.5" hidden="1" x14ac:dyDescent="0.2">
      <c r="A22" s="566">
        <v>119</v>
      </c>
      <c r="B22" s="561">
        <v>213</v>
      </c>
      <c r="C22" s="566">
        <v>992</v>
      </c>
      <c r="D22" s="585" t="s">
        <v>709</v>
      </c>
      <c r="E22" s="562" t="s">
        <v>714</v>
      </c>
      <c r="F22" s="595"/>
      <c r="G22" s="577" t="e">
        <f>H22/F22</f>
        <v>#DIV/0!</v>
      </c>
      <c r="H22" s="659"/>
      <c r="I22" s="595"/>
      <c r="J22" s="577" t="e">
        <f>K22/I22</f>
        <v>#DIV/0!</v>
      </c>
      <c r="K22" s="659"/>
      <c r="L22" s="510"/>
      <c r="M22" s="510"/>
      <c r="N22" s="510"/>
      <c r="O22" s="510"/>
      <c r="P22" s="510"/>
      <c r="Q22" s="510"/>
      <c r="R22" s="510"/>
      <c r="S22" s="510"/>
    </row>
    <row r="23" spans="1:19" ht="37.5" hidden="1" customHeight="1" x14ac:dyDescent="0.2">
      <c r="A23" s="1781" t="s">
        <v>638</v>
      </c>
      <c r="B23" s="1782"/>
      <c r="C23" s="1782"/>
      <c r="D23" s="1782"/>
      <c r="E23" s="1783"/>
      <c r="F23" s="805"/>
      <c r="G23" s="805"/>
      <c r="H23" s="809">
        <f>H25+H27+H33+H35+H39+H46+H48+H52+H24+H44+H50</f>
        <v>0</v>
      </c>
      <c r="I23" s="805"/>
      <c r="J23" s="805"/>
      <c r="K23" s="809">
        <f>K25+K27+K33+K35+K39+K46+K48+K52+K24+K44+K50</f>
        <v>0</v>
      </c>
    </row>
    <row r="24" spans="1:19" s="506" customFormat="1" ht="37.5" hidden="1" customHeight="1" x14ac:dyDescent="0.2">
      <c r="A24" s="626">
        <v>244</v>
      </c>
      <c r="B24" s="626">
        <v>222</v>
      </c>
      <c r="C24" s="626">
        <v>922</v>
      </c>
      <c r="D24" s="810" t="s">
        <v>772</v>
      </c>
      <c r="E24" s="767" t="s">
        <v>773</v>
      </c>
      <c r="F24" s="811"/>
      <c r="G24" s="597" t="e">
        <f>H24/F24</f>
        <v>#DIV/0!</v>
      </c>
      <c r="H24" s="695"/>
      <c r="I24" s="811"/>
      <c r="J24" s="597" t="e">
        <f>K24/I24</f>
        <v>#DIV/0!</v>
      </c>
      <c r="K24" s="695"/>
      <c r="L24" s="510"/>
      <c r="M24" s="510"/>
      <c r="N24" s="510"/>
      <c r="O24" s="510"/>
      <c r="P24" s="510"/>
      <c r="Q24" s="510"/>
      <c r="R24" s="510"/>
      <c r="S24" s="510"/>
    </row>
    <row r="25" spans="1:19" s="604" customFormat="1" hidden="1" x14ac:dyDescent="0.2">
      <c r="A25" s="1310">
        <v>244</v>
      </c>
      <c r="B25" s="1313">
        <v>221</v>
      </c>
      <c r="C25" s="1310">
        <v>925</v>
      </c>
      <c r="D25" s="589" t="s">
        <v>734</v>
      </c>
      <c r="E25" s="592"/>
      <c r="F25" s="602"/>
      <c r="G25" s="576"/>
      <c r="H25" s="657">
        <f>H26</f>
        <v>0</v>
      </c>
      <c r="I25" s="602"/>
      <c r="J25" s="576"/>
      <c r="K25" s="657">
        <f>K26</f>
        <v>0</v>
      </c>
      <c r="L25" s="603"/>
      <c r="M25" s="603"/>
      <c r="N25" s="603"/>
      <c r="O25" s="603"/>
      <c r="P25" s="603"/>
      <c r="Q25" s="603"/>
      <c r="R25" s="603"/>
      <c r="S25" s="603"/>
    </row>
    <row r="26" spans="1:19" s="604" customFormat="1" ht="51" hidden="1" x14ac:dyDescent="0.2">
      <c r="A26" s="567"/>
      <c r="B26" s="564"/>
      <c r="C26" s="567">
        <v>925</v>
      </c>
      <c r="D26" s="590" t="s">
        <v>384</v>
      </c>
      <c r="E26" s="605" t="s">
        <v>181</v>
      </c>
      <c r="F26" s="606"/>
      <c r="G26" s="580" t="e">
        <f>H26/F26</f>
        <v>#DIV/0!</v>
      </c>
      <c r="H26" s="661"/>
      <c r="I26" s="606"/>
      <c r="J26" s="580" t="e">
        <f>K26/I26</f>
        <v>#DIV/0!</v>
      </c>
      <c r="K26" s="661"/>
      <c r="L26" s="603"/>
      <c r="M26" s="603"/>
      <c r="N26" s="603"/>
      <c r="O26" s="603"/>
      <c r="P26" s="603"/>
      <c r="Q26" s="603"/>
      <c r="R26" s="603"/>
      <c r="S26" s="603"/>
    </row>
    <row r="27" spans="1:19" s="604" customFormat="1" ht="25.5" hidden="1" x14ac:dyDescent="0.2">
      <c r="A27" s="592">
        <v>244</v>
      </c>
      <c r="B27" s="569">
        <v>225</v>
      </c>
      <c r="C27" s="592">
        <v>941</v>
      </c>
      <c r="D27" s="589" t="s">
        <v>749</v>
      </c>
      <c r="E27" s="614"/>
      <c r="F27" s="615"/>
      <c r="G27" s="616"/>
      <c r="H27" s="657">
        <f>SUM(H28:H32)</f>
        <v>0</v>
      </c>
      <c r="I27" s="615"/>
      <c r="J27" s="616"/>
      <c r="K27" s="657">
        <f>SUM(K28:K32)</f>
        <v>0</v>
      </c>
      <c r="L27" s="603"/>
      <c r="M27" s="603"/>
      <c r="N27" s="603"/>
      <c r="O27" s="603"/>
      <c r="P27" s="603"/>
      <c r="Q27" s="603"/>
      <c r="R27" s="603"/>
      <c r="S27" s="603"/>
    </row>
    <row r="28" spans="1:19" s="604" customFormat="1" ht="25.5" hidden="1" x14ac:dyDescent="0.2">
      <c r="A28" s="612"/>
      <c r="B28" s="562"/>
      <c r="C28" s="612"/>
      <c r="D28" s="588" t="s">
        <v>396</v>
      </c>
      <c r="E28" s="612" t="s">
        <v>748</v>
      </c>
      <c r="F28" s="613"/>
      <c r="G28" s="578" t="e">
        <f t="shared" ref="G28:G53" si="0">H28/F28</f>
        <v>#DIV/0!</v>
      </c>
      <c r="H28" s="659"/>
      <c r="I28" s="613"/>
      <c r="J28" s="578" t="e">
        <f t="shared" ref="J28:J53" si="1">K28/I28</f>
        <v>#DIV/0!</v>
      </c>
      <c r="K28" s="659"/>
      <c r="L28" s="603"/>
      <c r="M28" s="603"/>
      <c r="N28" s="603"/>
      <c r="O28" s="603"/>
      <c r="P28" s="603"/>
      <c r="Q28" s="603"/>
      <c r="R28" s="603"/>
      <c r="S28" s="603"/>
    </row>
    <row r="29" spans="1:19" s="604" customFormat="1" ht="25.5" hidden="1" x14ac:dyDescent="0.2">
      <c r="A29" s="612"/>
      <c r="B29" s="562"/>
      <c r="C29" s="612"/>
      <c r="D29" s="588" t="s">
        <v>397</v>
      </c>
      <c r="E29" s="612" t="s">
        <v>748</v>
      </c>
      <c r="F29" s="613"/>
      <c r="G29" s="578" t="e">
        <f t="shared" si="0"/>
        <v>#DIV/0!</v>
      </c>
      <c r="H29" s="659"/>
      <c r="I29" s="613"/>
      <c r="J29" s="578" t="e">
        <f t="shared" si="1"/>
        <v>#DIV/0!</v>
      </c>
      <c r="K29" s="659"/>
      <c r="L29" s="603"/>
      <c r="M29" s="603"/>
      <c r="N29" s="603"/>
      <c r="O29" s="603"/>
      <c r="P29" s="603"/>
      <c r="Q29" s="603"/>
      <c r="R29" s="603"/>
      <c r="S29" s="603"/>
    </row>
    <row r="30" spans="1:19" s="604" customFormat="1" ht="25.5" hidden="1" x14ac:dyDescent="0.2">
      <c r="A30" s="612"/>
      <c r="B30" s="562"/>
      <c r="C30" s="612"/>
      <c r="D30" s="588" t="s">
        <v>398</v>
      </c>
      <c r="E30" s="612" t="s">
        <v>748</v>
      </c>
      <c r="F30" s="613"/>
      <c r="G30" s="578" t="e">
        <f t="shared" si="0"/>
        <v>#DIV/0!</v>
      </c>
      <c r="H30" s="659"/>
      <c r="I30" s="613"/>
      <c r="J30" s="578" t="e">
        <f t="shared" si="1"/>
        <v>#DIV/0!</v>
      </c>
      <c r="K30" s="659"/>
      <c r="L30" s="603"/>
      <c r="M30" s="603"/>
      <c r="N30" s="603"/>
      <c r="O30" s="603"/>
      <c r="P30" s="603"/>
      <c r="Q30" s="603"/>
      <c r="R30" s="603"/>
      <c r="S30" s="603"/>
    </row>
    <row r="31" spans="1:19" s="604" customFormat="1" ht="25.5" hidden="1" x14ac:dyDescent="0.2">
      <c r="A31" s="612"/>
      <c r="B31" s="562"/>
      <c r="C31" s="612"/>
      <c r="D31" s="588" t="s">
        <v>414</v>
      </c>
      <c r="E31" s="612" t="s">
        <v>748</v>
      </c>
      <c r="F31" s="613"/>
      <c r="G31" s="578" t="e">
        <f t="shared" si="0"/>
        <v>#DIV/0!</v>
      </c>
      <c r="H31" s="659"/>
      <c r="I31" s="613"/>
      <c r="J31" s="578" t="e">
        <f t="shared" si="1"/>
        <v>#DIV/0!</v>
      </c>
      <c r="K31" s="659"/>
      <c r="L31" s="603"/>
      <c r="M31" s="603"/>
      <c r="N31" s="603"/>
      <c r="O31" s="603"/>
      <c r="P31" s="603"/>
      <c r="Q31" s="603"/>
      <c r="R31" s="603"/>
      <c r="S31" s="603"/>
    </row>
    <row r="32" spans="1:19" s="604" customFormat="1" hidden="1" x14ac:dyDescent="0.2">
      <c r="A32" s="605"/>
      <c r="B32" s="565"/>
      <c r="C32" s="605"/>
      <c r="D32" s="590" t="s">
        <v>692</v>
      </c>
      <c r="E32" s="612" t="s">
        <v>748</v>
      </c>
      <c r="F32" s="606"/>
      <c r="G32" s="578" t="e">
        <f t="shared" si="0"/>
        <v>#DIV/0!</v>
      </c>
      <c r="H32" s="661"/>
      <c r="I32" s="606"/>
      <c r="J32" s="578" t="e">
        <f t="shared" si="1"/>
        <v>#DIV/0!</v>
      </c>
      <c r="K32" s="661"/>
      <c r="L32" s="603"/>
      <c r="M32" s="603"/>
      <c r="N32" s="603"/>
      <c r="O32" s="603"/>
      <c r="P32" s="603"/>
      <c r="Q32" s="603"/>
      <c r="R32" s="603"/>
      <c r="S32" s="603"/>
    </row>
    <row r="33" spans="1:19" s="604" customFormat="1" ht="13.5" hidden="1" customHeight="1" x14ac:dyDescent="0.2">
      <c r="A33" s="618">
        <v>244</v>
      </c>
      <c r="B33" s="592">
        <v>225</v>
      </c>
      <c r="C33" s="569" t="s">
        <v>750</v>
      </c>
      <c r="D33" s="584" t="s">
        <v>751</v>
      </c>
      <c r="E33" s="563"/>
      <c r="F33" s="619"/>
      <c r="G33" s="620"/>
      <c r="H33" s="657">
        <f>H34</f>
        <v>0</v>
      </c>
      <c r="I33" s="619"/>
      <c r="J33" s="620"/>
      <c r="K33" s="657">
        <f>K34</f>
        <v>0</v>
      </c>
      <c r="L33" s="603"/>
      <c r="M33" s="603"/>
      <c r="N33" s="603"/>
      <c r="O33" s="603"/>
      <c r="P33" s="603"/>
      <c r="Q33" s="603"/>
      <c r="R33" s="603"/>
      <c r="S33" s="603"/>
    </row>
    <row r="34" spans="1:19" s="604" customFormat="1" ht="25.5" hidden="1" x14ac:dyDescent="0.2">
      <c r="A34" s="621"/>
      <c r="B34" s="605"/>
      <c r="C34" s="565"/>
      <c r="D34" s="495" t="s">
        <v>752</v>
      </c>
      <c r="E34" s="612" t="s">
        <v>748</v>
      </c>
      <c r="F34" s="596"/>
      <c r="G34" s="579" t="e">
        <f t="shared" si="0"/>
        <v>#DIV/0!</v>
      </c>
      <c r="H34" s="661"/>
      <c r="I34" s="596"/>
      <c r="J34" s="579" t="e">
        <f t="shared" si="1"/>
        <v>#DIV/0!</v>
      </c>
      <c r="K34" s="661"/>
      <c r="L34" s="603"/>
      <c r="M34" s="603"/>
      <c r="N34" s="603"/>
      <c r="O34" s="603"/>
      <c r="P34" s="603"/>
      <c r="Q34" s="603"/>
      <c r="R34" s="603"/>
      <c r="S34" s="603"/>
    </row>
    <row r="35" spans="1:19" s="604" customFormat="1" ht="63.75" hidden="1" x14ac:dyDescent="0.2">
      <c r="A35" s="618">
        <v>244</v>
      </c>
      <c r="B35" s="592">
        <v>226</v>
      </c>
      <c r="C35" s="569">
        <v>953</v>
      </c>
      <c r="D35" s="584" t="s">
        <v>753</v>
      </c>
      <c r="E35" s="563"/>
      <c r="F35" s="619"/>
      <c r="G35" s="620"/>
      <c r="H35" s="657">
        <f>SUM(H36:H38)</f>
        <v>0</v>
      </c>
      <c r="I35" s="619"/>
      <c r="J35" s="620"/>
      <c r="K35" s="657">
        <f>SUM(K36:K38)</f>
        <v>0</v>
      </c>
      <c r="L35" s="603"/>
      <c r="M35" s="603"/>
      <c r="N35" s="603"/>
      <c r="O35" s="603"/>
      <c r="P35" s="603"/>
      <c r="Q35" s="603"/>
      <c r="R35" s="603"/>
      <c r="S35" s="603"/>
    </row>
    <row r="36" spans="1:19" s="604" customFormat="1" hidden="1" x14ac:dyDescent="0.2">
      <c r="A36" s="622"/>
      <c r="B36" s="612"/>
      <c r="C36" s="562"/>
      <c r="D36" s="585" t="s">
        <v>399</v>
      </c>
      <c r="E36" s="562" t="s">
        <v>178</v>
      </c>
      <c r="F36" s="595"/>
      <c r="G36" s="577" t="e">
        <f t="shared" si="0"/>
        <v>#DIV/0!</v>
      </c>
      <c r="H36" s="659"/>
      <c r="I36" s="595"/>
      <c r="J36" s="577" t="e">
        <f t="shared" si="1"/>
        <v>#DIV/0!</v>
      </c>
      <c r="K36" s="659"/>
      <c r="L36" s="603"/>
      <c r="M36" s="603"/>
      <c r="N36" s="603"/>
      <c r="O36" s="603"/>
      <c r="P36" s="603"/>
      <c r="Q36" s="603"/>
      <c r="R36" s="603"/>
      <c r="S36" s="603"/>
    </row>
    <row r="37" spans="1:19" s="604" customFormat="1" ht="63.75" hidden="1" x14ac:dyDescent="0.2">
      <c r="A37" s="622"/>
      <c r="B37" s="612"/>
      <c r="C37" s="562"/>
      <c r="D37" s="585" t="s">
        <v>702</v>
      </c>
      <c r="E37" s="562" t="s">
        <v>178</v>
      </c>
      <c r="F37" s="595"/>
      <c r="G37" s="577" t="e">
        <f t="shared" si="0"/>
        <v>#DIV/0!</v>
      </c>
      <c r="H37" s="659"/>
      <c r="I37" s="595"/>
      <c r="J37" s="577" t="e">
        <f t="shared" si="1"/>
        <v>#DIV/0!</v>
      </c>
      <c r="K37" s="659"/>
      <c r="L37" s="603"/>
      <c r="M37" s="603"/>
      <c r="N37" s="603"/>
      <c r="O37" s="603"/>
      <c r="P37" s="603"/>
      <c r="Q37" s="603"/>
      <c r="R37" s="603"/>
      <c r="S37" s="603"/>
    </row>
    <row r="38" spans="1:19" s="604" customFormat="1" hidden="1" x14ac:dyDescent="0.2">
      <c r="A38" s="621"/>
      <c r="B38" s="605"/>
      <c r="C38" s="565"/>
      <c r="D38" s="495" t="s">
        <v>400</v>
      </c>
      <c r="E38" s="565" t="s">
        <v>178</v>
      </c>
      <c r="F38" s="596"/>
      <c r="G38" s="577" t="e">
        <f t="shared" si="0"/>
        <v>#DIV/0!</v>
      </c>
      <c r="H38" s="661"/>
      <c r="I38" s="596"/>
      <c r="J38" s="577" t="e">
        <f t="shared" si="1"/>
        <v>#DIV/0!</v>
      </c>
      <c r="K38" s="661"/>
      <c r="L38" s="603"/>
      <c r="M38" s="603"/>
      <c r="N38" s="603"/>
      <c r="O38" s="603"/>
      <c r="P38" s="603"/>
      <c r="Q38" s="603"/>
      <c r="R38" s="603"/>
      <c r="S38" s="603"/>
    </row>
    <row r="39" spans="1:19" s="604" customFormat="1" hidden="1" x14ac:dyDescent="0.2">
      <c r="A39" s="618">
        <v>244</v>
      </c>
      <c r="B39" s="592">
        <v>226</v>
      </c>
      <c r="C39" s="569" t="s">
        <v>754</v>
      </c>
      <c r="D39" s="584" t="s">
        <v>755</v>
      </c>
      <c r="E39" s="569"/>
      <c r="F39" s="594"/>
      <c r="G39" s="575"/>
      <c r="H39" s="657">
        <f>SUM(H40:H43)</f>
        <v>0</v>
      </c>
      <c r="I39" s="594"/>
      <c r="J39" s="575"/>
      <c r="K39" s="657">
        <f>SUM(K40:K43)</f>
        <v>0</v>
      </c>
      <c r="L39" s="603"/>
      <c r="M39" s="603"/>
      <c r="N39" s="603"/>
      <c r="O39" s="603"/>
      <c r="P39" s="603"/>
      <c r="Q39" s="603"/>
      <c r="R39" s="603"/>
      <c r="S39" s="603"/>
    </row>
    <row r="40" spans="1:19" s="604" customFormat="1" ht="63.75" hidden="1" x14ac:dyDescent="0.2">
      <c r="A40" s="622"/>
      <c r="B40" s="612"/>
      <c r="C40" s="562"/>
      <c r="D40" s="585" t="s">
        <v>693</v>
      </c>
      <c r="E40" s="562" t="s">
        <v>389</v>
      </c>
      <c r="F40" s="595"/>
      <c r="G40" s="577" t="e">
        <f t="shared" si="0"/>
        <v>#DIV/0!</v>
      </c>
      <c r="H40" s="659"/>
      <c r="I40" s="595"/>
      <c r="J40" s="577" t="e">
        <f t="shared" si="1"/>
        <v>#DIV/0!</v>
      </c>
      <c r="K40" s="659"/>
      <c r="L40" s="603"/>
      <c r="M40" s="603"/>
      <c r="N40" s="603"/>
      <c r="O40" s="603"/>
      <c r="P40" s="603"/>
      <c r="Q40" s="603"/>
      <c r="R40" s="603"/>
      <c r="S40" s="603"/>
    </row>
    <row r="41" spans="1:19" s="604" customFormat="1" ht="25.5" hidden="1" x14ac:dyDescent="0.2">
      <c r="A41" s="622"/>
      <c r="B41" s="612"/>
      <c r="C41" s="562"/>
      <c r="D41" s="585" t="s">
        <v>402</v>
      </c>
      <c r="E41" s="562" t="s">
        <v>389</v>
      </c>
      <c r="F41" s="595"/>
      <c r="G41" s="577" t="e">
        <f t="shared" si="0"/>
        <v>#DIV/0!</v>
      </c>
      <c r="H41" s="659"/>
      <c r="I41" s="595"/>
      <c r="J41" s="577" t="e">
        <f t="shared" si="1"/>
        <v>#DIV/0!</v>
      </c>
      <c r="K41" s="659"/>
      <c r="L41" s="603"/>
      <c r="M41" s="603"/>
      <c r="N41" s="603"/>
      <c r="O41" s="603"/>
      <c r="P41" s="603"/>
      <c r="Q41" s="603"/>
      <c r="R41" s="603"/>
      <c r="S41" s="603"/>
    </row>
    <row r="42" spans="1:19" s="604" customFormat="1" ht="25.5" hidden="1" x14ac:dyDescent="0.2">
      <c r="A42" s="622"/>
      <c r="B42" s="612"/>
      <c r="C42" s="562"/>
      <c r="D42" s="585" t="s">
        <v>401</v>
      </c>
      <c r="E42" s="562" t="s">
        <v>389</v>
      </c>
      <c r="F42" s="595"/>
      <c r="G42" s="577" t="e">
        <f t="shared" si="0"/>
        <v>#DIV/0!</v>
      </c>
      <c r="H42" s="659"/>
      <c r="I42" s="595"/>
      <c r="J42" s="577" t="e">
        <f t="shared" si="1"/>
        <v>#DIV/0!</v>
      </c>
      <c r="K42" s="659"/>
      <c r="L42" s="603"/>
      <c r="M42" s="603"/>
      <c r="N42" s="603"/>
      <c r="O42" s="603"/>
      <c r="P42" s="603"/>
      <c r="Q42" s="603"/>
      <c r="R42" s="603"/>
      <c r="S42" s="603"/>
    </row>
    <row r="43" spans="1:19" s="604" customFormat="1" ht="25.5" hidden="1" x14ac:dyDescent="0.2">
      <c r="A43" s="621"/>
      <c r="B43" s="605"/>
      <c r="C43" s="565"/>
      <c r="D43" s="495" t="s">
        <v>694</v>
      </c>
      <c r="E43" s="565" t="s">
        <v>748</v>
      </c>
      <c r="F43" s="596"/>
      <c r="G43" s="577" t="e">
        <f t="shared" si="0"/>
        <v>#DIV/0!</v>
      </c>
      <c r="H43" s="661"/>
      <c r="I43" s="596"/>
      <c r="J43" s="577" t="e">
        <f t="shared" si="1"/>
        <v>#DIV/0!</v>
      </c>
      <c r="K43" s="661"/>
      <c r="L43" s="603"/>
      <c r="M43" s="603"/>
      <c r="N43" s="603"/>
      <c r="O43" s="603"/>
      <c r="P43" s="603"/>
      <c r="Q43" s="603"/>
      <c r="R43" s="603"/>
      <c r="S43" s="603"/>
    </row>
    <row r="44" spans="1:19" s="604" customFormat="1" ht="25.5" hidden="1" x14ac:dyDescent="0.2">
      <c r="A44" s="671">
        <v>244</v>
      </c>
      <c r="B44" s="610">
        <v>226</v>
      </c>
      <c r="C44" s="568">
        <v>955</v>
      </c>
      <c r="D44" s="617" t="s">
        <v>777</v>
      </c>
      <c r="E44" s="562"/>
      <c r="F44" s="595"/>
      <c r="G44" s="616"/>
      <c r="H44" s="611">
        <f>H45</f>
        <v>0</v>
      </c>
      <c r="I44" s="595"/>
      <c r="J44" s="616"/>
      <c r="K44" s="697">
        <f>K45</f>
        <v>0</v>
      </c>
      <c r="L44" s="603"/>
      <c r="M44" s="603"/>
      <c r="N44" s="603"/>
      <c r="O44" s="603"/>
      <c r="P44" s="603"/>
      <c r="Q44" s="603"/>
      <c r="R44" s="603"/>
      <c r="S44" s="603"/>
    </row>
    <row r="45" spans="1:19" s="604" customFormat="1" ht="25.5" hidden="1" x14ac:dyDescent="0.2">
      <c r="A45" s="622"/>
      <c r="B45" s="612"/>
      <c r="C45" s="562"/>
      <c r="D45" s="495" t="s">
        <v>694</v>
      </c>
      <c r="E45" s="565" t="s">
        <v>748</v>
      </c>
      <c r="F45" s="595"/>
      <c r="G45" s="580" t="e">
        <f t="shared" si="0"/>
        <v>#DIV/0!</v>
      </c>
      <c r="H45" s="659"/>
      <c r="I45" s="595"/>
      <c r="J45" s="580" t="e">
        <f t="shared" si="1"/>
        <v>#DIV/0!</v>
      </c>
      <c r="K45" s="659"/>
      <c r="L45" s="603"/>
      <c r="M45" s="603"/>
      <c r="N45" s="603"/>
      <c r="O45" s="603"/>
      <c r="P45" s="603"/>
      <c r="Q45" s="603"/>
      <c r="R45" s="603"/>
      <c r="S45" s="603"/>
    </row>
    <row r="46" spans="1:19" s="604" customFormat="1" ht="63.75" hidden="1" x14ac:dyDescent="0.2">
      <c r="A46" s="618">
        <v>244</v>
      </c>
      <c r="B46" s="592" t="s">
        <v>758</v>
      </c>
      <c r="C46" s="569" t="s">
        <v>756</v>
      </c>
      <c r="D46" s="584" t="s">
        <v>757</v>
      </c>
      <c r="E46" s="569"/>
      <c r="F46" s="594"/>
      <c r="G46" s="575"/>
      <c r="H46" s="657">
        <f>H47</f>
        <v>0</v>
      </c>
      <c r="I46" s="594"/>
      <c r="J46" s="575"/>
      <c r="K46" s="657">
        <f>K47</f>
        <v>0</v>
      </c>
      <c r="L46" s="603"/>
      <c r="M46" s="603"/>
      <c r="N46" s="603"/>
      <c r="O46" s="603"/>
      <c r="P46" s="603"/>
      <c r="Q46" s="603"/>
      <c r="R46" s="603"/>
      <c r="S46" s="603"/>
    </row>
    <row r="47" spans="1:19" s="604" customFormat="1" ht="25.5" hidden="1" x14ac:dyDescent="0.2">
      <c r="A47" s="621"/>
      <c r="B47" s="605"/>
      <c r="C47" s="565"/>
      <c r="D47" s="495" t="s">
        <v>694</v>
      </c>
      <c r="E47" s="565" t="s">
        <v>748</v>
      </c>
      <c r="F47" s="596"/>
      <c r="G47" s="579" t="e">
        <f t="shared" si="0"/>
        <v>#DIV/0!</v>
      </c>
      <c r="H47" s="661"/>
      <c r="I47" s="596"/>
      <c r="J47" s="579" t="e">
        <f t="shared" si="1"/>
        <v>#DIV/0!</v>
      </c>
      <c r="K47" s="661"/>
      <c r="L47" s="603"/>
      <c r="M47" s="603"/>
      <c r="N47" s="603"/>
      <c r="O47" s="603"/>
      <c r="P47" s="603"/>
      <c r="Q47" s="603"/>
      <c r="R47" s="603"/>
      <c r="S47" s="603"/>
    </row>
    <row r="48" spans="1:19" s="604" customFormat="1" ht="105" hidden="1" customHeight="1" x14ac:dyDescent="0.2">
      <c r="A48" s="1768">
        <v>244</v>
      </c>
      <c r="B48" s="1768">
        <v>226</v>
      </c>
      <c r="C48" s="1770">
        <v>966</v>
      </c>
      <c r="D48" s="623" t="s">
        <v>229</v>
      </c>
      <c r="E48" s="563"/>
      <c r="F48" s="619"/>
      <c r="G48" s="620"/>
      <c r="H48" s="657">
        <f>H49</f>
        <v>0</v>
      </c>
      <c r="I48" s="619"/>
      <c r="J48" s="620"/>
      <c r="K48" s="657">
        <f>K49</f>
        <v>0</v>
      </c>
      <c r="L48" s="603"/>
      <c r="M48" s="603"/>
      <c r="N48" s="603"/>
      <c r="O48" s="603"/>
      <c r="P48" s="603"/>
      <c r="Q48" s="603"/>
      <c r="R48" s="603"/>
      <c r="S48" s="603"/>
    </row>
    <row r="49" spans="1:19" s="604" customFormat="1" ht="25.5" hidden="1" x14ac:dyDescent="0.2">
      <c r="A49" s="1769"/>
      <c r="B49" s="1769"/>
      <c r="C49" s="1771"/>
      <c r="D49" s="495" t="s">
        <v>694</v>
      </c>
      <c r="E49" s="562" t="s">
        <v>748</v>
      </c>
      <c r="F49" s="596"/>
      <c r="G49" s="579" t="e">
        <f t="shared" si="0"/>
        <v>#DIV/0!</v>
      </c>
      <c r="H49" s="661"/>
      <c r="I49" s="596"/>
      <c r="J49" s="579" t="e">
        <f t="shared" si="1"/>
        <v>#DIV/0!</v>
      </c>
      <c r="K49" s="661"/>
      <c r="L49" s="603"/>
      <c r="M49" s="603"/>
      <c r="N49" s="603"/>
      <c r="O49" s="603"/>
      <c r="P49" s="603"/>
      <c r="Q49" s="603"/>
      <c r="R49" s="603"/>
      <c r="S49" s="603"/>
    </row>
    <row r="50" spans="1:19" s="604" customFormat="1" ht="25.5" hidden="1" x14ac:dyDescent="0.2">
      <c r="A50" s="1310">
        <v>244</v>
      </c>
      <c r="B50" s="1310">
        <v>310</v>
      </c>
      <c r="C50" s="774">
        <v>971</v>
      </c>
      <c r="D50" s="765" t="s">
        <v>776</v>
      </c>
      <c r="E50" s="614"/>
      <c r="F50" s="776"/>
      <c r="G50" s="577"/>
      <c r="H50" s="659"/>
      <c r="I50" s="595"/>
      <c r="J50" s="577"/>
      <c r="K50" s="659"/>
      <c r="L50" s="603"/>
      <c r="M50" s="603"/>
      <c r="N50" s="603"/>
      <c r="O50" s="603"/>
      <c r="P50" s="603"/>
      <c r="Q50" s="603"/>
      <c r="R50" s="603"/>
      <c r="S50" s="603"/>
    </row>
    <row r="51" spans="1:19" s="604" customFormat="1" ht="25.5" hidden="1" x14ac:dyDescent="0.2">
      <c r="A51" s="1312"/>
      <c r="B51" s="1312"/>
      <c r="C51" s="779"/>
      <c r="D51" s="590" t="s">
        <v>694</v>
      </c>
      <c r="E51" s="605" t="s">
        <v>748</v>
      </c>
      <c r="F51" s="776"/>
      <c r="G51" s="577" t="e">
        <f t="shared" si="0"/>
        <v>#DIV/0!</v>
      </c>
      <c r="H51" s="659"/>
      <c r="I51" s="595"/>
      <c r="J51" s="577" t="e">
        <f t="shared" si="1"/>
        <v>#DIV/0!</v>
      </c>
      <c r="K51" s="659"/>
      <c r="L51" s="603"/>
      <c r="M51" s="603"/>
      <c r="N51" s="603"/>
      <c r="O51" s="603"/>
      <c r="P51" s="603"/>
      <c r="Q51" s="603"/>
      <c r="R51" s="603"/>
      <c r="S51" s="603"/>
    </row>
    <row r="52" spans="1:19" s="604" customFormat="1" ht="25.5" hidden="1" x14ac:dyDescent="0.2">
      <c r="A52" s="671">
        <v>244</v>
      </c>
      <c r="B52" s="610">
        <v>346</v>
      </c>
      <c r="C52" s="568" t="s">
        <v>759</v>
      </c>
      <c r="D52" s="584" t="s">
        <v>760</v>
      </c>
      <c r="E52" s="562"/>
      <c r="F52" s="619"/>
      <c r="G52" s="620"/>
      <c r="H52" s="657">
        <f>H53</f>
        <v>0</v>
      </c>
      <c r="I52" s="619"/>
      <c r="J52" s="620"/>
      <c r="K52" s="657">
        <f>K53</f>
        <v>0</v>
      </c>
      <c r="L52" s="603"/>
      <c r="M52" s="603"/>
      <c r="N52" s="603"/>
      <c r="O52" s="603"/>
      <c r="P52" s="603"/>
      <c r="Q52" s="603"/>
      <c r="R52" s="603"/>
      <c r="S52" s="603"/>
    </row>
    <row r="53" spans="1:19" s="604" customFormat="1" ht="25.5" hidden="1" x14ac:dyDescent="0.2">
      <c r="A53" s="621"/>
      <c r="B53" s="605"/>
      <c r="C53" s="565"/>
      <c r="D53" s="495" t="s">
        <v>694</v>
      </c>
      <c r="E53" s="565" t="s">
        <v>748</v>
      </c>
      <c r="F53" s="596"/>
      <c r="G53" s="579" t="e">
        <f t="shared" si="0"/>
        <v>#DIV/0!</v>
      </c>
      <c r="H53" s="661"/>
      <c r="I53" s="596"/>
      <c r="J53" s="579" t="e">
        <f t="shared" si="1"/>
        <v>#DIV/0!</v>
      </c>
      <c r="K53" s="661"/>
      <c r="L53" s="603"/>
      <c r="M53" s="603"/>
      <c r="N53" s="603"/>
      <c r="O53" s="603"/>
      <c r="P53" s="603"/>
      <c r="Q53" s="603"/>
      <c r="R53" s="603"/>
      <c r="S53" s="603"/>
    </row>
    <row r="54" spans="1:19" s="506" customFormat="1" x14ac:dyDescent="0.2">
      <c r="A54" s="815"/>
      <c r="B54" s="815"/>
      <c r="C54" s="815"/>
      <c r="D54" s="819" t="s">
        <v>8</v>
      </c>
      <c r="E54" s="816"/>
      <c r="F54" s="817"/>
      <c r="G54" s="818"/>
      <c r="H54" s="818">
        <f>H23+H20+H17+H13+H9</f>
        <v>0</v>
      </c>
      <c r="I54" s="820"/>
      <c r="J54" s="818"/>
      <c r="K54" s="818">
        <f>K23+K20+K17+K13+K9</f>
        <v>0</v>
      </c>
      <c r="L54" s="510"/>
      <c r="M54" s="510"/>
      <c r="N54" s="510"/>
      <c r="O54" s="510"/>
      <c r="P54" s="510"/>
      <c r="Q54" s="510"/>
      <c r="R54" s="510"/>
      <c r="S54" s="510"/>
    </row>
    <row r="55" spans="1:19" s="506" customFormat="1" ht="36.75" customHeight="1" x14ac:dyDescent="0.2">
      <c r="A55" s="507"/>
      <c r="B55" s="507"/>
      <c r="C55" s="507"/>
      <c r="D55" s="583"/>
      <c r="E55" s="508"/>
      <c r="F55" s="593"/>
      <c r="G55" s="573"/>
      <c r="H55" s="655"/>
      <c r="I55" s="510"/>
      <c r="J55" s="510"/>
      <c r="K55" s="683"/>
      <c r="L55" s="510"/>
      <c r="M55" s="510"/>
      <c r="N55" s="510"/>
      <c r="O55" s="510"/>
      <c r="P55" s="510"/>
      <c r="Q55" s="510"/>
      <c r="R55" s="510"/>
      <c r="S55" s="510"/>
    </row>
    <row r="56" spans="1:19" ht="14.25" customHeight="1" x14ac:dyDescent="0.2">
      <c r="E56" s="681"/>
      <c r="H56" s="693">
        <v>0</v>
      </c>
      <c r="I56" s="667"/>
      <c r="J56" s="667"/>
      <c r="K56" s="712">
        <v>0</v>
      </c>
    </row>
    <row r="57" spans="1:19" ht="14.25" customHeight="1" x14ac:dyDescent="0.2">
      <c r="A57" s="1722" t="s">
        <v>128</v>
      </c>
      <c r="B57" s="1722"/>
      <c r="C57" s="1722"/>
      <c r="D57" s="1722"/>
      <c r="E57" s="681"/>
      <c r="H57" s="693">
        <f>H56-H54</f>
        <v>0</v>
      </c>
      <c r="I57" s="693"/>
      <c r="J57" s="693"/>
      <c r="K57" s="693">
        <f t="shared" ref="K57" si="2">K56-K54</f>
        <v>0</v>
      </c>
    </row>
    <row r="58" spans="1:19" x14ac:dyDescent="0.2">
      <c r="A58" s="1722" t="s">
        <v>789</v>
      </c>
      <c r="B58" s="1722"/>
      <c r="C58" s="1722"/>
      <c r="D58" s="1722"/>
    </row>
    <row r="187" spans="24:24" x14ac:dyDescent="0.2">
      <c r="X187">
        <f>V187*W187</f>
        <v>0</v>
      </c>
    </row>
  </sheetData>
  <mergeCells count="29">
    <mergeCell ref="A3:I3"/>
    <mergeCell ref="A1:K1"/>
    <mergeCell ref="A2:K2"/>
    <mergeCell ref="A57:D57"/>
    <mergeCell ref="A58:D58"/>
    <mergeCell ref="A17:E17"/>
    <mergeCell ref="A18:A19"/>
    <mergeCell ref="B18:B19"/>
    <mergeCell ref="C18:C19"/>
    <mergeCell ref="A20:E20"/>
    <mergeCell ref="A23:E23"/>
    <mergeCell ref="A48:A49"/>
    <mergeCell ref="B48:B49"/>
    <mergeCell ref="C48:C49"/>
    <mergeCell ref="A5:A8"/>
    <mergeCell ref="B5:B8"/>
    <mergeCell ref="A9:E9"/>
    <mergeCell ref="A13:E13"/>
    <mergeCell ref="I5:K5"/>
    <mergeCell ref="I6:I8"/>
    <mergeCell ref="J6:J8"/>
    <mergeCell ref="K7:K8"/>
    <mergeCell ref="H7:H8"/>
    <mergeCell ref="C5:C8"/>
    <mergeCell ref="D5:D8"/>
    <mergeCell ref="E5:E8"/>
    <mergeCell ref="F5:H5"/>
    <mergeCell ref="F6:F8"/>
    <mergeCell ref="G6:G8"/>
  </mergeCells>
  <pageMargins left="1.1811023622047245" right="0.70866141732283472" top="0.74803149606299213" bottom="0.74803149606299213" header="0.31496062992125984" footer="0.31496062992125984"/>
  <pageSetup paperSize="9" scale="53" orientation="portrait" r:id="rId1"/>
  <rowBreaks count="1" manualBreakCount="1">
    <brk id="5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CC"/>
    <pageSetUpPr fitToPage="1"/>
  </sheetPr>
  <dimension ref="A2:N46"/>
  <sheetViews>
    <sheetView view="pageBreakPreview" zoomScale="80" zoomScaleSheetLayoutView="80" workbookViewId="0">
      <pane xSplit="1" ySplit="9" topLeftCell="B10"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5" x14ac:dyDescent="0.25"/>
  <cols>
    <col min="1" max="1" width="59.6640625" style="7" customWidth="1"/>
    <col min="2" max="2" width="11.6640625" style="7" customWidth="1"/>
    <col min="3" max="3" width="14.6640625" style="7" customWidth="1"/>
    <col min="4" max="4" width="14" style="7" customWidth="1"/>
    <col min="5" max="11" width="14.83203125" style="13" customWidth="1"/>
    <col min="12" max="12" width="12.5" style="7" customWidth="1"/>
    <col min="13" max="13" width="13.33203125" style="7" customWidth="1"/>
    <col min="14" max="14" width="14.33203125" style="7" customWidth="1"/>
    <col min="15" max="15" width="11.5" style="7" bestFit="1" customWidth="1"/>
    <col min="16" max="16384" width="9.33203125" style="7"/>
  </cols>
  <sheetData>
    <row r="2" spans="1:14" x14ac:dyDescent="0.25">
      <c r="A2" s="1406" t="s">
        <v>168</v>
      </c>
      <c r="B2" s="1406"/>
      <c r="C2" s="1406"/>
      <c r="D2" s="1406"/>
      <c r="E2" s="1406"/>
      <c r="F2" s="1406"/>
      <c r="G2" s="1406"/>
      <c r="H2" s="1406"/>
      <c r="I2" s="1406"/>
      <c r="J2" s="1406"/>
      <c r="K2" s="1406"/>
      <c r="L2" s="1406"/>
      <c r="M2" s="1406"/>
      <c r="N2" s="1406"/>
    </row>
    <row r="4" spans="1:14" x14ac:dyDescent="0.25">
      <c r="A4" s="1406" t="s">
        <v>169</v>
      </c>
      <c r="B4" s="1406"/>
      <c r="C4" s="1406"/>
      <c r="D4" s="1406"/>
      <c r="E4" s="1406"/>
      <c r="F4" s="1406"/>
      <c r="G4" s="1406"/>
      <c r="H4" s="1406"/>
      <c r="I4" s="1406"/>
      <c r="J4" s="1406"/>
      <c r="K4" s="1406"/>
      <c r="L4" s="1406"/>
      <c r="M4" s="1406"/>
      <c r="N4" s="1406"/>
    </row>
    <row r="5" spans="1:14" x14ac:dyDescent="0.25">
      <c r="A5" s="275"/>
      <c r="B5" s="275"/>
      <c r="C5" s="275"/>
      <c r="D5" s="275"/>
      <c r="E5" s="275"/>
      <c r="F5" s="275"/>
      <c r="G5" s="275"/>
      <c r="H5" s="275"/>
      <c r="I5" s="275"/>
      <c r="J5" s="275"/>
      <c r="K5" s="275"/>
      <c r="L5" s="275"/>
      <c r="M5" s="275"/>
      <c r="N5" s="275"/>
    </row>
    <row r="6" spans="1:14" x14ac:dyDescent="0.25">
      <c r="A6" s="275"/>
      <c r="B6" s="275"/>
      <c r="C6" s="275"/>
      <c r="D6" s="275"/>
      <c r="E6" s="275"/>
      <c r="F6" s="275"/>
      <c r="G6" s="275"/>
      <c r="H6" s="275"/>
      <c r="I6" s="275"/>
      <c r="J6" s="275"/>
      <c r="K6" s="275"/>
      <c r="L6" s="275"/>
      <c r="M6" s="275"/>
      <c r="N6" s="275"/>
    </row>
    <row r="7" spans="1:14" x14ac:dyDescent="0.25">
      <c r="A7" s="7" t="s">
        <v>170</v>
      </c>
    </row>
    <row r="8" spans="1:14" ht="42.75" customHeight="1" x14ac:dyDescent="0.25">
      <c r="A8" s="1407" t="s">
        <v>95</v>
      </c>
      <c r="B8" s="1408" t="s">
        <v>98</v>
      </c>
      <c r="C8" s="1410" t="s">
        <v>140</v>
      </c>
      <c r="D8" s="1411"/>
      <c r="E8" s="1412"/>
      <c r="F8" s="1410" t="s">
        <v>152</v>
      </c>
      <c r="G8" s="1411"/>
      <c r="H8" s="1412"/>
      <c r="I8" s="1410" t="s">
        <v>165</v>
      </c>
      <c r="J8" s="1411"/>
      <c r="K8" s="1412"/>
      <c r="L8" s="1416" t="s">
        <v>120</v>
      </c>
      <c r="M8" s="1416"/>
      <c r="N8" s="1416"/>
    </row>
    <row r="9" spans="1:14" ht="27.75" customHeight="1" x14ac:dyDescent="0.25">
      <c r="A9" s="1407"/>
      <c r="B9" s="1409"/>
      <c r="C9" s="14">
        <v>991</v>
      </c>
      <c r="D9" s="14">
        <v>992</v>
      </c>
      <c r="E9" s="15">
        <v>911</v>
      </c>
      <c r="F9" s="21">
        <v>991</v>
      </c>
      <c r="G9" s="21">
        <v>992</v>
      </c>
      <c r="H9" s="15">
        <v>911</v>
      </c>
      <c r="I9" s="21">
        <v>991</v>
      </c>
      <c r="J9" s="21">
        <v>992</v>
      </c>
      <c r="K9" s="15">
        <v>911</v>
      </c>
      <c r="L9" s="19">
        <v>991</v>
      </c>
      <c r="M9" s="289">
        <v>992</v>
      </c>
      <c r="N9" s="19">
        <v>911</v>
      </c>
    </row>
    <row r="10" spans="1:14" s="13" customFormat="1" ht="38.25" customHeight="1" x14ac:dyDescent="0.25">
      <c r="A10" s="273" t="s">
        <v>111</v>
      </c>
      <c r="B10" s="8">
        <f>'музей 2020'!C28</f>
        <v>64.5</v>
      </c>
      <c r="C10" s="10">
        <f>'музей 2020'!G34</f>
        <v>39360.400000000001</v>
      </c>
      <c r="D10" s="10">
        <f>'музей 2020'!H34</f>
        <v>11661.7</v>
      </c>
      <c r="E10" s="10">
        <v>897</v>
      </c>
      <c r="F10" s="10"/>
      <c r="G10" s="10"/>
      <c r="H10" s="10"/>
      <c r="I10" s="10">
        <f>'музей 2020'!I34</f>
        <v>39360.400000000001</v>
      </c>
      <c r="J10" s="10">
        <f>'музей 2020'!J34+7.1</f>
        <v>11661.7</v>
      </c>
      <c r="K10" s="10">
        <f>'музей 2020'!AH28</f>
        <v>1677</v>
      </c>
      <c r="L10" s="10">
        <f t="shared" ref="L10:N11" si="0">C10-I10</f>
        <v>0</v>
      </c>
      <c r="M10" s="290">
        <f t="shared" si="0"/>
        <v>0</v>
      </c>
      <c r="N10" s="10">
        <f t="shared" si="0"/>
        <v>-780</v>
      </c>
    </row>
    <row r="11" spans="1:14" s="13" customFormat="1" x14ac:dyDescent="0.25">
      <c r="A11" s="273" t="s">
        <v>112</v>
      </c>
      <c r="B11" s="8">
        <f>'Родина 2020'!C21</f>
        <v>15.5</v>
      </c>
      <c r="C11" s="10">
        <f>'Родина 2020'!G28</f>
        <v>8874.7000000000007</v>
      </c>
      <c r="D11" s="10">
        <f>'Родина 2020'!H28</f>
        <v>2640.7</v>
      </c>
      <c r="E11" s="10">
        <v>546</v>
      </c>
      <c r="F11" s="10"/>
      <c r="G11" s="10"/>
      <c r="H11" s="10"/>
      <c r="I11" s="10">
        <f>'Родина 2020'!I28</f>
        <v>8874.7000000000007</v>
      </c>
      <c r="J11" s="10">
        <f>'Родина 2020'!J28+4.9</f>
        <v>2640.7</v>
      </c>
      <c r="K11" s="10">
        <f>'Родина 2020'!AH21</f>
        <v>253.5</v>
      </c>
      <c r="L11" s="10">
        <f t="shared" si="0"/>
        <v>0</v>
      </c>
      <c r="M11" s="290">
        <f t="shared" si="0"/>
        <v>0</v>
      </c>
      <c r="N11" s="10">
        <f t="shared" si="0"/>
        <v>292.5</v>
      </c>
    </row>
    <row r="12" spans="1:14" s="13" customFormat="1" x14ac:dyDescent="0.25">
      <c r="A12" s="273" t="s">
        <v>133</v>
      </c>
      <c r="B12" s="9" t="e">
        <f>#REF!</f>
        <v>#REF!</v>
      </c>
      <c r="C12" s="10" t="e">
        <f>#REF!</f>
        <v>#REF!</v>
      </c>
      <c r="D12" s="10" t="e">
        <f>#REF!</f>
        <v>#REF!</v>
      </c>
      <c r="E12" s="10">
        <v>3224</v>
      </c>
      <c r="F12" s="10" t="e">
        <f>#REF!</f>
        <v>#REF!</v>
      </c>
      <c r="G12" s="10" t="e">
        <f>#REF!</f>
        <v>#REF!</v>
      </c>
      <c r="H12" s="10"/>
      <c r="I12" s="10" t="e">
        <f>#REF!</f>
        <v>#REF!</v>
      </c>
      <c r="J12" s="10" t="e">
        <f>#REF!+39.9</f>
        <v>#REF!</v>
      </c>
      <c r="K12" s="10" t="e">
        <f>#REF!</f>
        <v>#REF!</v>
      </c>
      <c r="L12" s="10" t="e">
        <f t="shared" ref="L12:M14" si="1">C12-I12-F12</f>
        <v>#REF!</v>
      </c>
      <c r="M12" s="290" t="e">
        <f t="shared" si="1"/>
        <v>#REF!</v>
      </c>
      <c r="N12" s="10" t="e">
        <f>E12-K12-H12</f>
        <v>#REF!</v>
      </c>
    </row>
    <row r="13" spans="1:14" s="13" customFormat="1" x14ac:dyDescent="0.25">
      <c r="A13" s="273" t="s">
        <v>113</v>
      </c>
      <c r="B13" s="9">
        <f>'ГЦК+Энергия 2020'!C52</f>
        <v>59.75</v>
      </c>
      <c r="C13" s="10">
        <f>'ГЦК+Энергия 2020'!G57</f>
        <v>46179.199999999997</v>
      </c>
      <c r="D13" s="10">
        <f>'ГЦК+Энергия 2020'!H57</f>
        <v>13446.9</v>
      </c>
      <c r="E13" s="10">
        <v>1351.3</v>
      </c>
      <c r="F13" s="10">
        <f>'ГЦК+Энергия 2020'!I57</f>
        <v>678.3</v>
      </c>
      <c r="G13" s="10">
        <f>'ГЦК+Энергия 2020'!J57</f>
        <v>204.8</v>
      </c>
      <c r="H13" s="10"/>
      <c r="I13" s="10">
        <f>'ГЦК+Энергия 2020'!K57</f>
        <v>45500.9</v>
      </c>
      <c r="J13" s="10">
        <f>'ГЦК+Энергия 2020'!L57-106.6</f>
        <v>13242.1</v>
      </c>
      <c r="K13" s="10">
        <f>'ГЦК+Энергия 2020'!AH52</f>
        <v>1924</v>
      </c>
      <c r="L13" s="10">
        <f t="shared" si="1"/>
        <v>0</v>
      </c>
      <c r="M13" s="290">
        <f t="shared" si="1"/>
        <v>0</v>
      </c>
      <c r="N13" s="10">
        <f>E13-K13-H13</f>
        <v>-572.70000000000005</v>
      </c>
    </row>
    <row r="14" spans="1:14" s="13" customFormat="1" ht="19.5" customHeight="1" x14ac:dyDescent="0.25">
      <c r="A14" s="273" t="s">
        <v>114</v>
      </c>
      <c r="B14" s="9">
        <f>'Юбилейный 2020'!C25</f>
        <v>19</v>
      </c>
      <c r="C14" s="10">
        <f>'Юбилейный 2020'!G31</f>
        <v>14722.5</v>
      </c>
      <c r="D14" s="10">
        <f>'Юбилейный 2020'!H31</f>
        <v>4245.1000000000004</v>
      </c>
      <c r="E14" s="10">
        <v>429</v>
      </c>
      <c r="F14" s="10"/>
      <c r="G14" s="10"/>
      <c r="H14" s="10"/>
      <c r="I14" s="10">
        <f>'Юбилейный 2020'!I31</f>
        <v>14722.5</v>
      </c>
      <c r="J14" s="10">
        <f>'Юбилейный 2020'!J31-60.5</f>
        <v>4245.1000000000004</v>
      </c>
      <c r="K14" s="10">
        <f>'Юбилейный 2020'!AH25</f>
        <v>370.5</v>
      </c>
      <c r="L14" s="10">
        <f t="shared" si="1"/>
        <v>0</v>
      </c>
      <c r="M14" s="290">
        <f t="shared" si="1"/>
        <v>0</v>
      </c>
      <c r="N14" s="10">
        <f>E14-K14-H14</f>
        <v>58.5</v>
      </c>
    </row>
    <row r="15" spans="1:14" s="13" customFormat="1" ht="32.25" customHeight="1" x14ac:dyDescent="0.25">
      <c r="A15" s="273" t="s">
        <v>115</v>
      </c>
      <c r="B15" s="9">
        <f>'Высоцкий 2020'!C28</f>
        <v>25</v>
      </c>
      <c r="C15" s="10">
        <f>'Высоцкий 2020'!G33</f>
        <v>18394</v>
      </c>
      <c r="D15" s="10">
        <f>'Высоцкий 2020'!H33</f>
        <v>5393.9</v>
      </c>
      <c r="E15" s="10">
        <v>799.5</v>
      </c>
      <c r="F15" s="10"/>
      <c r="G15" s="10"/>
      <c r="H15" s="10"/>
      <c r="I15" s="10">
        <f>'Высоцкий 2020'!I33</f>
        <v>18394</v>
      </c>
      <c r="J15" s="10">
        <f>'Высоцкий 2020'!J33-6.9</f>
        <v>5393.9</v>
      </c>
      <c r="K15" s="10">
        <f>'Высоцкий 2020'!AH28</f>
        <v>448.5</v>
      </c>
      <c r="L15" s="10">
        <f>C15-I15</f>
        <v>0</v>
      </c>
      <c r="M15" s="290">
        <f>D15-J15</f>
        <v>0</v>
      </c>
      <c r="N15" s="10">
        <f>E15-K15</f>
        <v>351</v>
      </c>
    </row>
    <row r="16" spans="1:14" x14ac:dyDescent="0.25">
      <c r="A16" s="16" t="s">
        <v>99</v>
      </c>
      <c r="B16" s="17" t="e">
        <f>SUM(B10:B15)</f>
        <v>#REF!</v>
      </c>
      <c r="C16" s="18" t="e">
        <f t="shared" ref="C16:N16" si="2">SUM(C10:C15)</f>
        <v>#REF!</v>
      </c>
      <c r="D16" s="18" t="e">
        <f t="shared" si="2"/>
        <v>#REF!</v>
      </c>
      <c r="E16" s="18">
        <f t="shared" si="2"/>
        <v>7246.8</v>
      </c>
      <c r="F16" s="18" t="e">
        <f t="shared" si="2"/>
        <v>#REF!</v>
      </c>
      <c r="G16" s="18" t="e">
        <f t="shared" si="2"/>
        <v>#REF!</v>
      </c>
      <c r="H16" s="18">
        <f t="shared" si="2"/>
        <v>0</v>
      </c>
      <c r="I16" s="18" t="e">
        <f t="shared" si="2"/>
        <v>#REF!</v>
      </c>
      <c r="J16" s="18" t="e">
        <f t="shared" si="2"/>
        <v>#REF!</v>
      </c>
      <c r="K16" s="18" t="e">
        <f t="shared" si="2"/>
        <v>#REF!</v>
      </c>
      <c r="L16" s="18" t="e">
        <f t="shared" si="2"/>
        <v>#REF!</v>
      </c>
      <c r="M16" s="18" t="e">
        <f t="shared" si="2"/>
        <v>#REF!</v>
      </c>
      <c r="N16" s="18" t="e">
        <f t="shared" si="2"/>
        <v>#REF!</v>
      </c>
    </row>
    <row r="17" spans="1:14" x14ac:dyDescent="0.25">
      <c r="C17" s="11"/>
      <c r="D17" s="11"/>
      <c r="E17" s="12"/>
      <c r="F17" s="12"/>
      <c r="G17" s="12"/>
      <c r="H17" s="12"/>
      <c r="I17" s="12"/>
      <c r="J17" s="12"/>
      <c r="K17" s="12"/>
    </row>
    <row r="18" spans="1:14" x14ac:dyDescent="0.25">
      <c r="L18" s="1406" t="s">
        <v>171</v>
      </c>
      <c r="M18" s="1406"/>
      <c r="N18" s="1406"/>
    </row>
    <row r="19" spans="1:14" s="20" customFormat="1" ht="20.25" x14ac:dyDescent="0.3">
      <c r="A19" s="1" t="s">
        <v>138</v>
      </c>
      <c r="C19" s="2"/>
      <c r="D19" s="6" t="s">
        <v>166</v>
      </c>
      <c r="E19" s="3"/>
      <c r="F19" s="4"/>
      <c r="G19" s="4"/>
      <c r="H19" s="5"/>
      <c r="I19" s="5"/>
      <c r="J19" s="4"/>
    </row>
    <row r="21" spans="1:14" x14ac:dyDescent="0.25">
      <c r="A21" s="7" t="s">
        <v>151</v>
      </c>
    </row>
    <row r="22" spans="1:14" s="11" customFormat="1" x14ac:dyDescent="0.25">
      <c r="D22" s="11" t="e">
        <f>D16-G16</f>
        <v>#REF!</v>
      </c>
      <c r="E22" s="12"/>
      <c r="F22" s="12"/>
      <c r="G22" s="12"/>
      <c r="H22" s="12"/>
      <c r="I22" s="12"/>
      <c r="J22" s="12"/>
      <c r="K22" s="12"/>
    </row>
    <row r="23" spans="1:14" s="11" customFormat="1" x14ac:dyDescent="0.25">
      <c r="E23" s="12"/>
      <c r="F23" s="12"/>
      <c r="G23" s="12"/>
      <c r="H23" s="12"/>
      <c r="I23" s="12"/>
      <c r="J23" s="12"/>
      <c r="K23" s="12"/>
    </row>
    <row r="24" spans="1:14" s="11" customFormat="1" x14ac:dyDescent="0.25">
      <c r="E24" s="12"/>
      <c r="F24" s="12"/>
      <c r="G24" s="12"/>
      <c r="H24" s="12"/>
      <c r="I24" s="12"/>
      <c r="J24" s="12"/>
      <c r="K24" s="12"/>
    </row>
    <row r="25" spans="1:14" s="11" customFormat="1" x14ac:dyDescent="0.25">
      <c r="E25" s="12"/>
      <c r="F25" s="12"/>
      <c r="G25" s="12"/>
      <c r="H25" s="12"/>
      <c r="I25" s="12"/>
      <c r="J25" s="12"/>
      <c r="K25" s="12"/>
    </row>
    <row r="26" spans="1:14" s="11" customFormat="1" x14ac:dyDescent="0.25">
      <c r="E26" s="12"/>
      <c r="F26" s="12"/>
      <c r="G26" s="12"/>
      <c r="H26" s="12"/>
      <c r="I26" s="12"/>
      <c r="J26" s="12"/>
      <c r="K26" s="12"/>
    </row>
    <row r="27" spans="1:14" s="11" customFormat="1" x14ac:dyDescent="0.25">
      <c r="E27" s="12"/>
      <c r="F27" s="12"/>
      <c r="G27" s="12"/>
      <c r="H27" s="12"/>
      <c r="I27" s="12"/>
      <c r="J27" s="12"/>
      <c r="K27" s="12"/>
    </row>
    <row r="28" spans="1:14" s="11" customFormat="1" x14ac:dyDescent="0.25">
      <c r="E28" s="12"/>
      <c r="F28" s="12"/>
      <c r="G28" s="12"/>
      <c r="H28" s="12"/>
      <c r="I28" s="12"/>
      <c r="J28" s="12"/>
      <c r="K28" s="12"/>
    </row>
    <row r="29" spans="1:14" s="11" customFormat="1" x14ac:dyDescent="0.25">
      <c r="E29" s="12"/>
      <c r="F29" s="12"/>
      <c r="G29" s="12"/>
      <c r="H29" s="12"/>
      <c r="I29" s="12"/>
      <c r="J29" s="12"/>
      <c r="K29" s="12"/>
    </row>
    <row r="30" spans="1:14" s="11" customFormat="1" x14ac:dyDescent="0.25">
      <c r="E30" s="12"/>
      <c r="F30" s="12"/>
      <c r="G30" s="12"/>
      <c r="H30" s="12"/>
      <c r="I30" s="12"/>
      <c r="J30" s="12"/>
      <c r="K30" s="12"/>
    </row>
    <row r="31" spans="1:14" s="11" customFormat="1" x14ac:dyDescent="0.25">
      <c r="E31" s="12"/>
      <c r="F31" s="12"/>
      <c r="G31" s="12"/>
      <c r="H31" s="12"/>
      <c r="I31" s="12"/>
      <c r="J31" s="12"/>
      <c r="K31" s="12"/>
    </row>
    <row r="32" spans="1:14" s="11" customFormat="1" x14ac:dyDescent="0.25">
      <c r="E32" s="12"/>
      <c r="F32" s="12"/>
      <c r="G32" s="12"/>
      <c r="H32" s="12"/>
      <c r="I32" s="12"/>
      <c r="J32" s="12"/>
      <c r="K32" s="12"/>
    </row>
    <row r="33" spans="5:11" s="11" customFormat="1" x14ac:dyDescent="0.25">
      <c r="E33" s="12"/>
      <c r="F33" s="12"/>
      <c r="G33" s="12"/>
      <c r="H33" s="12"/>
      <c r="I33" s="12"/>
      <c r="J33" s="12"/>
      <c r="K33" s="12"/>
    </row>
    <row r="34" spans="5:11" s="11" customFormat="1" x14ac:dyDescent="0.25">
      <c r="E34" s="12"/>
      <c r="F34" s="12"/>
      <c r="G34" s="12"/>
      <c r="H34" s="12"/>
      <c r="I34" s="12"/>
      <c r="J34" s="12"/>
      <c r="K34" s="12"/>
    </row>
    <row r="35" spans="5:11" s="11" customFormat="1" x14ac:dyDescent="0.25">
      <c r="E35" s="12"/>
      <c r="F35" s="12"/>
      <c r="G35" s="12"/>
      <c r="H35" s="12"/>
      <c r="I35" s="12"/>
      <c r="J35" s="12"/>
      <c r="K35" s="12"/>
    </row>
    <row r="36" spans="5:11" s="11" customFormat="1" x14ac:dyDescent="0.25">
      <c r="E36" s="12"/>
      <c r="F36" s="12"/>
      <c r="G36" s="12"/>
      <c r="H36" s="12"/>
      <c r="I36" s="12"/>
      <c r="J36" s="12"/>
      <c r="K36" s="12"/>
    </row>
    <row r="37" spans="5:11" s="11" customFormat="1" x14ac:dyDescent="0.25">
      <c r="E37" s="12"/>
      <c r="F37" s="12"/>
      <c r="G37" s="12"/>
      <c r="H37" s="12"/>
      <c r="I37" s="12"/>
      <c r="J37" s="12"/>
      <c r="K37" s="12"/>
    </row>
    <row r="38" spans="5:11" s="11" customFormat="1" x14ac:dyDescent="0.25">
      <c r="E38" s="12"/>
      <c r="F38" s="12"/>
      <c r="G38" s="12"/>
      <c r="H38" s="12"/>
      <c r="I38" s="12"/>
      <c r="J38" s="12"/>
      <c r="K38" s="12"/>
    </row>
    <row r="39" spans="5:11" s="11" customFormat="1" x14ac:dyDescent="0.25">
      <c r="E39" s="12"/>
      <c r="F39" s="12"/>
      <c r="G39" s="12"/>
      <c r="H39" s="12"/>
      <c r="I39" s="12"/>
      <c r="J39" s="12"/>
      <c r="K39" s="12"/>
    </row>
    <row r="40" spans="5:11" s="11" customFormat="1" x14ac:dyDescent="0.25">
      <c r="E40" s="12"/>
      <c r="F40" s="12"/>
      <c r="G40" s="12"/>
      <c r="H40" s="12"/>
      <c r="I40" s="12"/>
      <c r="J40" s="12"/>
      <c r="K40" s="12"/>
    </row>
    <row r="41" spans="5:11" s="11" customFormat="1" x14ac:dyDescent="0.25">
      <c r="E41" s="12"/>
      <c r="F41" s="12"/>
      <c r="G41" s="12"/>
      <c r="H41" s="12"/>
      <c r="I41" s="12"/>
      <c r="J41" s="12"/>
      <c r="K41" s="12"/>
    </row>
    <row r="42" spans="5:11" s="11" customFormat="1" x14ac:dyDescent="0.25">
      <c r="E42" s="12"/>
      <c r="F42" s="12"/>
      <c r="G42" s="12"/>
      <c r="H42" s="12"/>
      <c r="I42" s="12"/>
      <c r="J42" s="12"/>
      <c r="K42" s="12"/>
    </row>
    <row r="43" spans="5:11" s="11" customFormat="1" x14ac:dyDescent="0.25">
      <c r="E43" s="12"/>
      <c r="F43" s="12"/>
      <c r="G43" s="12"/>
      <c r="H43" s="12"/>
      <c r="I43" s="12"/>
      <c r="J43" s="12"/>
      <c r="K43" s="12"/>
    </row>
    <row r="44" spans="5:11" s="11" customFormat="1" x14ac:dyDescent="0.25">
      <c r="E44" s="12"/>
      <c r="F44" s="12"/>
      <c r="G44" s="12"/>
      <c r="H44" s="12"/>
      <c r="I44" s="12"/>
      <c r="J44" s="12"/>
      <c r="K44" s="12"/>
    </row>
    <row r="45" spans="5:11" s="11" customFormat="1" x14ac:dyDescent="0.25">
      <c r="E45" s="12"/>
      <c r="F45" s="12"/>
      <c r="G45" s="12"/>
      <c r="H45" s="12"/>
      <c r="I45" s="12"/>
      <c r="J45" s="12"/>
      <c r="K45" s="12"/>
    </row>
    <row r="46" spans="5:11" s="11" customFormat="1" x14ac:dyDescent="0.25">
      <c r="E46" s="12"/>
      <c r="F46" s="12"/>
      <c r="G46" s="12"/>
      <c r="H46" s="12"/>
      <c r="I46" s="12"/>
      <c r="J46" s="12"/>
      <c r="K46" s="12"/>
    </row>
  </sheetData>
  <mergeCells count="9">
    <mergeCell ref="L18:N18"/>
    <mergeCell ref="A2:N2"/>
    <mergeCell ref="A4:N4"/>
    <mergeCell ref="L8:N8"/>
    <mergeCell ref="A8:A9"/>
    <mergeCell ref="B8:B9"/>
    <mergeCell ref="C8:E8"/>
    <mergeCell ref="F8:H8"/>
    <mergeCell ref="I8:K8"/>
  </mergeCells>
  <pageMargins left="0.19685039370078741" right="0.19685039370078741" top="0.74803149606299213" bottom="0.74803149606299213" header="0.31496062992125984" footer="0.31496062992125984"/>
  <pageSetup paperSize="9" scale="66"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AS105"/>
  <sheetViews>
    <sheetView view="pageBreakPreview" zoomScale="80" zoomScaleNormal="80" zoomScaleSheetLayoutView="80" workbookViewId="0">
      <pane xSplit="3" ySplit="8" topLeftCell="P45"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5" x14ac:dyDescent="0.2"/>
  <cols>
    <col min="1" max="1" width="7.83203125" style="33" customWidth="1"/>
    <col min="2" max="2" width="30.83203125" style="22" customWidth="1"/>
    <col min="3" max="3" width="13.83203125" style="22" customWidth="1"/>
    <col min="4" max="4" width="14" style="22" customWidth="1"/>
    <col min="5" max="5" width="13" style="22" customWidth="1"/>
    <col min="6" max="6" width="14.6640625" style="22" customWidth="1"/>
    <col min="7" max="7" width="12.83203125" style="22" customWidth="1"/>
    <col min="8" max="8" width="15.83203125" style="22" customWidth="1"/>
    <col min="9" max="9" width="13.5" style="22" customWidth="1"/>
    <col min="10" max="10" width="16.83203125" style="22" customWidth="1"/>
    <col min="11" max="11" width="13.5" style="22" customWidth="1"/>
    <col min="12" max="12" width="13.33203125" style="22" customWidth="1"/>
    <col min="13" max="13" width="14" style="22" customWidth="1"/>
    <col min="14" max="14" width="11.5" style="22" customWidth="1"/>
    <col min="15" max="15" width="11.6640625" style="22" customWidth="1"/>
    <col min="16" max="16" width="13.33203125" style="22" customWidth="1"/>
    <col min="17" max="17" width="11.5" style="22" customWidth="1"/>
    <col min="18" max="18" width="13" style="22" customWidth="1"/>
    <col min="19" max="19" width="15.5" style="22" customWidth="1"/>
    <col min="20" max="20" width="12.33203125" style="22" customWidth="1"/>
    <col min="21" max="21" width="11.6640625" style="22" customWidth="1"/>
    <col min="22" max="22" width="14.5" style="22" customWidth="1"/>
    <col min="23" max="23" width="16" style="22" customWidth="1"/>
    <col min="24" max="24" width="14.1640625" style="22" customWidth="1"/>
    <col min="25" max="25" width="11.1640625" style="22" customWidth="1"/>
    <col min="26" max="26" width="9.83203125" style="22" customWidth="1"/>
    <col min="27" max="30" width="8.5" style="22" customWidth="1"/>
    <col min="31" max="31" width="15.1640625" style="22" bestFit="1" customWidth="1"/>
    <col min="32" max="32" width="9.6640625" style="22" customWidth="1"/>
    <col min="33" max="33" width="9.33203125" style="22" customWidth="1"/>
    <col min="34" max="34" width="13.5" style="22" customWidth="1"/>
    <col min="35" max="35" width="14.5" style="34" customWidth="1"/>
    <col min="36" max="36" width="9.33203125" style="22"/>
    <col min="37" max="37" width="12.6640625" style="211" customWidth="1"/>
    <col min="38" max="38" width="11.6640625" style="211" hidden="1" customWidth="1"/>
    <col min="39" max="39" width="13" style="211" hidden="1" customWidth="1"/>
    <col min="40" max="40" width="14.1640625" style="211" bestFit="1" customWidth="1"/>
    <col min="41" max="41" width="9.5" style="211" bestFit="1" customWidth="1"/>
    <col min="42" max="43" width="14.1640625" style="211" bestFit="1" customWidth="1"/>
    <col min="44" max="45" width="9.5" style="22" bestFit="1" customWidth="1"/>
    <col min="46" max="16384" width="9.33203125" style="22"/>
  </cols>
  <sheetData>
    <row r="1" spans="1:45" ht="18" customHeight="1" x14ac:dyDescent="0.2">
      <c r="AE1" s="1427"/>
      <c r="AF1" s="1427"/>
      <c r="AG1" s="1427"/>
      <c r="AH1" s="1427"/>
    </row>
    <row r="2" spans="1:45" ht="24" customHeight="1" x14ac:dyDescent="0.2">
      <c r="A2" s="1428" t="s">
        <v>146</v>
      </c>
      <c r="B2" s="1428"/>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8"/>
      <c r="AA2" s="1428"/>
      <c r="AB2" s="1428"/>
      <c r="AC2" s="1428"/>
      <c r="AD2" s="1428"/>
      <c r="AE2" s="1428"/>
      <c r="AF2" s="1428"/>
      <c r="AG2" s="1428"/>
      <c r="AH2" s="1428"/>
      <c r="AI2" s="36"/>
    </row>
    <row r="3" spans="1:45" ht="24.75" customHeight="1" x14ac:dyDescent="0.2">
      <c r="A3" s="1429"/>
      <c r="B3" s="1429"/>
      <c r="C3" s="1429"/>
      <c r="D3" s="1429"/>
      <c r="E3" s="1429"/>
      <c r="F3" s="1429"/>
      <c r="G3" s="1429"/>
      <c r="H3" s="1429"/>
      <c r="I3" s="1429"/>
      <c r="J3" s="1429"/>
      <c r="K3" s="1429"/>
      <c r="L3" s="1429"/>
      <c r="M3" s="1429"/>
      <c r="N3" s="1429"/>
      <c r="O3" s="1429"/>
      <c r="P3" s="1429"/>
      <c r="Q3" s="1429"/>
      <c r="R3" s="1429"/>
      <c r="S3" s="1429"/>
      <c r="T3" s="1429"/>
      <c r="U3" s="1429"/>
      <c r="V3" s="1429"/>
      <c r="W3" s="1429"/>
      <c r="X3" s="1429"/>
      <c r="Y3" s="1429"/>
      <c r="Z3" s="1429"/>
      <c r="AA3" s="1429"/>
      <c r="AB3" s="1429"/>
      <c r="AC3" s="1429"/>
      <c r="AD3" s="1429"/>
      <c r="AE3" s="1429"/>
      <c r="AF3" s="1429"/>
      <c r="AG3" s="1429"/>
      <c r="AH3" s="1429"/>
      <c r="AI3" s="37"/>
    </row>
    <row r="4" spans="1:45" x14ac:dyDescent="0.2">
      <c r="L4" s="38">
        <v>0.33837499999999998</v>
      </c>
      <c r="V4" s="39"/>
      <c r="W4" s="39"/>
    </row>
    <row r="5" spans="1:45" ht="38.25" customHeight="1" x14ac:dyDescent="0.2">
      <c r="A5" s="1430" t="s">
        <v>78</v>
      </c>
      <c r="B5" s="1430" t="s">
        <v>77</v>
      </c>
      <c r="C5" s="1431" t="s">
        <v>0</v>
      </c>
      <c r="D5" s="1431" t="s">
        <v>3</v>
      </c>
      <c r="E5" s="1431"/>
      <c r="F5" s="1431"/>
      <c r="G5" s="1431"/>
      <c r="H5" s="1431"/>
      <c r="I5" s="1431"/>
      <c r="J5" s="1431"/>
      <c r="K5" s="1431"/>
      <c r="L5" s="1431"/>
      <c r="M5" s="1431"/>
      <c r="N5" s="1431"/>
      <c r="O5" s="1431"/>
      <c r="P5" s="1431"/>
      <c r="Q5" s="1431"/>
      <c r="R5" s="1431"/>
      <c r="S5" s="1431"/>
      <c r="T5" s="1431"/>
      <c r="U5" s="1431"/>
      <c r="V5" s="1431"/>
      <c r="W5" s="1431"/>
      <c r="X5" s="1431" t="s">
        <v>4</v>
      </c>
      <c r="Y5" s="1431"/>
      <c r="Z5" s="1431"/>
      <c r="AA5" s="1431"/>
      <c r="AB5" s="1431"/>
      <c r="AC5" s="1431"/>
      <c r="AD5" s="1431"/>
      <c r="AE5" s="1431"/>
      <c r="AF5" s="1431"/>
      <c r="AG5" s="1431"/>
      <c r="AH5" s="1431"/>
    </row>
    <row r="6" spans="1:45" ht="60" customHeight="1" x14ac:dyDescent="0.2">
      <c r="A6" s="1430"/>
      <c r="B6" s="1430"/>
      <c r="C6" s="1431"/>
      <c r="D6" s="1423" t="s">
        <v>68</v>
      </c>
      <c r="E6" s="1423" t="s">
        <v>69</v>
      </c>
      <c r="F6" s="1423" t="s">
        <v>89</v>
      </c>
      <c r="G6" s="1423" t="s">
        <v>1</v>
      </c>
      <c r="H6" s="1423" t="s">
        <v>2</v>
      </c>
      <c r="I6" s="1423" t="s">
        <v>70</v>
      </c>
      <c r="J6" s="1423" t="s">
        <v>61</v>
      </c>
      <c r="K6" s="1423" t="s">
        <v>27</v>
      </c>
      <c r="L6" s="1426" t="s">
        <v>65</v>
      </c>
      <c r="M6" s="1426" t="s">
        <v>93</v>
      </c>
      <c r="N6" s="1432" t="s">
        <v>91</v>
      </c>
      <c r="O6" s="1432"/>
      <c r="P6" s="1432" t="s">
        <v>88</v>
      </c>
      <c r="Q6" s="1426" t="s">
        <v>82</v>
      </c>
      <c r="R6" s="1423" t="s">
        <v>83</v>
      </c>
      <c r="S6" s="1426" t="s">
        <v>87</v>
      </c>
      <c r="T6" s="1423" t="s">
        <v>84</v>
      </c>
      <c r="U6" s="1423" t="s">
        <v>9</v>
      </c>
      <c r="V6" s="1423" t="s">
        <v>7</v>
      </c>
      <c r="W6" s="1423" t="s">
        <v>85</v>
      </c>
      <c r="X6" s="1431" t="s">
        <v>10</v>
      </c>
      <c r="Y6" s="1431"/>
      <c r="Z6" s="1431"/>
      <c r="AA6" s="1431" t="s">
        <v>11</v>
      </c>
      <c r="AB6" s="1431"/>
      <c r="AC6" s="1431"/>
      <c r="AD6" s="1431" t="s">
        <v>12</v>
      </c>
      <c r="AE6" s="1431"/>
      <c r="AF6" s="1431"/>
      <c r="AG6" s="1431" t="s">
        <v>13</v>
      </c>
      <c r="AH6" s="1431" t="s">
        <v>73</v>
      </c>
    </row>
    <row r="7" spans="1:45" ht="97.5" customHeight="1" x14ac:dyDescent="0.2">
      <c r="A7" s="1430"/>
      <c r="B7" s="1430"/>
      <c r="C7" s="1431"/>
      <c r="D7" s="1423"/>
      <c r="E7" s="1423"/>
      <c r="F7" s="1423"/>
      <c r="G7" s="1423"/>
      <c r="H7" s="1423"/>
      <c r="I7" s="1423"/>
      <c r="J7" s="1423"/>
      <c r="K7" s="1423"/>
      <c r="L7" s="1426" t="s">
        <v>66</v>
      </c>
      <c r="M7" s="1426"/>
      <c r="N7" s="41" t="s">
        <v>80</v>
      </c>
      <c r="O7" s="41" t="s">
        <v>81</v>
      </c>
      <c r="P7" s="1432"/>
      <c r="Q7" s="1426"/>
      <c r="R7" s="1423"/>
      <c r="S7" s="1426" t="s">
        <v>67</v>
      </c>
      <c r="T7" s="1423"/>
      <c r="U7" s="1423"/>
      <c r="V7" s="1423"/>
      <c r="W7" s="1423"/>
      <c r="X7" s="42" t="s">
        <v>5</v>
      </c>
      <c r="Y7" s="42" t="s">
        <v>6</v>
      </c>
      <c r="Z7" s="42" t="s">
        <v>74</v>
      </c>
      <c r="AA7" s="42" t="s">
        <v>5</v>
      </c>
      <c r="AB7" s="42" t="s">
        <v>6</v>
      </c>
      <c r="AC7" s="42" t="s">
        <v>75</v>
      </c>
      <c r="AD7" s="42" t="s">
        <v>5</v>
      </c>
      <c r="AE7" s="42" t="s">
        <v>6</v>
      </c>
      <c r="AF7" s="42" t="s">
        <v>76</v>
      </c>
      <c r="AG7" s="1431"/>
      <c r="AH7" s="1431"/>
      <c r="AK7" s="211" t="s">
        <v>64</v>
      </c>
      <c r="AL7" s="211" t="s">
        <v>62</v>
      </c>
      <c r="AM7" s="70" t="s">
        <v>71</v>
      </c>
    </row>
    <row r="8" spans="1:45" x14ac:dyDescent="0.2">
      <c r="A8" s="23">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c r="V8" s="23">
        <v>22</v>
      </c>
      <c r="W8" s="277">
        <v>23</v>
      </c>
      <c r="X8" s="23">
        <v>24</v>
      </c>
      <c r="Y8" s="23">
        <v>25</v>
      </c>
      <c r="Z8" s="23">
        <v>26</v>
      </c>
      <c r="AA8" s="23">
        <v>27</v>
      </c>
      <c r="AB8" s="23">
        <v>28</v>
      </c>
      <c r="AC8" s="23">
        <v>29</v>
      </c>
      <c r="AD8" s="23">
        <v>30</v>
      </c>
      <c r="AE8" s="23">
        <v>31</v>
      </c>
      <c r="AF8" s="23">
        <v>32</v>
      </c>
      <c r="AG8" s="23">
        <v>33</v>
      </c>
      <c r="AH8" s="23">
        <v>34</v>
      </c>
      <c r="AN8" s="212" t="s">
        <v>116</v>
      </c>
      <c r="AO8" s="212" t="s">
        <v>117</v>
      </c>
      <c r="AP8" s="212" t="s">
        <v>118</v>
      </c>
      <c r="AQ8" s="212" t="s">
        <v>119</v>
      </c>
    </row>
    <row r="9" spans="1:45" ht="16.5" customHeight="1" x14ac:dyDescent="0.2">
      <c r="A9" s="276">
        <v>1</v>
      </c>
      <c r="B9" s="44" t="s">
        <v>14</v>
      </c>
      <c r="C9" s="276">
        <v>1</v>
      </c>
      <c r="D9" s="213">
        <v>25.596</v>
      </c>
      <c r="E9" s="214">
        <f>C9*D9</f>
        <v>25.6</v>
      </c>
      <c r="F9" s="215">
        <f>E9*12</f>
        <v>307.2</v>
      </c>
      <c r="G9" s="154"/>
      <c r="H9" s="154"/>
      <c r="I9" s="154"/>
      <c r="J9" s="154"/>
      <c r="K9" s="154">
        <f>F9*0.4</f>
        <v>122.9</v>
      </c>
      <c r="L9" s="154">
        <f>F9*$L$4</f>
        <v>103.9</v>
      </c>
      <c r="M9" s="154">
        <f>F9+G9+H9+I9+J9+K9+L9</f>
        <v>534</v>
      </c>
      <c r="N9" s="171">
        <v>0.98</v>
      </c>
      <c r="O9" s="154">
        <f>M9*N9</f>
        <v>523.29999999999995</v>
      </c>
      <c r="P9" s="154">
        <f>M9+O9</f>
        <v>1057.3</v>
      </c>
      <c r="Q9" s="154">
        <f>P9*0.8</f>
        <v>845.8</v>
      </c>
      <c r="R9" s="154">
        <f>P9*0.8</f>
        <v>845.8</v>
      </c>
      <c r="S9" s="154">
        <f>(P9+Q9+R9)*0.032</f>
        <v>88</v>
      </c>
      <c r="T9" s="154">
        <f>P9+Q9+R9+S9</f>
        <v>2836.9</v>
      </c>
      <c r="U9" s="1424">
        <v>1</v>
      </c>
      <c r="V9" s="154">
        <f>T9*$U$9</f>
        <v>2836.9</v>
      </c>
      <c r="W9" s="154">
        <f>AQ9</f>
        <v>597.20000000000005</v>
      </c>
      <c r="X9" s="276">
        <v>1</v>
      </c>
      <c r="Y9" s="24">
        <v>30</v>
      </c>
      <c r="Z9" s="48">
        <f>X9*Y9</f>
        <v>30</v>
      </c>
      <c r="AA9" s="276"/>
      <c r="AB9" s="24">
        <v>15</v>
      </c>
      <c r="AC9" s="48">
        <f>AA9*AB9</f>
        <v>0</v>
      </c>
      <c r="AD9" s="276"/>
      <c r="AE9" s="24">
        <v>30</v>
      </c>
      <c r="AF9" s="48">
        <f>AD9*AE9</f>
        <v>0</v>
      </c>
      <c r="AG9" s="276">
        <f t="shared" ref="AG9:AG51" si="0">(Z9+AC9+AF9)*1%*30</f>
        <v>9</v>
      </c>
      <c r="AH9" s="48">
        <f t="shared" ref="AH9:AH27" si="1">Z9+AC9+AF9+AG9</f>
        <v>39</v>
      </c>
      <c r="AI9" s="34">
        <f t="shared" ref="AI9:AI36" si="2">V9/12/C9*1000</f>
        <v>236408.3</v>
      </c>
      <c r="AJ9" s="34"/>
      <c r="AK9" s="216">
        <f t="shared" ref="AK9:AK41" si="3">V9/C9</f>
        <v>2836.9</v>
      </c>
      <c r="AL9" s="216">
        <f>((979*0.302)+((AK9-979)*0.182))</f>
        <v>633.79999999999995</v>
      </c>
      <c r="AM9" s="217">
        <f>AL9/AK9</f>
        <v>0.223</v>
      </c>
      <c r="AN9" s="50">
        <f>1150*0.22*C9+(V9-1150*C9)*0.1</f>
        <v>421.7</v>
      </c>
      <c r="AO9" s="50">
        <f>865*0.029</f>
        <v>25.1</v>
      </c>
      <c r="AP9" s="50">
        <f>V9*0.053</f>
        <v>150.4</v>
      </c>
      <c r="AQ9" s="50">
        <f>SUM(AN9:AP9)</f>
        <v>597.20000000000005</v>
      </c>
      <c r="AS9" s="66"/>
    </row>
    <row r="10" spans="1:45" x14ac:dyDescent="0.2">
      <c r="A10" s="276">
        <v>2</v>
      </c>
      <c r="B10" s="44" t="s">
        <v>125</v>
      </c>
      <c r="C10" s="276">
        <v>1</v>
      </c>
      <c r="D10" s="177">
        <v>17.917000000000002</v>
      </c>
      <c r="E10" s="214">
        <f>C10*D10</f>
        <v>17.920000000000002</v>
      </c>
      <c r="F10" s="215">
        <f>E10*12</f>
        <v>215</v>
      </c>
      <c r="G10" s="154"/>
      <c r="H10" s="154">
        <v>8.6999999999999993</v>
      </c>
      <c r="I10" s="154"/>
      <c r="J10" s="154"/>
      <c r="K10" s="154">
        <f>F10*0.4</f>
        <v>86</v>
      </c>
      <c r="L10" s="154">
        <f t="shared" ref="L10:L51" si="4">F10*$L$4</f>
        <v>72.8</v>
      </c>
      <c r="M10" s="154">
        <f>F10+G10+H10+I10+J10+K10+L10</f>
        <v>382.5</v>
      </c>
      <c r="N10" s="171">
        <v>0.47</v>
      </c>
      <c r="O10" s="154">
        <f>M10*N10</f>
        <v>179.8</v>
      </c>
      <c r="P10" s="154">
        <f>M10+O10</f>
        <v>562.29999999999995</v>
      </c>
      <c r="Q10" s="154">
        <f>P10*0.8</f>
        <v>449.8</v>
      </c>
      <c r="R10" s="154">
        <f>P10*0.8</f>
        <v>449.8</v>
      </c>
      <c r="S10" s="154">
        <f>(P10+Q10+R10)*0.032</f>
        <v>46.8</v>
      </c>
      <c r="T10" s="154">
        <f>P10+Q10+R10+S10</f>
        <v>1508.7</v>
      </c>
      <c r="U10" s="1425"/>
      <c r="V10" s="154">
        <f t="shared" ref="V10:V50" si="5">T10*$U$9</f>
        <v>1508.7</v>
      </c>
      <c r="W10" s="154">
        <f>AQ10</f>
        <v>394</v>
      </c>
      <c r="X10" s="276"/>
      <c r="Y10" s="24">
        <v>30</v>
      </c>
      <c r="Z10" s="48">
        <f>X10*Y10</f>
        <v>0</v>
      </c>
      <c r="AA10" s="276"/>
      <c r="AB10" s="24">
        <v>15</v>
      </c>
      <c r="AC10" s="48">
        <f>AA10*AB10</f>
        <v>0</v>
      </c>
      <c r="AD10" s="276"/>
      <c r="AE10" s="24">
        <v>30</v>
      </c>
      <c r="AF10" s="48">
        <f>AD10*AE10</f>
        <v>0</v>
      </c>
      <c r="AG10" s="276">
        <f t="shared" si="0"/>
        <v>0</v>
      </c>
      <c r="AH10" s="48">
        <f t="shared" si="1"/>
        <v>0</v>
      </c>
      <c r="AI10" s="34">
        <f t="shared" si="2"/>
        <v>125725</v>
      </c>
      <c r="AJ10" s="34"/>
      <c r="AK10" s="216">
        <f t="shared" si="3"/>
        <v>1508.7</v>
      </c>
      <c r="AL10" s="216">
        <f t="shared" ref="AL10:AL41" si="6">((979*0.302)+((AK10-979)*0.182))</f>
        <v>392.1</v>
      </c>
      <c r="AM10" s="217">
        <f>AL10/AK10</f>
        <v>0.26</v>
      </c>
      <c r="AN10" s="50">
        <f>1150*0.22*C10+(V10-1150*C10)*0.1</f>
        <v>288.89999999999998</v>
      </c>
      <c r="AO10" s="50">
        <f>865*0.029</f>
        <v>25.1</v>
      </c>
      <c r="AP10" s="50">
        <f>V10*0.053</f>
        <v>80</v>
      </c>
      <c r="AQ10" s="50">
        <f t="shared" ref="AQ10:AQ52" si="7">SUM(AN10:AP10)</f>
        <v>394</v>
      </c>
      <c r="AS10" s="66"/>
    </row>
    <row r="11" spans="1:45" x14ac:dyDescent="0.2">
      <c r="A11" s="276">
        <v>3</v>
      </c>
      <c r="B11" s="44" t="s">
        <v>125</v>
      </c>
      <c r="C11" s="276">
        <v>1</v>
      </c>
      <c r="D11" s="177">
        <v>17.917000000000002</v>
      </c>
      <c r="E11" s="214">
        <f>C11*D11</f>
        <v>17.920000000000002</v>
      </c>
      <c r="F11" s="215">
        <f>E11*12</f>
        <v>215</v>
      </c>
      <c r="G11" s="154"/>
      <c r="H11" s="154">
        <v>7.9</v>
      </c>
      <c r="I11" s="154"/>
      <c r="J11" s="154"/>
      <c r="K11" s="154">
        <f>F11*0.25</f>
        <v>53.8</v>
      </c>
      <c r="L11" s="154">
        <f t="shared" si="4"/>
        <v>72.8</v>
      </c>
      <c r="M11" s="154">
        <f>F11+G11+H11+I11+J11+K11+L11</f>
        <v>349.5</v>
      </c>
      <c r="N11" s="171">
        <v>0.47</v>
      </c>
      <c r="O11" s="154">
        <f>M11*N11</f>
        <v>164.3</v>
      </c>
      <c r="P11" s="154">
        <f>M11+O11</f>
        <v>513.79999999999995</v>
      </c>
      <c r="Q11" s="154">
        <f>P11*0.8</f>
        <v>411</v>
      </c>
      <c r="R11" s="154">
        <f>P11*0.8</f>
        <v>411</v>
      </c>
      <c r="S11" s="154">
        <f>(P11+Q11+R11)*0.032</f>
        <v>42.7</v>
      </c>
      <c r="T11" s="154">
        <f>P11+Q11+R11+S11</f>
        <v>1378.5</v>
      </c>
      <c r="U11" s="1425"/>
      <c r="V11" s="154">
        <f t="shared" si="5"/>
        <v>1378.5</v>
      </c>
      <c r="W11" s="154">
        <f>AQ11</f>
        <v>374.1</v>
      </c>
      <c r="X11" s="276">
        <v>1</v>
      </c>
      <c r="Y11" s="24">
        <v>30</v>
      </c>
      <c r="Z11" s="48">
        <f>X11*Y11</f>
        <v>30</v>
      </c>
      <c r="AA11" s="276"/>
      <c r="AB11" s="24">
        <v>15</v>
      </c>
      <c r="AC11" s="48">
        <f>AA11*AB11</f>
        <v>0</v>
      </c>
      <c r="AD11" s="276"/>
      <c r="AE11" s="24">
        <v>30</v>
      </c>
      <c r="AF11" s="48">
        <f>AD11*AE11</f>
        <v>0</v>
      </c>
      <c r="AG11" s="276">
        <f t="shared" si="0"/>
        <v>9</v>
      </c>
      <c r="AH11" s="48">
        <f t="shared" si="1"/>
        <v>39</v>
      </c>
      <c r="AI11" s="34">
        <f t="shared" si="2"/>
        <v>114875</v>
      </c>
      <c r="AJ11" s="34"/>
      <c r="AK11" s="216">
        <f t="shared" si="3"/>
        <v>1378.5</v>
      </c>
      <c r="AL11" s="216">
        <f t="shared" si="6"/>
        <v>368.4</v>
      </c>
      <c r="AM11" s="217">
        <f>AL11/AK11</f>
        <v>0.26700000000000002</v>
      </c>
      <c r="AN11" s="50">
        <f>1150*0.22*C11+(V11-1150*C11)*0.1</f>
        <v>275.89999999999998</v>
      </c>
      <c r="AO11" s="50">
        <f>865*0.029</f>
        <v>25.1</v>
      </c>
      <c r="AP11" s="50">
        <f>V11*0.053</f>
        <v>73.099999999999994</v>
      </c>
      <c r="AQ11" s="50">
        <f t="shared" si="7"/>
        <v>374.1</v>
      </c>
      <c r="AS11" s="66"/>
    </row>
    <row r="12" spans="1:45" x14ac:dyDescent="0.2">
      <c r="A12" s="277">
        <v>4</v>
      </c>
      <c r="B12" s="44" t="s">
        <v>125</v>
      </c>
      <c r="C12" s="277">
        <v>1</v>
      </c>
      <c r="D12" s="177">
        <v>17.917000000000002</v>
      </c>
      <c r="E12" s="214">
        <f>C12*D12</f>
        <v>17.920000000000002</v>
      </c>
      <c r="F12" s="215">
        <f>E12*12</f>
        <v>215</v>
      </c>
      <c r="G12" s="154"/>
      <c r="H12" s="154"/>
      <c r="I12" s="154"/>
      <c r="J12" s="154"/>
      <c r="K12" s="154"/>
      <c r="L12" s="154">
        <f t="shared" si="4"/>
        <v>72.8</v>
      </c>
      <c r="M12" s="154">
        <f>F12+G12+H12+I12+J12+K12+L12</f>
        <v>287.8</v>
      </c>
      <c r="N12" s="171">
        <v>0.47</v>
      </c>
      <c r="O12" s="154">
        <f>M12*N12</f>
        <v>135.30000000000001</v>
      </c>
      <c r="P12" s="154">
        <f>M12+O12</f>
        <v>423.1</v>
      </c>
      <c r="Q12" s="154">
        <f>P12*0.8</f>
        <v>338.5</v>
      </c>
      <c r="R12" s="154">
        <f>P12*0.8</f>
        <v>338.5</v>
      </c>
      <c r="S12" s="154">
        <f>(P12+Q12+R12)*0.032</f>
        <v>35.200000000000003</v>
      </c>
      <c r="T12" s="154">
        <f>P12+Q12+R12+S12</f>
        <v>1135.3</v>
      </c>
      <c r="U12" s="1425"/>
      <c r="V12" s="154">
        <f t="shared" si="5"/>
        <v>1135.3</v>
      </c>
      <c r="W12" s="154">
        <f>AQ12</f>
        <v>336.8</v>
      </c>
      <c r="X12" s="277">
        <v>1</v>
      </c>
      <c r="Y12" s="24">
        <v>30</v>
      </c>
      <c r="Z12" s="48">
        <f>X12*Y12</f>
        <v>30</v>
      </c>
      <c r="AA12" s="277">
        <v>2</v>
      </c>
      <c r="AB12" s="24">
        <v>15</v>
      </c>
      <c r="AC12" s="48">
        <f>AA12*AB12</f>
        <v>30</v>
      </c>
      <c r="AD12" s="277">
        <v>1</v>
      </c>
      <c r="AE12" s="24">
        <v>30</v>
      </c>
      <c r="AF12" s="48">
        <f>AD12*AE12</f>
        <v>30</v>
      </c>
      <c r="AG12" s="277">
        <f t="shared" si="0"/>
        <v>27</v>
      </c>
      <c r="AH12" s="48">
        <f t="shared" si="1"/>
        <v>117</v>
      </c>
      <c r="AI12" s="34">
        <f t="shared" si="2"/>
        <v>94608.3</v>
      </c>
      <c r="AJ12" s="34"/>
      <c r="AK12" s="216">
        <f t="shared" si="3"/>
        <v>1135.3</v>
      </c>
      <c r="AL12" s="216">
        <f t="shared" si="6"/>
        <v>324.10000000000002</v>
      </c>
      <c r="AM12" s="217">
        <f>AL12/AK12</f>
        <v>0.28499999999999998</v>
      </c>
      <c r="AN12" s="50">
        <f>1150*0.22*C12+(V12-1150*C12)*0.1</f>
        <v>251.5</v>
      </c>
      <c r="AO12" s="50">
        <f>865*0.029</f>
        <v>25.1</v>
      </c>
      <c r="AP12" s="50">
        <f>AK12*0.053</f>
        <v>60.2</v>
      </c>
      <c r="AQ12" s="50">
        <f>SUM(AN12:AP12)*C12</f>
        <v>336.8</v>
      </c>
      <c r="AS12" s="66"/>
    </row>
    <row r="13" spans="1:45" ht="14.25" customHeight="1" x14ac:dyDescent="0.2">
      <c r="A13" s="276">
        <v>5</v>
      </c>
      <c r="B13" s="218" t="s">
        <v>16</v>
      </c>
      <c r="C13" s="276">
        <v>7</v>
      </c>
      <c r="D13" s="177">
        <v>11.061999999999999</v>
      </c>
      <c r="E13" s="171">
        <f t="shared" ref="E13:E19" si="8">C13*D13</f>
        <v>77.430000000000007</v>
      </c>
      <c r="F13" s="154">
        <f t="shared" ref="F13:F19" si="9">E13*12</f>
        <v>929.2</v>
      </c>
      <c r="G13" s="154"/>
      <c r="H13" s="154">
        <f>0.539+1.617+0.539+2.696+1.078</f>
        <v>6.5</v>
      </c>
      <c r="I13" s="154"/>
      <c r="J13" s="154"/>
      <c r="K13" s="154">
        <f>D13*0.2*12+D13*0.25*4*12+D13*0.4*2</f>
        <v>168.1</v>
      </c>
      <c r="L13" s="154">
        <f t="shared" si="4"/>
        <v>314.39999999999998</v>
      </c>
      <c r="M13" s="154">
        <f t="shared" ref="M13:M19" si="10">F13+G13+H13+I13+J13+K13+L13</f>
        <v>1418.2</v>
      </c>
      <c r="N13" s="171">
        <v>0.43</v>
      </c>
      <c r="O13" s="154">
        <f t="shared" ref="O13:O19" si="11">M13*N13</f>
        <v>609.79999999999995</v>
      </c>
      <c r="P13" s="154">
        <f t="shared" ref="P13:P19" si="12">M13+O13</f>
        <v>2028</v>
      </c>
      <c r="Q13" s="154">
        <f t="shared" ref="Q13:Q19" si="13">P13*0.8</f>
        <v>1622.4</v>
      </c>
      <c r="R13" s="154">
        <f t="shared" ref="R13:R19" si="14">P13*0.8</f>
        <v>1622.4</v>
      </c>
      <c r="S13" s="154">
        <f t="shared" ref="S13:S19" si="15">(P13+Q13+R13)*0.032</f>
        <v>168.7</v>
      </c>
      <c r="T13" s="154">
        <f t="shared" ref="T13:T19" si="16">P13+Q13+R13+S13</f>
        <v>5441.5</v>
      </c>
      <c r="U13" s="1425"/>
      <c r="V13" s="154">
        <f t="shared" si="5"/>
        <v>5441.5</v>
      </c>
      <c r="W13" s="154">
        <f>V13*0.302</f>
        <v>1643.3</v>
      </c>
      <c r="X13" s="54">
        <v>4</v>
      </c>
      <c r="Y13" s="24">
        <v>30</v>
      </c>
      <c r="Z13" s="48">
        <f t="shared" ref="Z13:Z19" si="17">X13*Y13</f>
        <v>120</v>
      </c>
      <c r="AA13" s="54">
        <v>1</v>
      </c>
      <c r="AB13" s="24">
        <v>15</v>
      </c>
      <c r="AC13" s="48">
        <f t="shared" ref="AC13:AC19" si="18">AA13*AB13</f>
        <v>15</v>
      </c>
      <c r="AD13" s="54"/>
      <c r="AE13" s="24">
        <v>30</v>
      </c>
      <c r="AF13" s="48">
        <f t="shared" ref="AF13:AF19" si="19">AD13*AE13</f>
        <v>0</v>
      </c>
      <c r="AG13" s="276">
        <f t="shared" si="0"/>
        <v>40.5</v>
      </c>
      <c r="AH13" s="48">
        <f t="shared" si="1"/>
        <v>175.5</v>
      </c>
      <c r="AI13" s="34">
        <f t="shared" si="2"/>
        <v>64779.8</v>
      </c>
      <c r="AJ13" s="34"/>
      <c r="AK13" s="216">
        <f t="shared" si="3"/>
        <v>777.4</v>
      </c>
      <c r="AL13" s="216">
        <f t="shared" si="6"/>
        <v>259</v>
      </c>
      <c r="AM13" s="217">
        <v>0.30199999999999999</v>
      </c>
      <c r="AN13" s="50"/>
      <c r="AQ13" s="50">
        <f t="shared" si="7"/>
        <v>0</v>
      </c>
      <c r="AS13" s="66"/>
    </row>
    <row r="14" spans="1:45" x14ac:dyDescent="0.2">
      <c r="A14" s="276">
        <v>6</v>
      </c>
      <c r="B14" s="218" t="s">
        <v>16</v>
      </c>
      <c r="C14" s="276">
        <v>1</v>
      </c>
      <c r="D14" s="177">
        <v>11.061999999999999</v>
      </c>
      <c r="E14" s="171">
        <f>C14*D14</f>
        <v>11.06</v>
      </c>
      <c r="F14" s="154">
        <f t="shared" si="9"/>
        <v>132.69999999999999</v>
      </c>
      <c r="G14" s="154"/>
      <c r="H14" s="34">
        <f>5.4+1.617</f>
        <v>7</v>
      </c>
      <c r="I14" s="154"/>
      <c r="J14" s="154"/>
      <c r="K14" s="154">
        <f>F14*0.4</f>
        <v>53.1</v>
      </c>
      <c r="L14" s="154">
        <f t="shared" si="4"/>
        <v>44.9</v>
      </c>
      <c r="M14" s="154">
        <f t="shared" si="10"/>
        <v>237.7</v>
      </c>
      <c r="N14" s="171">
        <v>0.43</v>
      </c>
      <c r="O14" s="154">
        <f t="shared" si="11"/>
        <v>102.2</v>
      </c>
      <c r="P14" s="154">
        <f t="shared" si="12"/>
        <v>339.9</v>
      </c>
      <c r="Q14" s="154">
        <f t="shared" si="13"/>
        <v>271.89999999999998</v>
      </c>
      <c r="R14" s="154">
        <f t="shared" si="14"/>
        <v>271.89999999999998</v>
      </c>
      <c r="S14" s="154">
        <f t="shared" si="15"/>
        <v>28.3</v>
      </c>
      <c r="T14" s="154">
        <f t="shared" si="16"/>
        <v>912</v>
      </c>
      <c r="U14" s="1425"/>
      <c r="V14" s="154">
        <f t="shared" si="5"/>
        <v>912</v>
      </c>
      <c r="W14" s="154">
        <f>AQ14</f>
        <v>274</v>
      </c>
      <c r="X14" s="54">
        <v>1</v>
      </c>
      <c r="Y14" s="24">
        <v>30</v>
      </c>
      <c r="Z14" s="48">
        <f t="shared" si="17"/>
        <v>30</v>
      </c>
      <c r="AA14" s="54"/>
      <c r="AB14" s="24">
        <v>15</v>
      </c>
      <c r="AC14" s="48">
        <f t="shared" si="18"/>
        <v>0</v>
      </c>
      <c r="AD14" s="54"/>
      <c r="AE14" s="24">
        <v>30</v>
      </c>
      <c r="AF14" s="48">
        <f>AD14*AE14</f>
        <v>0</v>
      </c>
      <c r="AG14" s="276">
        <f t="shared" si="0"/>
        <v>9</v>
      </c>
      <c r="AH14" s="48">
        <f t="shared" si="1"/>
        <v>39</v>
      </c>
      <c r="AI14" s="34">
        <f t="shared" si="2"/>
        <v>76000</v>
      </c>
      <c r="AJ14" s="34"/>
      <c r="AK14" s="216">
        <f t="shared" si="3"/>
        <v>912</v>
      </c>
      <c r="AL14" s="216">
        <f t="shared" si="6"/>
        <v>283.5</v>
      </c>
      <c r="AM14" s="217">
        <f>AL14/AK14</f>
        <v>0.311</v>
      </c>
      <c r="AN14" s="50">
        <f>AK14*0.22</f>
        <v>200.6</v>
      </c>
      <c r="AO14" s="50">
        <f>865*0.029</f>
        <v>25.1</v>
      </c>
      <c r="AP14" s="50">
        <f>AK14*0.053</f>
        <v>48.3</v>
      </c>
      <c r="AQ14" s="50">
        <f>SUM(AN14:AP14)*C14</f>
        <v>274</v>
      </c>
      <c r="AS14" s="66"/>
    </row>
    <row r="15" spans="1:45" ht="25.5" x14ac:dyDescent="0.2">
      <c r="A15" s="276">
        <v>8</v>
      </c>
      <c r="B15" s="218" t="s">
        <v>45</v>
      </c>
      <c r="C15" s="276">
        <v>1</v>
      </c>
      <c r="D15" s="177">
        <v>11.061999999999999</v>
      </c>
      <c r="E15" s="171">
        <f t="shared" si="8"/>
        <v>11.06</v>
      </c>
      <c r="F15" s="154">
        <f t="shared" si="9"/>
        <v>132.69999999999999</v>
      </c>
      <c r="G15" s="154"/>
      <c r="H15" s="154">
        <v>2.4</v>
      </c>
      <c r="I15" s="154"/>
      <c r="J15" s="154"/>
      <c r="K15" s="154">
        <f>F15*0.4</f>
        <v>53.1</v>
      </c>
      <c r="L15" s="154">
        <f t="shared" si="4"/>
        <v>44.9</v>
      </c>
      <c r="M15" s="154">
        <f t="shared" si="10"/>
        <v>233.1</v>
      </c>
      <c r="N15" s="171">
        <v>0.43</v>
      </c>
      <c r="O15" s="154">
        <f t="shared" si="11"/>
        <v>100.2</v>
      </c>
      <c r="P15" s="154">
        <f t="shared" si="12"/>
        <v>333.3</v>
      </c>
      <c r="Q15" s="154">
        <f t="shared" si="13"/>
        <v>266.60000000000002</v>
      </c>
      <c r="R15" s="154">
        <f t="shared" si="14"/>
        <v>266.60000000000002</v>
      </c>
      <c r="S15" s="154">
        <f t="shared" si="15"/>
        <v>27.7</v>
      </c>
      <c r="T15" s="154">
        <f t="shared" si="16"/>
        <v>894.2</v>
      </c>
      <c r="U15" s="1425"/>
      <c r="V15" s="154">
        <f t="shared" si="5"/>
        <v>894.2</v>
      </c>
      <c r="W15" s="154">
        <f>AQ15</f>
        <v>269.2</v>
      </c>
      <c r="X15" s="54"/>
      <c r="Y15" s="24">
        <v>30</v>
      </c>
      <c r="Z15" s="48">
        <f t="shared" si="17"/>
        <v>0</v>
      </c>
      <c r="AA15" s="54"/>
      <c r="AB15" s="24">
        <v>15</v>
      </c>
      <c r="AC15" s="48">
        <f t="shared" si="18"/>
        <v>0</v>
      </c>
      <c r="AD15" s="54"/>
      <c r="AE15" s="24">
        <v>30</v>
      </c>
      <c r="AF15" s="48">
        <f t="shared" si="19"/>
        <v>0</v>
      </c>
      <c r="AG15" s="276">
        <f t="shared" si="0"/>
        <v>0</v>
      </c>
      <c r="AH15" s="48">
        <f t="shared" si="1"/>
        <v>0</v>
      </c>
      <c r="AI15" s="34">
        <f t="shared" si="2"/>
        <v>74516.7</v>
      </c>
      <c r="AJ15" s="34"/>
      <c r="AK15" s="216">
        <f t="shared" si="3"/>
        <v>894.2</v>
      </c>
      <c r="AL15" s="216">
        <f t="shared" si="6"/>
        <v>280.2</v>
      </c>
      <c r="AM15" s="217">
        <v>0.30199999999999999</v>
      </c>
      <c r="AN15" s="50">
        <f>AK15*0.22</f>
        <v>196.7</v>
      </c>
      <c r="AO15" s="50">
        <f>865*0.029</f>
        <v>25.1</v>
      </c>
      <c r="AP15" s="50">
        <f>AK15*0.053</f>
        <v>47.4</v>
      </c>
      <c r="AQ15" s="50">
        <f t="shared" si="7"/>
        <v>269.2</v>
      </c>
      <c r="AS15" s="66"/>
    </row>
    <row r="16" spans="1:45" ht="25.5" x14ac:dyDescent="0.2">
      <c r="A16" s="276">
        <v>9</v>
      </c>
      <c r="B16" s="218" t="s">
        <v>46</v>
      </c>
      <c r="C16" s="276">
        <v>1</v>
      </c>
      <c r="D16" s="177">
        <v>11.061999999999999</v>
      </c>
      <c r="E16" s="171">
        <f t="shared" si="8"/>
        <v>11.06</v>
      </c>
      <c r="F16" s="154">
        <f t="shared" si="9"/>
        <v>132.69999999999999</v>
      </c>
      <c r="G16" s="154"/>
      <c r="H16" s="154">
        <v>2.4</v>
      </c>
      <c r="I16" s="154"/>
      <c r="J16" s="154"/>
      <c r="K16" s="154">
        <f>F16*0.4</f>
        <v>53.1</v>
      </c>
      <c r="L16" s="154">
        <f t="shared" si="4"/>
        <v>44.9</v>
      </c>
      <c r="M16" s="154">
        <f t="shared" si="10"/>
        <v>233.1</v>
      </c>
      <c r="N16" s="171">
        <v>0.43</v>
      </c>
      <c r="O16" s="154">
        <f t="shared" si="11"/>
        <v>100.2</v>
      </c>
      <c r="P16" s="154">
        <f t="shared" si="12"/>
        <v>333.3</v>
      </c>
      <c r="Q16" s="154">
        <f t="shared" si="13"/>
        <v>266.60000000000002</v>
      </c>
      <c r="R16" s="154">
        <f t="shared" si="14"/>
        <v>266.60000000000002</v>
      </c>
      <c r="S16" s="154">
        <f t="shared" si="15"/>
        <v>27.7</v>
      </c>
      <c r="T16" s="154">
        <f t="shared" si="16"/>
        <v>894.2</v>
      </c>
      <c r="U16" s="1425"/>
      <c r="V16" s="154">
        <f t="shared" si="5"/>
        <v>894.2</v>
      </c>
      <c r="W16" s="154">
        <f>AQ16</f>
        <v>269.2</v>
      </c>
      <c r="X16" s="54">
        <v>1</v>
      </c>
      <c r="Y16" s="24">
        <v>30</v>
      </c>
      <c r="Z16" s="48">
        <f t="shared" si="17"/>
        <v>30</v>
      </c>
      <c r="AA16" s="54">
        <v>1</v>
      </c>
      <c r="AB16" s="24">
        <v>15</v>
      </c>
      <c r="AC16" s="48">
        <f t="shared" si="18"/>
        <v>15</v>
      </c>
      <c r="AD16" s="54">
        <v>1</v>
      </c>
      <c r="AE16" s="24">
        <v>30</v>
      </c>
      <c r="AF16" s="48">
        <f t="shared" si="19"/>
        <v>30</v>
      </c>
      <c r="AG16" s="276">
        <f t="shared" si="0"/>
        <v>22.5</v>
      </c>
      <c r="AH16" s="48">
        <f t="shared" si="1"/>
        <v>97.5</v>
      </c>
      <c r="AI16" s="34">
        <f t="shared" si="2"/>
        <v>74516.7</v>
      </c>
      <c r="AJ16" s="34"/>
      <c r="AK16" s="216">
        <f t="shared" si="3"/>
        <v>894.2</v>
      </c>
      <c r="AL16" s="216">
        <f t="shared" si="6"/>
        <v>280.2</v>
      </c>
      <c r="AM16" s="217">
        <f>AL16/AK16</f>
        <v>0.313</v>
      </c>
      <c r="AN16" s="50">
        <f>AK16*0.22</f>
        <v>196.7</v>
      </c>
      <c r="AO16" s="50">
        <f>865*0.029</f>
        <v>25.1</v>
      </c>
      <c r="AP16" s="50">
        <f>AK16*0.053</f>
        <v>47.4</v>
      </c>
      <c r="AQ16" s="50">
        <f t="shared" si="7"/>
        <v>269.2</v>
      </c>
      <c r="AS16" s="66"/>
    </row>
    <row r="17" spans="1:45" ht="25.5" x14ac:dyDescent="0.2">
      <c r="A17" s="276">
        <v>10</v>
      </c>
      <c r="B17" s="218" t="s">
        <v>100</v>
      </c>
      <c r="C17" s="276">
        <v>1</v>
      </c>
      <c r="D17" s="177">
        <v>11.061999999999999</v>
      </c>
      <c r="E17" s="171">
        <f>C17*D17</f>
        <v>11.06</v>
      </c>
      <c r="F17" s="154">
        <f>E17*12</f>
        <v>132.69999999999999</v>
      </c>
      <c r="G17" s="154"/>
      <c r="H17" s="154">
        <v>5.4</v>
      </c>
      <c r="I17" s="154"/>
      <c r="J17" s="154"/>
      <c r="K17" s="154"/>
      <c r="L17" s="154">
        <f t="shared" si="4"/>
        <v>44.9</v>
      </c>
      <c r="M17" s="154">
        <f>F17+G17+H17+I17+J17+K17+L17</f>
        <v>183</v>
      </c>
      <c r="N17" s="171">
        <v>0.43</v>
      </c>
      <c r="O17" s="154">
        <f>M17*N17</f>
        <v>78.7</v>
      </c>
      <c r="P17" s="154">
        <f>M17+O17</f>
        <v>261.7</v>
      </c>
      <c r="Q17" s="154">
        <f>P17*0.8</f>
        <v>209.4</v>
      </c>
      <c r="R17" s="154">
        <f>P17*0.8</f>
        <v>209.4</v>
      </c>
      <c r="S17" s="154">
        <f>(P17+Q17+R17)*0.032</f>
        <v>21.8</v>
      </c>
      <c r="T17" s="154">
        <f>P17+Q17+R17+S17</f>
        <v>702.3</v>
      </c>
      <c r="U17" s="1425"/>
      <c r="V17" s="154">
        <f t="shared" si="5"/>
        <v>702.3</v>
      </c>
      <c r="W17" s="154">
        <f>V17*0.302</f>
        <v>212.1</v>
      </c>
      <c r="X17" s="54">
        <v>1</v>
      </c>
      <c r="Y17" s="24">
        <v>30</v>
      </c>
      <c r="Z17" s="48">
        <f>X17*Y17</f>
        <v>30</v>
      </c>
      <c r="AA17" s="54"/>
      <c r="AB17" s="24">
        <v>15</v>
      </c>
      <c r="AC17" s="48">
        <f>AA17*AB17</f>
        <v>0</v>
      </c>
      <c r="AD17" s="54"/>
      <c r="AE17" s="24">
        <v>30</v>
      </c>
      <c r="AF17" s="48">
        <f>AD17*AE17</f>
        <v>0</v>
      </c>
      <c r="AG17" s="276">
        <f t="shared" si="0"/>
        <v>9</v>
      </c>
      <c r="AH17" s="48">
        <f t="shared" si="1"/>
        <v>39</v>
      </c>
      <c r="AI17" s="34">
        <f t="shared" si="2"/>
        <v>58525</v>
      </c>
      <c r="AJ17" s="34"/>
      <c r="AK17" s="216">
        <f t="shared" si="3"/>
        <v>702.3</v>
      </c>
      <c r="AL17" s="216">
        <f t="shared" si="6"/>
        <v>245.3</v>
      </c>
      <c r="AM17" s="217">
        <f>AL17/AK17</f>
        <v>0.34899999999999998</v>
      </c>
      <c r="AN17" s="50"/>
      <c r="AO17" s="50"/>
      <c r="AP17" s="50"/>
      <c r="AQ17" s="50">
        <f t="shared" si="7"/>
        <v>0</v>
      </c>
      <c r="AS17" s="66"/>
    </row>
    <row r="18" spans="1:45" x14ac:dyDescent="0.2">
      <c r="A18" s="276">
        <v>11</v>
      </c>
      <c r="B18" s="218" t="s">
        <v>105</v>
      </c>
      <c r="C18" s="276">
        <v>2</v>
      </c>
      <c r="D18" s="177">
        <v>8.4730000000000008</v>
      </c>
      <c r="E18" s="171">
        <f t="shared" si="8"/>
        <v>16.95</v>
      </c>
      <c r="F18" s="154">
        <f t="shared" si="9"/>
        <v>203.4</v>
      </c>
      <c r="G18" s="154"/>
      <c r="H18" s="154">
        <v>2.1</v>
      </c>
      <c r="I18" s="154"/>
      <c r="J18" s="154"/>
      <c r="K18" s="154">
        <f>D18*0.35*12+D18*0.3*12+D18*9.5*0.05</f>
        <v>70.099999999999994</v>
      </c>
      <c r="L18" s="154">
        <f t="shared" si="4"/>
        <v>68.8</v>
      </c>
      <c r="M18" s="154">
        <f t="shared" si="10"/>
        <v>344.4</v>
      </c>
      <c r="N18" s="171">
        <v>0.41</v>
      </c>
      <c r="O18" s="154">
        <f t="shared" si="11"/>
        <v>141.19999999999999</v>
      </c>
      <c r="P18" s="154">
        <f t="shared" si="12"/>
        <v>485.6</v>
      </c>
      <c r="Q18" s="154">
        <f t="shared" si="13"/>
        <v>388.5</v>
      </c>
      <c r="R18" s="154">
        <f t="shared" si="14"/>
        <v>388.5</v>
      </c>
      <c r="S18" s="154">
        <f t="shared" si="15"/>
        <v>40.4</v>
      </c>
      <c r="T18" s="154">
        <f t="shared" si="16"/>
        <v>1303</v>
      </c>
      <c r="U18" s="1425"/>
      <c r="V18" s="154">
        <f t="shared" si="5"/>
        <v>1303</v>
      </c>
      <c r="W18" s="154">
        <f>V18*0.302</f>
        <v>393.5</v>
      </c>
      <c r="X18" s="54"/>
      <c r="Y18" s="24">
        <v>30</v>
      </c>
      <c r="Z18" s="48">
        <f t="shared" si="17"/>
        <v>0</v>
      </c>
      <c r="AA18" s="54"/>
      <c r="AB18" s="24">
        <v>15</v>
      </c>
      <c r="AC18" s="48">
        <f t="shared" si="18"/>
        <v>0</v>
      </c>
      <c r="AD18" s="54"/>
      <c r="AE18" s="24">
        <v>30</v>
      </c>
      <c r="AF18" s="48">
        <f t="shared" si="19"/>
        <v>0</v>
      </c>
      <c r="AG18" s="276">
        <f t="shared" si="0"/>
        <v>0</v>
      </c>
      <c r="AH18" s="48">
        <f t="shared" si="1"/>
        <v>0</v>
      </c>
      <c r="AI18" s="34">
        <f t="shared" si="2"/>
        <v>54291.7</v>
      </c>
      <c r="AJ18" s="34"/>
      <c r="AK18" s="216">
        <f t="shared" si="3"/>
        <v>651.5</v>
      </c>
      <c r="AL18" s="216">
        <f t="shared" si="6"/>
        <v>236.1</v>
      </c>
      <c r="AM18" s="217">
        <v>0.30199999999999999</v>
      </c>
      <c r="AQ18" s="50">
        <f t="shared" si="7"/>
        <v>0</v>
      </c>
      <c r="AS18" s="66"/>
    </row>
    <row r="19" spans="1:45" x14ac:dyDescent="0.2">
      <c r="A19" s="276">
        <v>12</v>
      </c>
      <c r="B19" s="218" t="s">
        <v>47</v>
      </c>
      <c r="C19" s="219">
        <v>1</v>
      </c>
      <c r="D19" s="177">
        <v>6.2859999999999996</v>
      </c>
      <c r="E19" s="171">
        <f t="shared" si="8"/>
        <v>6.29</v>
      </c>
      <c r="F19" s="154">
        <f t="shared" si="9"/>
        <v>75.5</v>
      </c>
      <c r="G19" s="154"/>
      <c r="H19" s="154">
        <v>2.8</v>
      </c>
      <c r="I19" s="154"/>
      <c r="J19" s="154"/>
      <c r="K19" s="154">
        <f>F19*0.2+D19*0.05*9.5</f>
        <v>18.100000000000001</v>
      </c>
      <c r="L19" s="154">
        <f t="shared" si="4"/>
        <v>25.5</v>
      </c>
      <c r="M19" s="154">
        <f t="shared" si="10"/>
        <v>121.9</v>
      </c>
      <c r="N19" s="171">
        <v>0.45</v>
      </c>
      <c r="O19" s="154">
        <f t="shared" si="11"/>
        <v>54.9</v>
      </c>
      <c r="P19" s="154">
        <f t="shared" si="12"/>
        <v>176.8</v>
      </c>
      <c r="Q19" s="154">
        <f t="shared" si="13"/>
        <v>141.4</v>
      </c>
      <c r="R19" s="154">
        <f t="shared" si="14"/>
        <v>141.4</v>
      </c>
      <c r="S19" s="154">
        <f t="shared" si="15"/>
        <v>14.7</v>
      </c>
      <c r="T19" s="154">
        <f t="shared" si="16"/>
        <v>474.3</v>
      </c>
      <c r="U19" s="1425"/>
      <c r="V19" s="154">
        <f t="shared" si="5"/>
        <v>474.3</v>
      </c>
      <c r="W19" s="154">
        <f>V19*0.302</f>
        <v>143.19999999999999</v>
      </c>
      <c r="X19" s="54">
        <v>1</v>
      </c>
      <c r="Y19" s="24">
        <v>30</v>
      </c>
      <c r="Z19" s="48">
        <f t="shared" si="17"/>
        <v>30</v>
      </c>
      <c r="AA19" s="54"/>
      <c r="AB19" s="24">
        <v>15</v>
      </c>
      <c r="AC19" s="48">
        <f t="shared" si="18"/>
        <v>0</v>
      </c>
      <c r="AD19" s="54">
        <v>1</v>
      </c>
      <c r="AE19" s="24">
        <v>30</v>
      </c>
      <c r="AF19" s="48">
        <f t="shared" si="19"/>
        <v>30</v>
      </c>
      <c r="AG19" s="276">
        <f t="shared" si="0"/>
        <v>18</v>
      </c>
      <c r="AH19" s="48">
        <f t="shared" si="1"/>
        <v>78</v>
      </c>
      <c r="AI19" s="34">
        <f t="shared" si="2"/>
        <v>39525</v>
      </c>
      <c r="AJ19" s="34"/>
      <c r="AK19" s="216">
        <f t="shared" si="3"/>
        <v>474.3</v>
      </c>
      <c r="AL19" s="216">
        <f t="shared" si="6"/>
        <v>203.8</v>
      </c>
      <c r="AM19" s="217">
        <v>0.30199999999999999</v>
      </c>
      <c r="AQ19" s="50">
        <f t="shared" si="7"/>
        <v>0</v>
      </c>
      <c r="AS19" s="66"/>
    </row>
    <row r="20" spans="1:45" s="33" customFormat="1" x14ac:dyDescent="0.2">
      <c r="A20" s="276">
        <v>13</v>
      </c>
      <c r="B20" s="218" t="s">
        <v>48</v>
      </c>
      <c r="C20" s="276">
        <v>1</v>
      </c>
      <c r="D20" s="177">
        <v>11.061999999999999</v>
      </c>
      <c r="E20" s="171">
        <f>C20*D20</f>
        <v>11.06</v>
      </c>
      <c r="F20" s="154">
        <f>E20*12</f>
        <v>132.69999999999999</v>
      </c>
      <c r="G20" s="154"/>
      <c r="H20" s="154">
        <v>1.8</v>
      </c>
      <c r="I20" s="154"/>
      <c r="J20" s="154"/>
      <c r="K20" s="154">
        <f>F20*0.35</f>
        <v>46.4</v>
      </c>
      <c r="L20" s="154">
        <f t="shared" si="4"/>
        <v>44.9</v>
      </c>
      <c r="M20" s="154">
        <f>F20+G20+H20+I20+J20+K20+L20</f>
        <v>225.8</v>
      </c>
      <c r="N20" s="171">
        <v>0.47</v>
      </c>
      <c r="O20" s="154">
        <f>M20*N20</f>
        <v>106.1</v>
      </c>
      <c r="P20" s="154">
        <f>M20+O20</f>
        <v>331.9</v>
      </c>
      <c r="Q20" s="154">
        <f>P20*0.8</f>
        <v>265.5</v>
      </c>
      <c r="R20" s="154">
        <f>P20*0.8</f>
        <v>265.5</v>
      </c>
      <c r="S20" s="154">
        <f>(P20+Q20+R20)*0.032</f>
        <v>27.6</v>
      </c>
      <c r="T20" s="154">
        <f>P20+Q20+R20+S20</f>
        <v>890.5</v>
      </c>
      <c r="U20" s="1425"/>
      <c r="V20" s="154">
        <f t="shared" si="5"/>
        <v>890.5</v>
      </c>
      <c r="W20" s="154">
        <f>AQ20</f>
        <v>268.2</v>
      </c>
      <c r="X20" s="54">
        <v>1</v>
      </c>
      <c r="Y20" s="24">
        <v>30</v>
      </c>
      <c r="Z20" s="48">
        <f>X20*Y20</f>
        <v>30</v>
      </c>
      <c r="AA20" s="54"/>
      <c r="AB20" s="24">
        <v>15</v>
      </c>
      <c r="AC20" s="48">
        <f>AA20*AB20</f>
        <v>0</v>
      </c>
      <c r="AD20" s="54"/>
      <c r="AE20" s="24">
        <v>30</v>
      </c>
      <c r="AF20" s="48">
        <f>AD20*AE20</f>
        <v>0</v>
      </c>
      <c r="AG20" s="276">
        <f t="shared" si="0"/>
        <v>9</v>
      </c>
      <c r="AH20" s="48">
        <f t="shared" si="1"/>
        <v>39</v>
      </c>
      <c r="AI20" s="34">
        <f t="shared" si="2"/>
        <v>74208.3</v>
      </c>
      <c r="AJ20" s="220"/>
      <c r="AK20" s="216">
        <f t="shared" si="3"/>
        <v>890.5</v>
      </c>
      <c r="AL20" s="216">
        <f t="shared" si="6"/>
        <v>279.60000000000002</v>
      </c>
      <c r="AM20" s="217">
        <f>AL20/AK20</f>
        <v>0.314</v>
      </c>
      <c r="AN20" s="50">
        <f>AK20*0.22</f>
        <v>195.9</v>
      </c>
      <c r="AO20" s="50">
        <f>865*0.029</f>
        <v>25.1</v>
      </c>
      <c r="AP20" s="50">
        <f>AK20*0.053</f>
        <v>47.2</v>
      </c>
      <c r="AQ20" s="50">
        <f t="shared" si="7"/>
        <v>268.2</v>
      </c>
      <c r="AS20" s="66"/>
    </row>
    <row r="21" spans="1:45" s="33" customFormat="1" ht="25.5" x14ac:dyDescent="0.2">
      <c r="A21" s="276">
        <v>14</v>
      </c>
      <c r="B21" s="218" t="s">
        <v>31</v>
      </c>
      <c r="C21" s="276">
        <v>5</v>
      </c>
      <c r="D21" s="177">
        <v>11.061999999999999</v>
      </c>
      <c r="E21" s="171">
        <f>C21*D21</f>
        <v>55.31</v>
      </c>
      <c r="F21" s="154">
        <f>E21*12</f>
        <v>663.7</v>
      </c>
      <c r="G21" s="154"/>
      <c r="H21" s="154">
        <f>40.443+1.617+1.078</f>
        <v>43.1</v>
      </c>
      <c r="I21" s="154"/>
      <c r="J21" s="154"/>
      <c r="K21" s="154">
        <f>D21*0.4*4*12+D21*0.35*12+D21*0.05*3</f>
        <v>260.5</v>
      </c>
      <c r="L21" s="154">
        <f t="shared" si="4"/>
        <v>224.6</v>
      </c>
      <c r="M21" s="154">
        <f>F21+G21+H21+I21+J21+K21+L21</f>
        <v>1191.9000000000001</v>
      </c>
      <c r="N21" s="171">
        <v>0.47</v>
      </c>
      <c r="O21" s="154">
        <f>M21*N21</f>
        <v>560.20000000000005</v>
      </c>
      <c r="P21" s="154">
        <f>M21+O21</f>
        <v>1752.1</v>
      </c>
      <c r="Q21" s="154">
        <f>P21*0.8</f>
        <v>1401.7</v>
      </c>
      <c r="R21" s="154">
        <f>P21*0.8</f>
        <v>1401.7</v>
      </c>
      <c r="S21" s="154">
        <f>(P21+Q21+R21)*0.032</f>
        <v>145.80000000000001</v>
      </c>
      <c r="T21" s="154">
        <f>P21+Q21+R21+S21</f>
        <v>4701.3</v>
      </c>
      <c r="U21" s="1425"/>
      <c r="V21" s="154">
        <f t="shared" si="5"/>
        <v>4701.3</v>
      </c>
      <c r="W21" s="154">
        <f>AQ21*C21</f>
        <v>1409</v>
      </c>
      <c r="X21" s="54">
        <v>4</v>
      </c>
      <c r="Y21" s="24">
        <v>30</v>
      </c>
      <c r="Z21" s="48">
        <f>X21*Y21</f>
        <v>120</v>
      </c>
      <c r="AA21" s="54">
        <v>2</v>
      </c>
      <c r="AB21" s="24">
        <v>15</v>
      </c>
      <c r="AC21" s="48">
        <f>AA21*AB21</f>
        <v>30</v>
      </c>
      <c r="AD21" s="54">
        <v>1</v>
      </c>
      <c r="AE21" s="24">
        <v>30</v>
      </c>
      <c r="AF21" s="48">
        <f>AD21*AE21</f>
        <v>30</v>
      </c>
      <c r="AG21" s="276">
        <f t="shared" si="0"/>
        <v>54</v>
      </c>
      <c r="AH21" s="48">
        <f t="shared" si="1"/>
        <v>234</v>
      </c>
      <c r="AI21" s="34">
        <f t="shared" si="2"/>
        <v>78355</v>
      </c>
      <c r="AJ21" s="220"/>
      <c r="AK21" s="216">
        <f t="shared" si="3"/>
        <v>940.3</v>
      </c>
      <c r="AL21" s="216">
        <f t="shared" si="6"/>
        <v>288.60000000000002</v>
      </c>
      <c r="AM21" s="217">
        <v>0.30199999999999999</v>
      </c>
      <c r="AN21" s="211">
        <f>AK21*0.22</f>
        <v>206.86600000000001</v>
      </c>
      <c r="AO21" s="50">
        <f>865*0.029</f>
        <v>25.1</v>
      </c>
      <c r="AP21" s="50">
        <f>AK21*0.053</f>
        <v>49.8</v>
      </c>
      <c r="AQ21" s="50">
        <f>SUM(AN21:AP21)</f>
        <v>281.8</v>
      </c>
      <c r="AS21" s="66"/>
    </row>
    <row r="22" spans="1:45" s="33" customFormat="1" ht="25.5" x14ac:dyDescent="0.2">
      <c r="A22" s="276">
        <v>15</v>
      </c>
      <c r="B22" s="218" t="s">
        <v>110</v>
      </c>
      <c r="C22" s="276">
        <v>1</v>
      </c>
      <c r="D22" s="177">
        <v>6.2859999999999996</v>
      </c>
      <c r="E22" s="171">
        <f>C22*D22</f>
        <v>6.29</v>
      </c>
      <c r="F22" s="154">
        <f>E22*12</f>
        <v>75.5</v>
      </c>
      <c r="G22" s="154"/>
      <c r="H22" s="154"/>
      <c r="I22" s="154"/>
      <c r="J22" s="154"/>
      <c r="K22" s="154">
        <f>F22*0.2</f>
        <v>15.1</v>
      </c>
      <c r="L22" s="154">
        <f t="shared" si="4"/>
        <v>25.5</v>
      </c>
      <c r="M22" s="154">
        <f>F22+G22+H22+I22+J22+K22+L22</f>
        <v>116.1</v>
      </c>
      <c r="N22" s="171">
        <v>0.45</v>
      </c>
      <c r="O22" s="154">
        <f>M22*N22</f>
        <v>52.2</v>
      </c>
      <c r="P22" s="154">
        <f>M22+O22</f>
        <v>168.3</v>
      </c>
      <c r="Q22" s="154">
        <f>P22*0.8</f>
        <v>134.6</v>
      </c>
      <c r="R22" s="154">
        <f>P22*0.8</f>
        <v>134.6</v>
      </c>
      <c r="S22" s="154">
        <f>(P22+Q22+R22)*0.032</f>
        <v>14</v>
      </c>
      <c r="T22" s="154">
        <f>P22+Q22+R22+S22</f>
        <v>451.5</v>
      </c>
      <c r="U22" s="1425"/>
      <c r="V22" s="154">
        <f t="shared" si="5"/>
        <v>451.5</v>
      </c>
      <c r="W22" s="154">
        <f t="shared" ref="W22:W51" si="20">V22*0.302</f>
        <v>136.4</v>
      </c>
      <c r="X22" s="54">
        <v>1</v>
      </c>
      <c r="Y22" s="24">
        <v>30</v>
      </c>
      <c r="Z22" s="48">
        <f>X22*Y22</f>
        <v>30</v>
      </c>
      <c r="AA22" s="54"/>
      <c r="AB22" s="24">
        <v>15</v>
      </c>
      <c r="AC22" s="48">
        <f>AA22*AB22</f>
        <v>0</v>
      </c>
      <c r="AD22" s="54"/>
      <c r="AE22" s="24">
        <v>30</v>
      </c>
      <c r="AF22" s="48">
        <f>AD22*AE22</f>
        <v>0</v>
      </c>
      <c r="AG22" s="276">
        <f t="shared" si="0"/>
        <v>9</v>
      </c>
      <c r="AH22" s="48">
        <f t="shared" si="1"/>
        <v>39</v>
      </c>
      <c r="AI22" s="34">
        <f t="shared" si="2"/>
        <v>37625</v>
      </c>
      <c r="AJ22" s="220"/>
      <c r="AK22" s="216">
        <f t="shared" si="3"/>
        <v>451.5</v>
      </c>
      <c r="AL22" s="216">
        <f t="shared" si="6"/>
        <v>199.7</v>
      </c>
      <c r="AM22" s="217">
        <v>0.30199999999999999</v>
      </c>
      <c r="AN22" s="211"/>
      <c r="AO22" s="211"/>
      <c r="AP22" s="211"/>
      <c r="AQ22" s="50">
        <f t="shared" si="7"/>
        <v>0</v>
      </c>
      <c r="AS22" s="66"/>
    </row>
    <row r="23" spans="1:45" x14ac:dyDescent="0.2">
      <c r="A23" s="276">
        <v>16</v>
      </c>
      <c r="B23" s="218" t="s">
        <v>49</v>
      </c>
      <c r="C23" s="54">
        <v>1</v>
      </c>
      <c r="D23" s="177">
        <v>8.4730000000000008</v>
      </c>
      <c r="E23" s="171">
        <f>C23*D23</f>
        <v>8.4700000000000006</v>
      </c>
      <c r="F23" s="154">
        <f t="shared" ref="F23:F41" si="21">E23*12</f>
        <v>101.6</v>
      </c>
      <c r="G23" s="154"/>
      <c r="H23" s="154">
        <v>3.7</v>
      </c>
      <c r="I23" s="154"/>
      <c r="J23" s="154">
        <f>F23*0.1</f>
        <v>10.199999999999999</v>
      </c>
      <c r="K23" s="154">
        <f>F23*0.3</f>
        <v>30.5</v>
      </c>
      <c r="L23" s="154">
        <f t="shared" si="4"/>
        <v>34.4</v>
      </c>
      <c r="M23" s="154">
        <f t="shared" ref="M23:M41" si="22">F23+G23+H23+I23+J23+K23+L23</f>
        <v>180.4</v>
      </c>
      <c r="N23" s="171">
        <v>0.41</v>
      </c>
      <c r="O23" s="154">
        <f t="shared" ref="O23:O41" si="23">M23*N23</f>
        <v>74</v>
      </c>
      <c r="P23" s="154">
        <f t="shared" ref="P23:P41" si="24">M23+O23</f>
        <v>254.4</v>
      </c>
      <c r="Q23" s="154">
        <f t="shared" ref="Q23:Q41" si="25">P23*0.8</f>
        <v>203.5</v>
      </c>
      <c r="R23" s="154">
        <f t="shared" ref="R23:R41" si="26">P23*0.8</f>
        <v>203.5</v>
      </c>
      <c r="S23" s="154">
        <f t="shared" ref="S23:S41" si="27">(P23+Q23+R23)*0.032</f>
        <v>21.2</v>
      </c>
      <c r="T23" s="154">
        <f t="shared" ref="T23:T41" si="28">P23+Q23+R23+S23</f>
        <v>682.6</v>
      </c>
      <c r="U23" s="1425"/>
      <c r="V23" s="154">
        <f t="shared" si="5"/>
        <v>682.6</v>
      </c>
      <c r="W23" s="154">
        <f t="shared" si="20"/>
        <v>206.1</v>
      </c>
      <c r="X23" s="276">
        <v>1</v>
      </c>
      <c r="Y23" s="24">
        <v>30</v>
      </c>
      <c r="Z23" s="48">
        <f>X23*Y23</f>
        <v>30</v>
      </c>
      <c r="AA23" s="54">
        <v>1</v>
      </c>
      <c r="AB23" s="24">
        <v>15</v>
      </c>
      <c r="AC23" s="48">
        <f>AA23*AB23</f>
        <v>15</v>
      </c>
      <c r="AD23" s="54"/>
      <c r="AE23" s="24">
        <v>30</v>
      </c>
      <c r="AF23" s="48">
        <f>AD23*AE23</f>
        <v>0</v>
      </c>
      <c r="AG23" s="276">
        <f t="shared" si="0"/>
        <v>13.5</v>
      </c>
      <c r="AH23" s="48">
        <f t="shared" si="1"/>
        <v>58.5</v>
      </c>
      <c r="AI23" s="34">
        <f t="shared" si="2"/>
        <v>56883.3</v>
      </c>
      <c r="AJ23" s="34"/>
      <c r="AK23" s="216">
        <f t="shared" si="3"/>
        <v>682.6</v>
      </c>
      <c r="AL23" s="216">
        <f t="shared" si="6"/>
        <v>241.7</v>
      </c>
      <c r="AM23" s="217">
        <v>0.30199999999999999</v>
      </c>
      <c r="AQ23" s="50">
        <f t="shared" si="7"/>
        <v>0</v>
      </c>
      <c r="AS23" s="66"/>
    </row>
    <row r="24" spans="1:45" x14ac:dyDescent="0.2">
      <c r="A24" s="276">
        <v>17</v>
      </c>
      <c r="B24" s="218" t="s">
        <v>50</v>
      </c>
      <c r="C24" s="54">
        <v>1</v>
      </c>
      <c r="D24" s="177">
        <v>8.4730000000000008</v>
      </c>
      <c r="E24" s="171">
        <f>C24*D24</f>
        <v>8.4700000000000006</v>
      </c>
      <c r="F24" s="154">
        <f t="shared" si="21"/>
        <v>101.6</v>
      </c>
      <c r="G24" s="154"/>
      <c r="H24" s="154">
        <v>0.4</v>
      </c>
      <c r="I24" s="154"/>
      <c r="J24" s="154">
        <f>F24*0.1</f>
        <v>10.199999999999999</v>
      </c>
      <c r="K24" s="154">
        <f>F24*0.4</f>
        <v>40.6</v>
      </c>
      <c r="L24" s="154">
        <f t="shared" si="4"/>
        <v>34.4</v>
      </c>
      <c r="M24" s="154">
        <f t="shared" si="22"/>
        <v>187.2</v>
      </c>
      <c r="N24" s="171">
        <v>0.41</v>
      </c>
      <c r="O24" s="154">
        <f t="shared" si="23"/>
        <v>76.8</v>
      </c>
      <c r="P24" s="154">
        <f t="shared" si="24"/>
        <v>264</v>
      </c>
      <c r="Q24" s="154">
        <f t="shared" si="25"/>
        <v>211.2</v>
      </c>
      <c r="R24" s="154">
        <f t="shared" si="26"/>
        <v>211.2</v>
      </c>
      <c r="S24" s="154">
        <f t="shared" si="27"/>
        <v>22</v>
      </c>
      <c r="T24" s="154">
        <f t="shared" si="28"/>
        <v>708.4</v>
      </c>
      <c r="U24" s="1425"/>
      <c r="V24" s="154">
        <f t="shared" si="5"/>
        <v>708.4</v>
      </c>
      <c r="W24" s="154">
        <f t="shared" si="20"/>
        <v>213.9</v>
      </c>
      <c r="X24" s="276"/>
      <c r="Y24" s="24">
        <v>30</v>
      </c>
      <c r="Z24" s="48">
        <f>X24*Y24</f>
        <v>0</v>
      </c>
      <c r="AA24" s="54"/>
      <c r="AB24" s="24">
        <v>15</v>
      </c>
      <c r="AC24" s="48">
        <f>AA24*AB24</f>
        <v>0</v>
      </c>
      <c r="AD24" s="54"/>
      <c r="AE24" s="24">
        <v>30</v>
      </c>
      <c r="AF24" s="48">
        <f>AD24*AE24</f>
        <v>0</v>
      </c>
      <c r="AG24" s="276">
        <f t="shared" si="0"/>
        <v>0</v>
      </c>
      <c r="AH24" s="48">
        <f t="shared" si="1"/>
        <v>0</v>
      </c>
      <c r="AI24" s="34">
        <f t="shared" si="2"/>
        <v>59033.3</v>
      </c>
      <c r="AJ24" s="34"/>
      <c r="AK24" s="216">
        <f t="shared" si="3"/>
        <v>708.4</v>
      </c>
      <c r="AL24" s="216">
        <f t="shared" si="6"/>
        <v>246.4</v>
      </c>
      <c r="AM24" s="217">
        <v>0.30199999999999999</v>
      </c>
      <c r="AQ24" s="50">
        <f t="shared" si="7"/>
        <v>0</v>
      </c>
      <c r="AS24" s="66"/>
    </row>
    <row r="25" spans="1:45" ht="25.5" x14ac:dyDescent="0.2">
      <c r="A25" s="276">
        <v>18</v>
      </c>
      <c r="B25" s="218" t="s">
        <v>51</v>
      </c>
      <c r="C25" s="54">
        <v>1</v>
      </c>
      <c r="D25" s="177">
        <v>8.4730000000000008</v>
      </c>
      <c r="E25" s="171">
        <f t="shared" ref="E25:E40" si="29">C25*D25</f>
        <v>8.4700000000000006</v>
      </c>
      <c r="F25" s="154">
        <f t="shared" si="21"/>
        <v>101.6</v>
      </c>
      <c r="G25" s="154"/>
      <c r="H25" s="154">
        <v>2.1</v>
      </c>
      <c r="I25" s="154"/>
      <c r="J25" s="154">
        <f>F25*0.1</f>
        <v>10.199999999999999</v>
      </c>
      <c r="K25" s="154">
        <f>F25*0.4</f>
        <v>40.6</v>
      </c>
      <c r="L25" s="154">
        <f t="shared" si="4"/>
        <v>34.4</v>
      </c>
      <c r="M25" s="154">
        <f t="shared" si="22"/>
        <v>188.9</v>
      </c>
      <c r="N25" s="171">
        <v>0.41</v>
      </c>
      <c r="O25" s="154">
        <f t="shared" si="23"/>
        <v>77.400000000000006</v>
      </c>
      <c r="P25" s="154">
        <f t="shared" si="24"/>
        <v>266.3</v>
      </c>
      <c r="Q25" s="154">
        <f t="shared" si="25"/>
        <v>213</v>
      </c>
      <c r="R25" s="154">
        <f t="shared" si="26"/>
        <v>213</v>
      </c>
      <c r="S25" s="154">
        <f t="shared" si="27"/>
        <v>22.2</v>
      </c>
      <c r="T25" s="154">
        <f t="shared" si="28"/>
        <v>714.5</v>
      </c>
      <c r="U25" s="1425"/>
      <c r="V25" s="154">
        <f t="shared" si="5"/>
        <v>714.5</v>
      </c>
      <c r="W25" s="154">
        <f t="shared" si="20"/>
        <v>215.8</v>
      </c>
      <c r="X25" s="276">
        <v>1</v>
      </c>
      <c r="Y25" s="24">
        <v>30</v>
      </c>
      <c r="Z25" s="48">
        <f t="shared" ref="Z25:Z38" si="30">X25*Y25</f>
        <v>30</v>
      </c>
      <c r="AA25" s="54"/>
      <c r="AB25" s="24">
        <v>15</v>
      </c>
      <c r="AC25" s="48">
        <f t="shared" ref="AC25:AC38" si="31">AA25*AB25</f>
        <v>0</v>
      </c>
      <c r="AD25" s="54"/>
      <c r="AE25" s="24">
        <v>30</v>
      </c>
      <c r="AF25" s="48">
        <f t="shared" ref="AF25:AF41" si="32">AD25*AE25</f>
        <v>0</v>
      </c>
      <c r="AG25" s="276">
        <f t="shared" si="0"/>
        <v>9</v>
      </c>
      <c r="AH25" s="48">
        <f t="shared" si="1"/>
        <v>39</v>
      </c>
      <c r="AI25" s="34">
        <f t="shared" si="2"/>
        <v>59541.7</v>
      </c>
      <c r="AJ25" s="34"/>
      <c r="AK25" s="216">
        <f t="shared" si="3"/>
        <v>714.5</v>
      </c>
      <c r="AL25" s="216">
        <f t="shared" si="6"/>
        <v>247.5</v>
      </c>
      <c r="AM25" s="217">
        <v>0.30199999999999999</v>
      </c>
      <c r="AQ25" s="50">
        <f t="shared" si="7"/>
        <v>0</v>
      </c>
      <c r="AS25" s="66"/>
    </row>
    <row r="26" spans="1:45" x14ac:dyDescent="0.2">
      <c r="A26" s="276">
        <v>19</v>
      </c>
      <c r="B26" s="218" t="s">
        <v>52</v>
      </c>
      <c r="C26" s="54">
        <v>1</v>
      </c>
      <c r="D26" s="177">
        <v>8.4730000000000008</v>
      </c>
      <c r="E26" s="171">
        <f t="shared" si="29"/>
        <v>8.4700000000000006</v>
      </c>
      <c r="F26" s="154">
        <f t="shared" si="21"/>
        <v>101.6</v>
      </c>
      <c r="G26" s="154"/>
      <c r="H26" s="154">
        <v>1.4</v>
      </c>
      <c r="I26" s="154"/>
      <c r="J26" s="154"/>
      <c r="K26" s="154">
        <f>D26*0.25*7.7+D26*0.3*4.3</f>
        <v>27.2</v>
      </c>
      <c r="L26" s="154">
        <f t="shared" si="4"/>
        <v>34.4</v>
      </c>
      <c r="M26" s="154">
        <f t="shared" si="22"/>
        <v>164.6</v>
      </c>
      <c r="N26" s="171">
        <v>0.41</v>
      </c>
      <c r="O26" s="154">
        <f t="shared" si="23"/>
        <v>67.5</v>
      </c>
      <c r="P26" s="154">
        <f t="shared" si="24"/>
        <v>232.1</v>
      </c>
      <c r="Q26" s="154">
        <f t="shared" si="25"/>
        <v>185.7</v>
      </c>
      <c r="R26" s="154">
        <f t="shared" si="26"/>
        <v>185.7</v>
      </c>
      <c r="S26" s="154">
        <f t="shared" si="27"/>
        <v>19.3</v>
      </c>
      <c r="T26" s="154">
        <f t="shared" si="28"/>
        <v>622.79999999999995</v>
      </c>
      <c r="U26" s="1425"/>
      <c r="V26" s="154">
        <f t="shared" si="5"/>
        <v>622.79999999999995</v>
      </c>
      <c r="W26" s="154">
        <f t="shared" si="20"/>
        <v>188.1</v>
      </c>
      <c r="X26" s="276">
        <v>1</v>
      </c>
      <c r="Y26" s="24">
        <v>30</v>
      </c>
      <c r="Z26" s="48">
        <f t="shared" si="30"/>
        <v>30</v>
      </c>
      <c r="AA26" s="54"/>
      <c r="AB26" s="24">
        <v>15</v>
      </c>
      <c r="AC26" s="48">
        <f t="shared" si="31"/>
        <v>0</v>
      </c>
      <c r="AD26" s="54"/>
      <c r="AE26" s="24">
        <v>30</v>
      </c>
      <c r="AF26" s="48">
        <f t="shared" si="32"/>
        <v>0</v>
      </c>
      <c r="AG26" s="276">
        <f t="shared" si="0"/>
        <v>9</v>
      </c>
      <c r="AH26" s="48">
        <f t="shared" si="1"/>
        <v>39</v>
      </c>
      <c r="AI26" s="34">
        <f t="shared" si="2"/>
        <v>51900</v>
      </c>
      <c r="AJ26" s="34"/>
      <c r="AK26" s="216">
        <f t="shared" si="3"/>
        <v>622.79999999999995</v>
      </c>
      <c r="AL26" s="216">
        <f t="shared" si="6"/>
        <v>230.8</v>
      </c>
      <c r="AM26" s="217">
        <v>0.30199999999999999</v>
      </c>
      <c r="AQ26" s="50">
        <f t="shared" si="7"/>
        <v>0</v>
      </c>
      <c r="AS26" s="66"/>
    </row>
    <row r="27" spans="1:45" ht="26.25" customHeight="1" x14ac:dyDescent="0.2">
      <c r="A27" s="276">
        <v>20</v>
      </c>
      <c r="B27" s="218" t="s">
        <v>53</v>
      </c>
      <c r="C27" s="49">
        <f>1-0.5</f>
        <v>0.5</v>
      </c>
      <c r="D27" s="177">
        <v>8.4730000000000008</v>
      </c>
      <c r="E27" s="171">
        <f t="shared" si="29"/>
        <v>4.24</v>
      </c>
      <c r="F27" s="154">
        <f t="shared" si="21"/>
        <v>50.9</v>
      </c>
      <c r="G27" s="154"/>
      <c r="H27" s="154"/>
      <c r="I27" s="154"/>
      <c r="J27" s="154"/>
      <c r="K27" s="154"/>
      <c r="L27" s="154">
        <f t="shared" si="4"/>
        <v>17.2</v>
      </c>
      <c r="M27" s="154">
        <f t="shared" si="22"/>
        <v>68.099999999999994</v>
      </c>
      <c r="N27" s="171">
        <v>0.41</v>
      </c>
      <c r="O27" s="154">
        <f t="shared" si="23"/>
        <v>27.9</v>
      </c>
      <c r="P27" s="154">
        <f t="shared" si="24"/>
        <v>96</v>
      </c>
      <c r="Q27" s="154">
        <f t="shared" si="25"/>
        <v>76.8</v>
      </c>
      <c r="R27" s="154">
        <f t="shared" si="26"/>
        <v>76.8</v>
      </c>
      <c r="S27" s="154">
        <f t="shared" si="27"/>
        <v>8</v>
      </c>
      <c r="T27" s="154">
        <f t="shared" si="28"/>
        <v>257.60000000000002</v>
      </c>
      <c r="U27" s="1425"/>
      <c r="V27" s="154">
        <f t="shared" si="5"/>
        <v>257.60000000000002</v>
      </c>
      <c r="W27" s="154">
        <f t="shared" si="20"/>
        <v>77.8</v>
      </c>
      <c r="X27" s="276"/>
      <c r="Y27" s="24">
        <v>30</v>
      </c>
      <c r="Z27" s="48">
        <f t="shared" si="30"/>
        <v>0</v>
      </c>
      <c r="AA27" s="54"/>
      <c r="AB27" s="24">
        <v>15</v>
      </c>
      <c r="AC27" s="48">
        <f t="shared" si="31"/>
        <v>0</v>
      </c>
      <c r="AD27" s="54"/>
      <c r="AE27" s="24">
        <v>30</v>
      </c>
      <c r="AF27" s="48">
        <f t="shared" si="32"/>
        <v>0</v>
      </c>
      <c r="AG27" s="276">
        <f t="shared" si="0"/>
        <v>0</v>
      </c>
      <c r="AH27" s="48">
        <f t="shared" si="1"/>
        <v>0</v>
      </c>
      <c r="AI27" s="34">
        <f t="shared" si="2"/>
        <v>42933.3</v>
      </c>
      <c r="AJ27" s="34"/>
      <c r="AK27" s="216">
        <f t="shared" si="3"/>
        <v>515.20000000000005</v>
      </c>
      <c r="AL27" s="216">
        <f t="shared" si="6"/>
        <v>211.2</v>
      </c>
      <c r="AM27" s="217">
        <v>0.30199999999999999</v>
      </c>
      <c r="AQ27" s="50">
        <f t="shared" si="7"/>
        <v>0</v>
      </c>
      <c r="AS27" s="66"/>
    </row>
    <row r="28" spans="1:45" x14ac:dyDescent="0.2">
      <c r="A28" s="276">
        <v>21</v>
      </c>
      <c r="B28" s="218" t="s">
        <v>54</v>
      </c>
      <c r="C28" s="54">
        <v>1</v>
      </c>
      <c r="D28" s="177">
        <v>11.061999999999999</v>
      </c>
      <c r="E28" s="171">
        <f t="shared" si="29"/>
        <v>11.06</v>
      </c>
      <c r="F28" s="154">
        <f t="shared" si="21"/>
        <v>132.69999999999999</v>
      </c>
      <c r="G28" s="154"/>
      <c r="H28" s="154">
        <v>3.2</v>
      </c>
      <c r="I28" s="154"/>
      <c r="J28" s="154">
        <f>F28*0.1</f>
        <v>13.3</v>
      </c>
      <c r="K28" s="154">
        <f>F28*0.3</f>
        <v>39.799999999999997</v>
      </c>
      <c r="L28" s="154">
        <f t="shared" si="4"/>
        <v>44.9</v>
      </c>
      <c r="M28" s="154">
        <f t="shared" si="22"/>
        <v>233.9</v>
      </c>
      <c r="N28" s="171">
        <v>0.43</v>
      </c>
      <c r="O28" s="154">
        <f t="shared" si="23"/>
        <v>100.6</v>
      </c>
      <c r="P28" s="154">
        <f t="shared" si="24"/>
        <v>334.5</v>
      </c>
      <c r="Q28" s="154">
        <f t="shared" si="25"/>
        <v>267.60000000000002</v>
      </c>
      <c r="R28" s="154">
        <f t="shared" si="26"/>
        <v>267.60000000000002</v>
      </c>
      <c r="S28" s="154">
        <f t="shared" si="27"/>
        <v>27.8</v>
      </c>
      <c r="T28" s="154">
        <f t="shared" si="28"/>
        <v>897.5</v>
      </c>
      <c r="U28" s="1425"/>
      <c r="V28" s="154">
        <f t="shared" si="5"/>
        <v>897.5</v>
      </c>
      <c r="W28" s="154">
        <f>AQ28</f>
        <v>270.2</v>
      </c>
      <c r="X28" s="276"/>
      <c r="Y28" s="24">
        <v>30</v>
      </c>
      <c r="Z28" s="48">
        <f t="shared" si="30"/>
        <v>0</v>
      </c>
      <c r="AA28" s="54"/>
      <c r="AB28" s="24">
        <v>15</v>
      </c>
      <c r="AC28" s="48">
        <f t="shared" si="31"/>
        <v>0</v>
      </c>
      <c r="AD28" s="54"/>
      <c r="AE28" s="24">
        <v>30</v>
      </c>
      <c r="AF28" s="48">
        <f t="shared" si="32"/>
        <v>0</v>
      </c>
      <c r="AG28" s="276">
        <f t="shared" si="0"/>
        <v>0</v>
      </c>
      <c r="AH28" s="48">
        <f>Z28+AC28+AF28+AG28</f>
        <v>0</v>
      </c>
      <c r="AI28" s="34">
        <f t="shared" si="2"/>
        <v>74791.7</v>
      </c>
      <c r="AJ28" s="34"/>
      <c r="AK28" s="216">
        <f t="shared" si="3"/>
        <v>897.5</v>
      </c>
      <c r="AL28" s="216">
        <f t="shared" si="6"/>
        <v>280.8</v>
      </c>
      <c r="AM28" s="217">
        <v>0.30199999999999999</v>
      </c>
      <c r="AN28" s="221">
        <f>AK28*0.22</f>
        <v>197.5</v>
      </c>
      <c r="AO28" s="50">
        <f>865*0.029</f>
        <v>25.1</v>
      </c>
      <c r="AP28" s="50">
        <f>AK28*0.053</f>
        <v>47.6</v>
      </c>
      <c r="AQ28" s="50">
        <f t="shared" si="7"/>
        <v>270.2</v>
      </c>
      <c r="AS28" s="66"/>
    </row>
    <row r="29" spans="1:45" x14ac:dyDescent="0.2">
      <c r="A29" s="276">
        <v>22</v>
      </c>
      <c r="B29" s="218" t="s">
        <v>40</v>
      </c>
      <c r="C29" s="54">
        <v>2</v>
      </c>
      <c r="D29" s="177">
        <v>11.061999999999999</v>
      </c>
      <c r="E29" s="171">
        <f t="shared" si="29"/>
        <v>22.12</v>
      </c>
      <c r="F29" s="154">
        <f t="shared" si="21"/>
        <v>265.39999999999998</v>
      </c>
      <c r="G29" s="154"/>
      <c r="H29" s="154">
        <v>3.2</v>
      </c>
      <c r="I29" s="154"/>
      <c r="J29" s="154"/>
      <c r="K29" s="154">
        <f>D29*0.4*12+D29*0.35*12</f>
        <v>99.6</v>
      </c>
      <c r="L29" s="154">
        <f t="shared" si="4"/>
        <v>89.8</v>
      </c>
      <c r="M29" s="154">
        <f t="shared" si="22"/>
        <v>458</v>
      </c>
      <c r="N29" s="171">
        <v>0.43</v>
      </c>
      <c r="O29" s="154">
        <f t="shared" si="23"/>
        <v>196.9</v>
      </c>
      <c r="P29" s="154">
        <f t="shared" si="24"/>
        <v>654.9</v>
      </c>
      <c r="Q29" s="154">
        <f t="shared" si="25"/>
        <v>523.9</v>
      </c>
      <c r="R29" s="154">
        <f t="shared" si="26"/>
        <v>523.9</v>
      </c>
      <c r="S29" s="154">
        <f t="shared" si="27"/>
        <v>54.5</v>
      </c>
      <c r="T29" s="154">
        <f t="shared" si="28"/>
        <v>1757.2</v>
      </c>
      <c r="U29" s="1425"/>
      <c r="V29" s="154">
        <f t="shared" si="5"/>
        <v>1757.2</v>
      </c>
      <c r="W29" s="154">
        <f>AQ29*C29</f>
        <v>530</v>
      </c>
      <c r="X29" s="276">
        <v>1</v>
      </c>
      <c r="Y29" s="24">
        <v>30</v>
      </c>
      <c r="Z29" s="48">
        <f t="shared" si="30"/>
        <v>30</v>
      </c>
      <c r="AA29" s="54">
        <v>2</v>
      </c>
      <c r="AB29" s="24">
        <v>15</v>
      </c>
      <c r="AC29" s="48">
        <f t="shared" si="31"/>
        <v>30</v>
      </c>
      <c r="AD29" s="54"/>
      <c r="AE29" s="24">
        <v>30</v>
      </c>
      <c r="AF29" s="48">
        <f t="shared" si="32"/>
        <v>0</v>
      </c>
      <c r="AG29" s="276">
        <f t="shared" si="0"/>
        <v>18</v>
      </c>
      <c r="AH29" s="48">
        <f t="shared" ref="AH29:AH41" si="33">Z29+AC29+AF29+AG29</f>
        <v>78</v>
      </c>
      <c r="AI29" s="34">
        <f t="shared" si="2"/>
        <v>73216.7</v>
      </c>
      <c r="AJ29" s="34"/>
      <c r="AK29" s="216">
        <f t="shared" si="3"/>
        <v>878.6</v>
      </c>
      <c r="AL29" s="216">
        <f t="shared" si="6"/>
        <v>277.39999999999998</v>
      </c>
      <c r="AM29" s="217">
        <v>0.30199999999999999</v>
      </c>
      <c r="AN29" s="221">
        <f>AK29*0.22</f>
        <v>193.3</v>
      </c>
      <c r="AO29" s="50">
        <f>865*0.029</f>
        <v>25.1</v>
      </c>
      <c r="AP29" s="50">
        <f>AK29*0.053</f>
        <v>46.6</v>
      </c>
      <c r="AQ29" s="50">
        <f t="shared" si="7"/>
        <v>265</v>
      </c>
      <c r="AS29" s="66"/>
    </row>
    <row r="30" spans="1:45" x14ac:dyDescent="0.2">
      <c r="A30" s="276">
        <v>23</v>
      </c>
      <c r="B30" s="218" t="s">
        <v>55</v>
      </c>
      <c r="C30" s="54">
        <v>1</v>
      </c>
      <c r="D30" s="213">
        <v>8.4730000000000008</v>
      </c>
      <c r="E30" s="171">
        <f t="shared" si="29"/>
        <v>8.4700000000000006</v>
      </c>
      <c r="F30" s="154">
        <f t="shared" si="21"/>
        <v>101.6</v>
      </c>
      <c r="G30" s="154"/>
      <c r="H30" s="154">
        <v>2.1</v>
      </c>
      <c r="I30" s="154"/>
      <c r="J30" s="154">
        <f>F30*0.1</f>
        <v>10.199999999999999</v>
      </c>
      <c r="K30" s="154">
        <f>D30*0.3*12</f>
        <v>30.5</v>
      </c>
      <c r="L30" s="154">
        <f t="shared" si="4"/>
        <v>34.4</v>
      </c>
      <c r="M30" s="154">
        <f t="shared" si="22"/>
        <v>178.8</v>
      </c>
      <c r="N30" s="171">
        <v>0.41</v>
      </c>
      <c r="O30" s="154">
        <f t="shared" si="23"/>
        <v>73.3</v>
      </c>
      <c r="P30" s="154">
        <f t="shared" si="24"/>
        <v>252.1</v>
      </c>
      <c r="Q30" s="154">
        <f t="shared" si="25"/>
        <v>201.7</v>
      </c>
      <c r="R30" s="154">
        <f t="shared" si="26"/>
        <v>201.7</v>
      </c>
      <c r="S30" s="154">
        <f t="shared" si="27"/>
        <v>21</v>
      </c>
      <c r="T30" s="154">
        <f t="shared" si="28"/>
        <v>676.5</v>
      </c>
      <c r="U30" s="1425"/>
      <c r="V30" s="154">
        <f t="shared" si="5"/>
        <v>676.5</v>
      </c>
      <c r="W30" s="154">
        <f t="shared" si="20"/>
        <v>204.3</v>
      </c>
      <c r="X30" s="276">
        <v>1</v>
      </c>
      <c r="Y30" s="24">
        <v>30</v>
      </c>
      <c r="Z30" s="48">
        <f t="shared" si="30"/>
        <v>30</v>
      </c>
      <c r="AA30" s="54">
        <v>1</v>
      </c>
      <c r="AB30" s="24">
        <v>15</v>
      </c>
      <c r="AC30" s="48">
        <f t="shared" si="31"/>
        <v>15</v>
      </c>
      <c r="AD30" s="54">
        <v>1</v>
      </c>
      <c r="AE30" s="24">
        <v>30</v>
      </c>
      <c r="AF30" s="48">
        <f t="shared" si="32"/>
        <v>30</v>
      </c>
      <c r="AG30" s="276">
        <f t="shared" si="0"/>
        <v>22.5</v>
      </c>
      <c r="AH30" s="48">
        <f t="shared" si="33"/>
        <v>97.5</v>
      </c>
      <c r="AI30" s="34">
        <f t="shared" si="2"/>
        <v>56375</v>
      </c>
      <c r="AJ30" s="34"/>
      <c r="AK30" s="216">
        <f t="shared" si="3"/>
        <v>676.5</v>
      </c>
      <c r="AL30" s="216">
        <f t="shared" si="6"/>
        <v>240.6</v>
      </c>
      <c r="AM30" s="217">
        <f>AL30/AK30</f>
        <v>0.35599999999999998</v>
      </c>
      <c r="AN30" s="222"/>
      <c r="AO30" s="50"/>
      <c r="AP30" s="50"/>
      <c r="AQ30" s="50">
        <f t="shared" si="7"/>
        <v>0</v>
      </c>
      <c r="AS30" s="66"/>
    </row>
    <row r="31" spans="1:45" x14ac:dyDescent="0.2">
      <c r="A31" s="276">
        <v>24</v>
      </c>
      <c r="B31" s="218" t="s">
        <v>29</v>
      </c>
      <c r="C31" s="54">
        <v>3</v>
      </c>
      <c r="D31" s="213">
        <v>8.4730000000000008</v>
      </c>
      <c r="E31" s="171">
        <f t="shared" si="29"/>
        <v>25.42</v>
      </c>
      <c r="F31" s="154">
        <f t="shared" si="21"/>
        <v>305</v>
      </c>
      <c r="G31" s="154"/>
      <c r="H31" s="154">
        <v>61.7</v>
      </c>
      <c r="I31" s="154"/>
      <c r="J31" s="154"/>
      <c r="K31" s="154">
        <f>D31*0.3*12+D31*0.05*2</f>
        <v>31.4</v>
      </c>
      <c r="L31" s="154">
        <f t="shared" si="4"/>
        <v>103.2</v>
      </c>
      <c r="M31" s="154">
        <f t="shared" si="22"/>
        <v>501.3</v>
      </c>
      <c r="N31" s="171">
        <v>0.41</v>
      </c>
      <c r="O31" s="154">
        <f t="shared" si="23"/>
        <v>205.5</v>
      </c>
      <c r="P31" s="154">
        <f t="shared" si="24"/>
        <v>706.8</v>
      </c>
      <c r="Q31" s="154">
        <f t="shared" si="25"/>
        <v>565.4</v>
      </c>
      <c r="R31" s="154">
        <f t="shared" si="26"/>
        <v>565.4</v>
      </c>
      <c r="S31" s="154">
        <f t="shared" si="27"/>
        <v>58.8</v>
      </c>
      <c r="T31" s="154">
        <f t="shared" si="28"/>
        <v>1896.4</v>
      </c>
      <c r="U31" s="1425"/>
      <c r="V31" s="154">
        <f t="shared" si="5"/>
        <v>1896.4</v>
      </c>
      <c r="W31" s="154">
        <f t="shared" si="20"/>
        <v>572.70000000000005</v>
      </c>
      <c r="X31" s="276">
        <v>1</v>
      </c>
      <c r="Y31" s="24">
        <v>30</v>
      </c>
      <c r="Z31" s="48">
        <f t="shared" si="30"/>
        <v>30</v>
      </c>
      <c r="AA31" s="54">
        <v>3</v>
      </c>
      <c r="AB31" s="24">
        <v>15</v>
      </c>
      <c r="AC31" s="48">
        <f t="shared" si="31"/>
        <v>45</v>
      </c>
      <c r="AD31" s="54"/>
      <c r="AE31" s="24">
        <v>30</v>
      </c>
      <c r="AF31" s="48">
        <f t="shared" si="32"/>
        <v>0</v>
      </c>
      <c r="AG31" s="276">
        <f t="shared" si="0"/>
        <v>22.5</v>
      </c>
      <c r="AH31" s="48">
        <f t="shared" si="33"/>
        <v>97.5</v>
      </c>
      <c r="AI31" s="34">
        <f t="shared" si="2"/>
        <v>52677.8</v>
      </c>
      <c r="AJ31" s="34"/>
      <c r="AK31" s="216">
        <f t="shared" si="3"/>
        <v>632.1</v>
      </c>
      <c r="AL31" s="216">
        <f t="shared" si="6"/>
        <v>232.5</v>
      </c>
      <c r="AM31" s="217">
        <v>0.30199999999999999</v>
      </c>
      <c r="AN31" s="223"/>
      <c r="AO31" s="62"/>
      <c r="AP31" s="62"/>
      <c r="AQ31" s="50">
        <f t="shared" si="7"/>
        <v>0</v>
      </c>
      <c r="AS31" s="66"/>
    </row>
    <row r="32" spans="1:45" ht="13.5" customHeight="1" x14ac:dyDescent="0.2">
      <c r="A32" s="276">
        <v>25</v>
      </c>
      <c r="B32" s="218" t="s">
        <v>42</v>
      </c>
      <c r="C32" s="54">
        <v>1</v>
      </c>
      <c r="D32" s="177">
        <v>11.061999999999999</v>
      </c>
      <c r="E32" s="171">
        <f t="shared" si="29"/>
        <v>11.06</v>
      </c>
      <c r="F32" s="154">
        <f t="shared" si="21"/>
        <v>132.69999999999999</v>
      </c>
      <c r="G32" s="154"/>
      <c r="H32" s="154">
        <v>4.8</v>
      </c>
      <c r="I32" s="154"/>
      <c r="J32" s="154">
        <f>F32*0.1</f>
        <v>13.3</v>
      </c>
      <c r="K32" s="154">
        <f>D32*0.25*12</f>
        <v>33.200000000000003</v>
      </c>
      <c r="L32" s="154">
        <f t="shared" si="4"/>
        <v>44.9</v>
      </c>
      <c r="M32" s="154">
        <f t="shared" si="22"/>
        <v>228.9</v>
      </c>
      <c r="N32" s="171">
        <v>0.43</v>
      </c>
      <c r="O32" s="154">
        <f t="shared" si="23"/>
        <v>98.4</v>
      </c>
      <c r="P32" s="154">
        <f t="shared" si="24"/>
        <v>327.3</v>
      </c>
      <c r="Q32" s="154">
        <f t="shared" si="25"/>
        <v>261.8</v>
      </c>
      <c r="R32" s="154">
        <f t="shared" si="26"/>
        <v>261.8</v>
      </c>
      <c r="S32" s="154">
        <f t="shared" si="27"/>
        <v>27.2</v>
      </c>
      <c r="T32" s="154">
        <f t="shared" si="28"/>
        <v>878.1</v>
      </c>
      <c r="U32" s="1425"/>
      <c r="V32" s="154">
        <f t="shared" si="5"/>
        <v>878.1</v>
      </c>
      <c r="W32" s="154">
        <f>AQ32</f>
        <v>264.8</v>
      </c>
      <c r="X32" s="276"/>
      <c r="Y32" s="24">
        <v>30</v>
      </c>
      <c r="Z32" s="48">
        <f t="shared" si="30"/>
        <v>0</v>
      </c>
      <c r="AA32" s="54"/>
      <c r="AB32" s="24">
        <v>15</v>
      </c>
      <c r="AC32" s="48">
        <f t="shared" si="31"/>
        <v>0</v>
      </c>
      <c r="AD32" s="54"/>
      <c r="AE32" s="24">
        <v>30</v>
      </c>
      <c r="AF32" s="48">
        <f t="shared" si="32"/>
        <v>0</v>
      </c>
      <c r="AG32" s="276">
        <f t="shared" si="0"/>
        <v>0</v>
      </c>
      <c r="AH32" s="48">
        <f t="shared" si="33"/>
        <v>0</v>
      </c>
      <c r="AI32" s="34">
        <f t="shared" si="2"/>
        <v>73175</v>
      </c>
      <c r="AJ32" s="34"/>
      <c r="AK32" s="216">
        <f t="shared" si="3"/>
        <v>878.1</v>
      </c>
      <c r="AL32" s="216">
        <f t="shared" si="6"/>
        <v>277.3</v>
      </c>
      <c r="AM32" s="217">
        <v>0.30199999999999999</v>
      </c>
      <c r="AN32" s="221">
        <f>AK32*0.22</f>
        <v>193.2</v>
      </c>
      <c r="AO32" s="50">
        <f>865*0.029</f>
        <v>25.1</v>
      </c>
      <c r="AP32" s="50">
        <f>AK32*0.053</f>
        <v>46.5</v>
      </c>
      <c r="AQ32" s="50">
        <f>SUM(AN32:AP32)</f>
        <v>264.8</v>
      </c>
      <c r="AS32" s="66"/>
    </row>
    <row r="33" spans="1:45" ht="25.5" x14ac:dyDescent="0.2">
      <c r="A33" s="276">
        <v>26</v>
      </c>
      <c r="B33" s="218" t="s">
        <v>108</v>
      </c>
      <c r="C33" s="54">
        <v>4</v>
      </c>
      <c r="D33" s="177">
        <v>8.4730000000000008</v>
      </c>
      <c r="E33" s="171">
        <f t="shared" si="29"/>
        <v>33.89</v>
      </c>
      <c r="F33" s="154">
        <f t="shared" si="21"/>
        <v>406.7</v>
      </c>
      <c r="G33" s="154"/>
      <c r="H33" s="154">
        <v>1.2</v>
      </c>
      <c r="I33" s="154"/>
      <c r="J33" s="154"/>
      <c r="K33" s="154">
        <f>D33*0.4*12+D33*0.35*12</f>
        <v>76.3</v>
      </c>
      <c r="L33" s="154">
        <f t="shared" si="4"/>
        <v>137.6</v>
      </c>
      <c r="M33" s="154">
        <f t="shared" si="22"/>
        <v>621.79999999999995</v>
      </c>
      <c r="N33" s="171">
        <v>0.47</v>
      </c>
      <c r="O33" s="154">
        <f t="shared" si="23"/>
        <v>292.2</v>
      </c>
      <c r="P33" s="154">
        <f t="shared" si="24"/>
        <v>914</v>
      </c>
      <c r="Q33" s="154">
        <f t="shared" si="25"/>
        <v>731.2</v>
      </c>
      <c r="R33" s="154">
        <f t="shared" si="26"/>
        <v>731.2</v>
      </c>
      <c r="S33" s="154">
        <f t="shared" si="27"/>
        <v>76</v>
      </c>
      <c r="T33" s="154">
        <f t="shared" si="28"/>
        <v>2452.4</v>
      </c>
      <c r="U33" s="1425"/>
      <c r="V33" s="154">
        <f t="shared" si="5"/>
        <v>2452.4</v>
      </c>
      <c r="W33" s="154">
        <f t="shared" si="20"/>
        <v>740.6</v>
      </c>
      <c r="X33" s="276">
        <v>1</v>
      </c>
      <c r="Y33" s="24">
        <v>30</v>
      </c>
      <c r="Z33" s="48">
        <f t="shared" si="30"/>
        <v>30</v>
      </c>
      <c r="AA33" s="54">
        <v>1</v>
      </c>
      <c r="AB33" s="24">
        <v>15</v>
      </c>
      <c r="AC33" s="48">
        <f t="shared" si="31"/>
        <v>15</v>
      </c>
      <c r="AD33" s="54"/>
      <c r="AE33" s="24">
        <v>30</v>
      </c>
      <c r="AF33" s="48">
        <f t="shared" si="32"/>
        <v>0</v>
      </c>
      <c r="AG33" s="276">
        <f t="shared" si="0"/>
        <v>13.5</v>
      </c>
      <c r="AH33" s="48">
        <f t="shared" si="33"/>
        <v>58.5</v>
      </c>
      <c r="AI33" s="34">
        <f t="shared" si="2"/>
        <v>51091.7</v>
      </c>
      <c r="AJ33" s="34"/>
      <c r="AK33" s="216">
        <f t="shared" si="3"/>
        <v>613.1</v>
      </c>
      <c r="AL33" s="216">
        <f t="shared" si="6"/>
        <v>229.1</v>
      </c>
      <c r="AM33" s="217">
        <v>0.30199999999999999</v>
      </c>
      <c r="AN33" s="223"/>
      <c r="AO33" s="62"/>
      <c r="AP33" s="62"/>
      <c r="AQ33" s="50">
        <f t="shared" si="7"/>
        <v>0</v>
      </c>
      <c r="AS33" s="66"/>
    </row>
    <row r="34" spans="1:45" ht="13.5" customHeight="1" x14ac:dyDescent="0.2">
      <c r="A34" s="276">
        <v>27</v>
      </c>
      <c r="B34" s="218" t="s">
        <v>56</v>
      </c>
      <c r="C34" s="57">
        <v>2</v>
      </c>
      <c r="D34" s="177">
        <v>11.061999999999999</v>
      </c>
      <c r="E34" s="171">
        <f t="shared" si="29"/>
        <v>22.12</v>
      </c>
      <c r="F34" s="154">
        <f t="shared" si="21"/>
        <v>265.39999999999998</v>
      </c>
      <c r="G34" s="154"/>
      <c r="H34" s="154">
        <v>1.1000000000000001</v>
      </c>
      <c r="I34" s="154"/>
      <c r="J34" s="154">
        <f>D34*0.1*2*12</f>
        <v>26.5</v>
      </c>
      <c r="K34" s="154">
        <f>D34*0.4*12+D34*0.25*12</f>
        <v>86.3</v>
      </c>
      <c r="L34" s="154">
        <f t="shared" si="4"/>
        <v>89.8</v>
      </c>
      <c r="M34" s="154">
        <f t="shared" si="22"/>
        <v>469.1</v>
      </c>
      <c r="N34" s="171">
        <v>0.43</v>
      </c>
      <c r="O34" s="154">
        <f t="shared" si="23"/>
        <v>201.7</v>
      </c>
      <c r="P34" s="154">
        <f t="shared" si="24"/>
        <v>670.8</v>
      </c>
      <c r="Q34" s="154">
        <f t="shared" si="25"/>
        <v>536.6</v>
      </c>
      <c r="R34" s="154">
        <f t="shared" si="26"/>
        <v>536.6</v>
      </c>
      <c r="S34" s="154">
        <f t="shared" si="27"/>
        <v>55.8</v>
      </c>
      <c r="T34" s="154">
        <f t="shared" si="28"/>
        <v>1799.8</v>
      </c>
      <c r="U34" s="1425"/>
      <c r="V34" s="154">
        <f t="shared" si="5"/>
        <v>1799.8</v>
      </c>
      <c r="W34" s="154">
        <f>AQ34*C34</f>
        <v>541.6</v>
      </c>
      <c r="X34" s="276">
        <v>2</v>
      </c>
      <c r="Y34" s="24">
        <v>30</v>
      </c>
      <c r="Z34" s="48">
        <f t="shared" si="30"/>
        <v>60</v>
      </c>
      <c r="AA34" s="54">
        <v>2</v>
      </c>
      <c r="AB34" s="24">
        <v>15</v>
      </c>
      <c r="AC34" s="48">
        <f t="shared" si="31"/>
        <v>30</v>
      </c>
      <c r="AD34" s="54"/>
      <c r="AE34" s="24">
        <v>30</v>
      </c>
      <c r="AF34" s="48">
        <f t="shared" si="32"/>
        <v>0</v>
      </c>
      <c r="AG34" s="276">
        <f t="shared" si="0"/>
        <v>27</v>
      </c>
      <c r="AH34" s="48">
        <f t="shared" si="33"/>
        <v>117</v>
      </c>
      <c r="AI34" s="34">
        <f t="shared" si="2"/>
        <v>74991.7</v>
      </c>
      <c r="AJ34" s="34"/>
      <c r="AK34" s="216">
        <f t="shared" si="3"/>
        <v>899.9</v>
      </c>
      <c r="AL34" s="216">
        <f t="shared" si="6"/>
        <v>281.3</v>
      </c>
      <c r="AM34" s="217">
        <v>0.30199999999999999</v>
      </c>
      <c r="AN34" s="221">
        <f>AK34*0.22</f>
        <v>198</v>
      </c>
      <c r="AO34" s="50">
        <f>865*0.029</f>
        <v>25.1</v>
      </c>
      <c r="AP34" s="50">
        <f>AK34*0.053</f>
        <v>47.7</v>
      </c>
      <c r="AQ34" s="50">
        <f>SUM(AN34:AP34)</f>
        <v>270.8</v>
      </c>
      <c r="AS34" s="66"/>
    </row>
    <row r="35" spans="1:45" ht="25.5" x14ac:dyDescent="0.2">
      <c r="A35" s="276">
        <v>28</v>
      </c>
      <c r="B35" s="218" t="s">
        <v>101</v>
      </c>
      <c r="C35" s="57">
        <v>1</v>
      </c>
      <c r="D35" s="177">
        <v>11.061999999999999</v>
      </c>
      <c r="E35" s="171">
        <f>C35*D35</f>
        <v>11.06</v>
      </c>
      <c r="F35" s="154">
        <f t="shared" si="21"/>
        <v>132.69999999999999</v>
      </c>
      <c r="G35" s="154"/>
      <c r="H35" s="154">
        <v>4.8</v>
      </c>
      <c r="I35" s="154"/>
      <c r="J35" s="154"/>
      <c r="K35" s="154">
        <f>D35*0.25*12</f>
        <v>33.200000000000003</v>
      </c>
      <c r="L35" s="154">
        <f t="shared" si="4"/>
        <v>44.9</v>
      </c>
      <c r="M35" s="154">
        <f t="shared" si="22"/>
        <v>215.6</v>
      </c>
      <c r="N35" s="171">
        <v>0.43</v>
      </c>
      <c r="O35" s="154">
        <f t="shared" si="23"/>
        <v>92.7</v>
      </c>
      <c r="P35" s="154">
        <f t="shared" si="24"/>
        <v>308.3</v>
      </c>
      <c r="Q35" s="154">
        <f t="shared" si="25"/>
        <v>246.6</v>
      </c>
      <c r="R35" s="154">
        <f t="shared" si="26"/>
        <v>246.6</v>
      </c>
      <c r="S35" s="154">
        <f t="shared" si="27"/>
        <v>25.6</v>
      </c>
      <c r="T35" s="154">
        <f t="shared" si="28"/>
        <v>827.1</v>
      </c>
      <c r="U35" s="1425"/>
      <c r="V35" s="154">
        <f t="shared" si="5"/>
        <v>827.1</v>
      </c>
      <c r="W35" s="154">
        <f t="shared" si="20"/>
        <v>249.8</v>
      </c>
      <c r="X35" s="276">
        <v>1</v>
      </c>
      <c r="Y35" s="24">
        <v>30</v>
      </c>
      <c r="Z35" s="48">
        <f t="shared" si="30"/>
        <v>30</v>
      </c>
      <c r="AA35" s="54"/>
      <c r="AB35" s="24">
        <v>15</v>
      </c>
      <c r="AC35" s="48">
        <f t="shared" si="31"/>
        <v>0</v>
      </c>
      <c r="AD35" s="54"/>
      <c r="AE35" s="24">
        <v>30</v>
      </c>
      <c r="AF35" s="48">
        <f t="shared" si="32"/>
        <v>0</v>
      </c>
      <c r="AG35" s="276">
        <f t="shared" si="0"/>
        <v>9</v>
      </c>
      <c r="AH35" s="48">
        <f t="shared" si="33"/>
        <v>39</v>
      </c>
      <c r="AI35" s="34">
        <f t="shared" si="2"/>
        <v>68925</v>
      </c>
      <c r="AJ35" s="34"/>
      <c r="AK35" s="216">
        <f t="shared" si="3"/>
        <v>827.1</v>
      </c>
      <c r="AL35" s="216">
        <f t="shared" si="6"/>
        <v>268</v>
      </c>
      <c r="AM35" s="217">
        <v>0.30199999999999999</v>
      </c>
      <c r="AN35" s="62"/>
      <c r="AO35" s="62"/>
      <c r="AP35" s="62"/>
      <c r="AQ35" s="50">
        <f t="shared" si="7"/>
        <v>0</v>
      </c>
      <c r="AS35" s="66"/>
    </row>
    <row r="36" spans="1:45" x14ac:dyDescent="0.2">
      <c r="A36" s="276">
        <v>29</v>
      </c>
      <c r="B36" s="218" t="s">
        <v>33</v>
      </c>
      <c r="C36" s="57">
        <v>1</v>
      </c>
      <c r="D36" s="177">
        <v>8.4730000000000008</v>
      </c>
      <c r="E36" s="171">
        <f>C36*D36</f>
        <v>8.4700000000000006</v>
      </c>
      <c r="F36" s="154">
        <f t="shared" si="21"/>
        <v>101.6</v>
      </c>
      <c r="G36" s="154"/>
      <c r="H36" s="154">
        <v>2.9</v>
      </c>
      <c r="I36" s="154"/>
      <c r="J36" s="154"/>
      <c r="K36" s="154"/>
      <c r="L36" s="154">
        <f t="shared" si="4"/>
        <v>34.4</v>
      </c>
      <c r="M36" s="154">
        <f t="shared" si="22"/>
        <v>138.9</v>
      </c>
      <c r="N36" s="171">
        <v>0.41</v>
      </c>
      <c r="O36" s="154">
        <f t="shared" si="23"/>
        <v>56.9</v>
      </c>
      <c r="P36" s="154">
        <f t="shared" si="24"/>
        <v>195.8</v>
      </c>
      <c r="Q36" s="154">
        <f t="shared" si="25"/>
        <v>156.6</v>
      </c>
      <c r="R36" s="154">
        <f t="shared" si="26"/>
        <v>156.6</v>
      </c>
      <c r="S36" s="154">
        <f t="shared" si="27"/>
        <v>16.3</v>
      </c>
      <c r="T36" s="154">
        <f t="shared" si="28"/>
        <v>525.29999999999995</v>
      </c>
      <c r="U36" s="1425"/>
      <c r="V36" s="154">
        <f t="shared" si="5"/>
        <v>525.29999999999995</v>
      </c>
      <c r="W36" s="154">
        <f t="shared" si="20"/>
        <v>158.6</v>
      </c>
      <c r="X36" s="276"/>
      <c r="Y36" s="24">
        <v>30</v>
      </c>
      <c r="Z36" s="48">
        <f t="shared" si="30"/>
        <v>0</v>
      </c>
      <c r="AA36" s="54"/>
      <c r="AB36" s="24">
        <v>15</v>
      </c>
      <c r="AC36" s="48">
        <f t="shared" si="31"/>
        <v>0</v>
      </c>
      <c r="AD36" s="54"/>
      <c r="AE36" s="24">
        <v>30</v>
      </c>
      <c r="AF36" s="48">
        <f t="shared" si="32"/>
        <v>0</v>
      </c>
      <c r="AG36" s="276">
        <f t="shared" si="0"/>
        <v>0</v>
      </c>
      <c r="AH36" s="48">
        <f t="shared" si="33"/>
        <v>0</v>
      </c>
      <c r="AI36" s="34">
        <f t="shared" si="2"/>
        <v>43775</v>
      </c>
      <c r="AJ36" s="34"/>
      <c r="AK36" s="216">
        <f t="shared" si="3"/>
        <v>525.29999999999995</v>
      </c>
      <c r="AL36" s="216">
        <f t="shared" si="6"/>
        <v>213.1</v>
      </c>
      <c r="AM36" s="217">
        <v>0.30199999999999999</v>
      </c>
      <c r="AN36" s="76"/>
      <c r="AO36" s="76"/>
      <c r="AP36" s="76"/>
      <c r="AQ36" s="50">
        <f t="shared" si="7"/>
        <v>0</v>
      </c>
      <c r="AS36" s="66"/>
    </row>
    <row r="37" spans="1:45" ht="25.5" x14ac:dyDescent="0.2">
      <c r="A37" s="276">
        <v>30</v>
      </c>
      <c r="B37" s="218" t="s">
        <v>130</v>
      </c>
      <c r="C37" s="57">
        <v>1</v>
      </c>
      <c r="D37" s="177">
        <v>8.4730000000000008</v>
      </c>
      <c r="E37" s="171">
        <f>C37*D37</f>
        <v>8.4700000000000006</v>
      </c>
      <c r="F37" s="154">
        <f>E37*12</f>
        <v>101.6</v>
      </c>
      <c r="G37" s="154"/>
      <c r="H37" s="154"/>
      <c r="I37" s="154"/>
      <c r="J37" s="154"/>
      <c r="K37" s="154"/>
      <c r="L37" s="154">
        <f t="shared" si="4"/>
        <v>34.4</v>
      </c>
      <c r="M37" s="154">
        <f>F37+G37+H37+I37+J37+K37+L37</f>
        <v>136</v>
      </c>
      <c r="N37" s="171">
        <v>0.47</v>
      </c>
      <c r="O37" s="154">
        <f>M37*N37</f>
        <v>63.9</v>
      </c>
      <c r="P37" s="154">
        <f>M37+O37</f>
        <v>199.9</v>
      </c>
      <c r="Q37" s="154">
        <f>P37*0.8</f>
        <v>159.9</v>
      </c>
      <c r="R37" s="154">
        <f>P37*0.8</f>
        <v>159.9</v>
      </c>
      <c r="S37" s="154">
        <f>(P37+Q37+R37)*0.032</f>
        <v>16.600000000000001</v>
      </c>
      <c r="T37" s="154">
        <f>P37+Q37+R37+S37</f>
        <v>536.29999999999995</v>
      </c>
      <c r="U37" s="1425"/>
      <c r="V37" s="154">
        <f t="shared" si="5"/>
        <v>536.29999999999995</v>
      </c>
      <c r="W37" s="154">
        <f t="shared" si="20"/>
        <v>162</v>
      </c>
      <c r="X37" s="276"/>
      <c r="Y37" s="24">
        <v>30</v>
      </c>
      <c r="Z37" s="48">
        <f>X37*Y37</f>
        <v>0</v>
      </c>
      <c r="AA37" s="54"/>
      <c r="AB37" s="24">
        <v>15</v>
      </c>
      <c r="AC37" s="48">
        <f>AA37*AB37</f>
        <v>0</v>
      </c>
      <c r="AD37" s="54"/>
      <c r="AE37" s="24">
        <v>30</v>
      </c>
      <c r="AF37" s="48">
        <f>AD37*AE37</f>
        <v>0</v>
      </c>
      <c r="AG37" s="276">
        <f t="shared" si="0"/>
        <v>0</v>
      </c>
      <c r="AH37" s="48">
        <f>Z37+AC37+AF37+AG37</f>
        <v>0</v>
      </c>
      <c r="AI37" s="34">
        <f>V37/11/C37*1000</f>
        <v>48754.5</v>
      </c>
      <c r="AJ37" s="34"/>
      <c r="AK37" s="216">
        <f t="shared" si="3"/>
        <v>536.29999999999995</v>
      </c>
      <c r="AL37" s="216">
        <f>((979*0.302)+((AK37-979)*0.182))</f>
        <v>215.1</v>
      </c>
      <c r="AM37" s="217">
        <v>0.30199999999999999</v>
      </c>
      <c r="AN37" s="62"/>
      <c r="AO37" s="62"/>
      <c r="AP37" s="62"/>
      <c r="AQ37" s="50">
        <f t="shared" si="7"/>
        <v>0</v>
      </c>
      <c r="AS37" s="66"/>
    </row>
    <row r="38" spans="1:45" ht="25.5" x14ac:dyDescent="0.2">
      <c r="A38" s="276">
        <v>31</v>
      </c>
      <c r="B38" s="218" t="s">
        <v>109</v>
      </c>
      <c r="C38" s="57">
        <v>1</v>
      </c>
      <c r="D38" s="177">
        <v>4.4569999999999999</v>
      </c>
      <c r="E38" s="171">
        <f t="shared" si="29"/>
        <v>4.46</v>
      </c>
      <c r="F38" s="154">
        <f t="shared" si="21"/>
        <v>53.5</v>
      </c>
      <c r="G38" s="154"/>
      <c r="H38" s="154">
        <v>1.7</v>
      </c>
      <c r="I38" s="154"/>
      <c r="J38" s="154"/>
      <c r="K38" s="154"/>
      <c r="L38" s="154">
        <v>26</v>
      </c>
      <c r="M38" s="154">
        <f t="shared" si="22"/>
        <v>81.2</v>
      </c>
      <c r="N38" s="171">
        <v>0.61</v>
      </c>
      <c r="O38" s="154">
        <f t="shared" si="23"/>
        <v>49.5</v>
      </c>
      <c r="P38" s="154">
        <f t="shared" si="24"/>
        <v>130.69999999999999</v>
      </c>
      <c r="Q38" s="154">
        <f t="shared" si="25"/>
        <v>104.6</v>
      </c>
      <c r="R38" s="154">
        <f t="shared" si="26"/>
        <v>104.6</v>
      </c>
      <c r="S38" s="154">
        <f t="shared" si="27"/>
        <v>10.9</v>
      </c>
      <c r="T38" s="154">
        <f t="shared" si="28"/>
        <v>350.8</v>
      </c>
      <c r="U38" s="1425"/>
      <c r="V38" s="154">
        <f t="shared" si="5"/>
        <v>350.8</v>
      </c>
      <c r="W38" s="154">
        <f t="shared" si="20"/>
        <v>105.9</v>
      </c>
      <c r="X38" s="276">
        <v>1</v>
      </c>
      <c r="Y38" s="24">
        <v>30</v>
      </c>
      <c r="Z38" s="48">
        <f t="shared" si="30"/>
        <v>30</v>
      </c>
      <c r="AA38" s="276">
        <v>1</v>
      </c>
      <c r="AB38" s="24">
        <v>15</v>
      </c>
      <c r="AC38" s="48">
        <f t="shared" si="31"/>
        <v>15</v>
      </c>
      <c r="AD38" s="276"/>
      <c r="AE38" s="24">
        <v>30</v>
      </c>
      <c r="AF38" s="48">
        <f t="shared" si="32"/>
        <v>0</v>
      </c>
      <c r="AG38" s="276">
        <f t="shared" si="0"/>
        <v>13.5</v>
      </c>
      <c r="AH38" s="48">
        <f t="shared" si="33"/>
        <v>58.5</v>
      </c>
      <c r="AI38" s="34">
        <f>V38/12/C38*1000</f>
        <v>29233.3</v>
      </c>
      <c r="AJ38" s="34"/>
      <c r="AK38" s="216">
        <f t="shared" si="3"/>
        <v>350.8</v>
      </c>
      <c r="AL38" s="216">
        <f t="shared" si="6"/>
        <v>181.3</v>
      </c>
      <c r="AM38" s="217">
        <v>0.30199999999999999</v>
      </c>
      <c r="AN38" s="76"/>
      <c r="AO38" s="76"/>
      <c r="AP38" s="76"/>
      <c r="AQ38" s="50">
        <f t="shared" si="7"/>
        <v>0</v>
      </c>
      <c r="AS38" s="66"/>
    </row>
    <row r="39" spans="1:45" ht="15.75" customHeight="1" x14ac:dyDescent="0.2">
      <c r="A39" s="276">
        <v>32</v>
      </c>
      <c r="B39" s="218" t="s">
        <v>57</v>
      </c>
      <c r="C39" s="49">
        <f>2-0.5</f>
        <v>1.5</v>
      </c>
      <c r="D39" s="177">
        <v>4.3769999999999998</v>
      </c>
      <c r="E39" s="171">
        <f t="shared" si="29"/>
        <v>6.57</v>
      </c>
      <c r="F39" s="215">
        <f t="shared" si="21"/>
        <v>78.8</v>
      </c>
      <c r="G39" s="154"/>
      <c r="H39" s="154">
        <v>1.4</v>
      </c>
      <c r="I39" s="154"/>
      <c r="J39" s="154"/>
      <c r="K39" s="154"/>
      <c r="L39" s="154">
        <v>70</v>
      </c>
      <c r="M39" s="154">
        <f t="shared" si="22"/>
        <v>150.19999999999999</v>
      </c>
      <c r="N39" s="171">
        <v>0.49</v>
      </c>
      <c r="O39" s="154">
        <f t="shared" si="23"/>
        <v>73.599999999999994</v>
      </c>
      <c r="P39" s="154">
        <f t="shared" si="24"/>
        <v>223.8</v>
      </c>
      <c r="Q39" s="154">
        <f t="shared" si="25"/>
        <v>179</v>
      </c>
      <c r="R39" s="154">
        <f t="shared" si="26"/>
        <v>179</v>
      </c>
      <c r="S39" s="154">
        <f t="shared" si="27"/>
        <v>18.600000000000001</v>
      </c>
      <c r="T39" s="154">
        <f t="shared" si="28"/>
        <v>600.4</v>
      </c>
      <c r="U39" s="1425"/>
      <c r="V39" s="154">
        <f t="shared" si="5"/>
        <v>600.4</v>
      </c>
      <c r="W39" s="154">
        <f t="shared" si="20"/>
        <v>181.3</v>
      </c>
      <c r="X39" s="276"/>
      <c r="Y39" s="24">
        <v>30</v>
      </c>
      <c r="Z39" s="48">
        <f>X39*Y39</f>
        <v>0</v>
      </c>
      <c r="AA39" s="276"/>
      <c r="AB39" s="24">
        <v>15</v>
      </c>
      <c r="AC39" s="48">
        <f>AA39*AB39</f>
        <v>0</v>
      </c>
      <c r="AD39" s="276"/>
      <c r="AE39" s="24">
        <v>30</v>
      </c>
      <c r="AF39" s="48">
        <f t="shared" si="32"/>
        <v>0</v>
      </c>
      <c r="AG39" s="276">
        <f t="shared" si="0"/>
        <v>0</v>
      </c>
      <c r="AH39" s="48">
        <f t="shared" si="33"/>
        <v>0</v>
      </c>
      <c r="AI39" s="34">
        <f>V39/12/C39*1000</f>
        <v>33355.599999999999</v>
      </c>
      <c r="AJ39" s="34"/>
      <c r="AK39" s="216">
        <f t="shared" si="3"/>
        <v>400.3</v>
      </c>
      <c r="AL39" s="216">
        <f t="shared" si="6"/>
        <v>190.3</v>
      </c>
      <c r="AM39" s="217">
        <v>0.30199999999999999</v>
      </c>
      <c r="AN39" s="76"/>
      <c r="AO39" s="76"/>
      <c r="AP39" s="76"/>
      <c r="AQ39" s="50">
        <f t="shared" si="7"/>
        <v>0</v>
      </c>
      <c r="AS39" s="66"/>
    </row>
    <row r="40" spans="1:45" x14ac:dyDescent="0.2">
      <c r="A40" s="276">
        <v>33</v>
      </c>
      <c r="B40" s="218" t="s">
        <v>92</v>
      </c>
      <c r="C40" s="224">
        <v>1</v>
      </c>
      <c r="D40" s="177">
        <v>4.3769999999999998</v>
      </c>
      <c r="E40" s="171">
        <f t="shared" si="29"/>
        <v>4.38</v>
      </c>
      <c r="F40" s="154">
        <f t="shared" si="21"/>
        <v>52.6</v>
      </c>
      <c r="G40" s="154"/>
      <c r="H40" s="154">
        <f>2773.8/1000</f>
        <v>2.8</v>
      </c>
      <c r="I40" s="154"/>
      <c r="J40" s="154"/>
      <c r="K40" s="154"/>
      <c r="L40" s="154">
        <v>38.1</v>
      </c>
      <c r="M40" s="154">
        <f t="shared" si="22"/>
        <v>93.5</v>
      </c>
      <c r="N40" s="171">
        <v>0.47</v>
      </c>
      <c r="O40" s="154">
        <f t="shared" si="23"/>
        <v>43.9</v>
      </c>
      <c r="P40" s="154">
        <f t="shared" si="24"/>
        <v>137.4</v>
      </c>
      <c r="Q40" s="154">
        <f t="shared" si="25"/>
        <v>109.9</v>
      </c>
      <c r="R40" s="154">
        <f t="shared" si="26"/>
        <v>109.9</v>
      </c>
      <c r="S40" s="154">
        <f t="shared" si="27"/>
        <v>11.4</v>
      </c>
      <c r="T40" s="154">
        <f t="shared" si="28"/>
        <v>368.6</v>
      </c>
      <c r="U40" s="1425"/>
      <c r="V40" s="154">
        <f t="shared" si="5"/>
        <v>368.6</v>
      </c>
      <c r="W40" s="154">
        <f t="shared" si="20"/>
        <v>111.3</v>
      </c>
      <c r="X40" s="276">
        <v>1</v>
      </c>
      <c r="Y40" s="24">
        <v>30</v>
      </c>
      <c r="Z40" s="48">
        <f>X40*Y40</f>
        <v>30</v>
      </c>
      <c r="AA40" s="276"/>
      <c r="AB40" s="24">
        <v>15</v>
      </c>
      <c r="AC40" s="48">
        <f>AA40*AB40</f>
        <v>0</v>
      </c>
      <c r="AD40" s="276"/>
      <c r="AE40" s="24">
        <v>30</v>
      </c>
      <c r="AF40" s="48">
        <f t="shared" si="32"/>
        <v>0</v>
      </c>
      <c r="AG40" s="276">
        <f t="shared" si="0"/>
        <v>9</v>
      </c>
      <c r="AH40" s="48">
        <f t="shared" si="33"/>
        <v>39</v>
      </c>
      <c r="AI40" s="34">
        <f>V40/12/C40*1000</f>
        <v>30716.7</v>
      </c>
      <c r="AJ40" s="34"/>
      <c r="AK40" s="216">
        <f t="shared" si="3"/>
        <v>368.6</v>
      </c>
      <c r="AL40" s="216">
        <f t="shared" si="6"/>
        <v>184.6</v>
      </c>
      <c r="AM40" s="217">
        <v>0.30199999999999999</v>
      </c>
      <c r="AN40" s="76"/>
      <c r="AO40" s="76"/>
      <c r="AP40" s="76"/>
      <c r="AQ40" s="50">
        <f t="shared" si="7"/>
        <v>0</v>
      </c>
      <c r="AS40" s="66"/>
    </row>
    <row r="41" spans="1:45" ht="25.5" x14ac:dyDescent="0.2">
      <c r="A41" s="276">
        <v>34</v>
      </c>
      <c r="B41" s="218" t="s">
        <v>102</v>
      </c>
      <c r="C41" s="58">
        <v>2</v>
      </c>
      <c r="D41" s="177">
        <v>4.3769999999999998</v>
      </c>
      <c r="E41" s="171">
        <f>C41*D41</f>
        <v>8.75</v>
      </c>
      <c r="F41" s="215">
        <f t="shared" si="21"/>
        <v>105</v>
      </c>
      <c r="G41" s="154"/>
      <c r="H41" s="154">
        <v>3.3</v>
      </c>
      <c r="I41" s="154"/>
      <c r="J41" s="154"/>
      <c r="K41" s="154"/>
      <c r="L41" s="154">
        <v>70</v>
      </c>
      <c r="M41" s="154">
        <f t="shared" si="22"/>
        <v>178.3</v>
      </c>
      <c r="N41" s="171">
        <v>0.49</v>
      </c>
      <c r="O41" s="154">
        <f t="shared" si="23"/>
        <v>87.4</v>
      </c>
      <c r="P41" s="154">
        <f t="shared" si="24"/>
        <v>265.7</v>
      </c>
      <c r="Q41" s="154">
        <f t="shared" si="25"/>
        <v>212.6</v>
      </c>
      <c r="R41" s="154">
        <f t="shared" si="26"/>
        <v>212.6</v>
      </c>
      <c r="S41" s="154">
        <f t="shared" si="27"/>
        <v>22.1</v>
      </c>
      <c r="T41" s="154">
        <f t="shared" si="28"/>
        <v>713</v>
      </c>
      <c r="U41" s="1425"/>
      <c r="V41" s="154">
        <f t="shared" si="5"/>
        <v>713</v>
      </c>
      <c r="W41" s="154">
        <f t="shared" si="20"/>
        <v>215.3</v>
      </c>
      <c r="X41" s="276">
        <v>1</v>
      </c>
      <c r="Y41" s="24">
        <v>30</v>
      </c>
      <c r="Z41" s="48">
        <f>X41*Y41</f>
        <v>30</v>
      </c>
      <c r="AA41" s="276"/>
      <c r="AB41" s="24">
        <v>15</v>
      </c>
      <c r="AC41" s="48">
        <f>AA41*AB41</f>
        <v>0</v>
      </c>
      <c r="AD41" s="276"/>
      <c r="AE41" s="24">
        <v>30</v>
      </c>
      <c r="AF41" s="48">
        <f t="shared" si="32"/>
        <v>0</v>
      </c>
      <c r="AG41" s="276">
        <f t="shared" si="0"/>
        <v>9</v>
      </c>
      <c r="AH41" s="48">
        <f t="shared" si="33"/>
        <v>39</v>
      </c>
      <c r="AI41" s="34">
        <f>V41/12/C41*1000</f>
        <v>29708.3</v>
      </c>
      <c r="AJ41" s="34"/>
      <c r="AK41" s="216">
        <f t="shared" si="3"/>
        <v>356.5</v>
      </c>
      <c r="AL41" s="216">
        <f t="shared" si="6"/>
        <v>182.4</v>
      </c>
      <c r="AM41" s="217">
        <v>0.30199999999999999</v>
      </c>
      <c r="AN41" s="76"/>
      <c r="AO41" s="76"/>
      <c r="AP41" s="76"/>
      <c r="AQ41" s="50">
        <f t="shared" si="7"/>
        <v>0</v>
      </c>
      <c r="AS41" s="66"/>
    </row>
    <row r="42" spans="1:45" x14ac:dyDescent="0.2">
      <c r="A42" s="225" t="s">
        <v>126</v>
      </c>
      <c r="B42" s="218"/>
      <c r="C42" s="58"/>
      <c r="D42" s="177"/>
      <c r="E42" s="171"/>
      <c r="F42" s="215"/>
      <c r="G42" s="154"/>
      <c r="H42" s="154"/>
      <c r="I42" s="154"/>
      <c r="J42" s="154"/>
      <c r="K42" s="154"/>
      <c r="L42" s="154"/>
      <c r="M42" s="154"/>
      <c r="N42" s="171"/>
      <c r="O42" s="154"/>
      <c r="P42" s="154"/>
      <c r="Q42" s="154"/>
      <c r="R42" s="154"/>
      <c r="S42" s="154"/>
      <c r="T42" s="154"/>
      <c r="U42" s="1425"/>
      <c r="V42" s="154"/>
      <c r="W42" s="154">
        <f t="shared" si="20"/>
        <v>0</v>
      </c>
      <c r="X42" s="276"/>
      <c r="Y42" s="24"/>
      <c r="Z42" s="48"/>
      <c r="AA42" s="276"/>
      <c r="AB42" s="24"/>
      <c r="AC42" s="48"/>
      <c r="AD42" s="276"/>
      <c r="AE42" s="24"/>
      <c r="AF42" s="48"/>
      <c r="AG42" s="276">
        <f t="shared" si="0"/>
        <v>0</v>
      </c>
      <c r="AH42" s="48"/>
      <c r="AJ42" s="34"/>
      <c r="AK42" s="216"/>
      <c r="AL42" s="216"/>
      <c r="AM42" s="217"/>
      <c r="AN42" s="76"/>
      <c r="AO42" s="76"/>
      <c r="AP42" s="76"/>
      <c r="AQ42" s="50">
        <f t="shared" si="7"/>
        <v>0</v>
      </c>
      <c r="AS42" s="66"/>
    </row>
    <row r="43" spans="1:45" x14ac:dyDescent="0.2">
      <c r="A43" s="276">
        <v>35</v>
      </c>
      <c r="B43" s="52" t="s">
        <v>17</v>
      </c>
      <c r="C43" s="276">
        <v>1</v>
      </c>
      <c r="D43" s="177">
        <v>12.335000000000001</v>
      </c>
      <c r="E43" s="226">
        <f>C43*D43</f>
        <v>12.34</v>
      </c>
      <c r="F43" s="227">
        <f>E43*12</f>
        <v>148.1</v>
      </c>
      <c r="G43" s="154"/>
      <c r="H43" s="154">
        <v>1.3</v>
      </c>
      <c r="I43" s="154"/>
      <c r="J43" s="154"/>
      <c r="K43" s="154">
        <f>F43*0.4</f>
        <v>59.2</v>
      </c>
      <c r="L43" s="154">
        <f t="shared" si="4"/>
        <v>50.1</v>
      </c>
      <c r="M43" s="154">
        <f>F43+G43+H43+I43+J43+K43+L43</f>
        <v>258.7</v>
      </c>
      <c r="N43" s="171">
        <v>0.47</v>
      </c>
      <c r="O43" s="154">
        <f>M43*N43</f>
        <v>121.6</v>
      </c>
      <c r="P43" s="154">
        <f>M43+O43</f>
        <v>380.3</v>
      </c>
      <c r="Q43" s="154">
        <f>P43*0.8</f>
        <v>304.2</v>
      </c>
      <c r="R43" s="154">
        <f>P43*0.8</f>
        <v>304.2</v>
      </c>
      <c r="S43" s="154">
        <f>(P43+Q43+R43)*0.032</f>
        <v>31.6</v>
      </c>
      <c r="T43" s="154">
        <f>P43+Q43+R43+S43</f>
        <v>1020.3</v>
      </c>
      <c r="U43" s="1425"/>
      <c r="V43" s="154">
        <f t="shared" si="5"/>
        <v>1020.3</v>
      </c>
      <c r="W43" s="154">
        <f>AQ43</f>
        <v>303.7</v>
      </c>
      <c r="X43" s="276">
        <v>1</v>
      </c>
      <c r="Y43" s="24">
        <v>35</v>
      </c>
      <c r="Z43" s="48">
        <f>X43*Y43</f>
        <v>35</v>
      </c>
      <c r="AA43" s="276"/>
      <c r="AB43" s="24">
        <v>17.5</v>
      </c>
      <c r="AC43" s="48">
        <f>AA43*AB43</f>
        <v>0</v>
      </c>
      <c r="AD43" s="276"/>
      <c r="AE43" s="24">
        <v>35</v>
      </c>
      <c r="AF43" s="48">
        <f>AD43*AE43</f>
        <v>0</v>
      </c>
      <c r="AG43" s="276">
        <f t="shared" si="0"/>
        <v>10.5</v>
      </c>
      <c r="AH43" s="48">
        <f>Z43+AC43+AF43+AG43</f>
        <v>45.5</v>
      </c>
      <c r="AI43" s="39">
        <f t="shared" ref="AI43:AI51" si="34">V43/12/C43*1000</f>
        <v>85025</v>
      </c>
      <c r="AJ43" s="34"/>
      <c r="AK43" s="34">
        <f t="shared" ref="AK43:AK51" si="35">V43/C43</f>
        <v>1020.3</v>
      </c>
      <c r="AL43" s="34">
        <f>((979*0.302)+((AK43-979)*0.182))</f>
        <v>303.2</v>
      </c>
      <c r="AM43" s="51">
        <f>AL43/AK43</f>
        <v>0.29699999999999999</v>
      </c>
      <c r="AN43" s="50">
        <f>AK43*0.22</f>
        <v>224.5</v>
      </c>
      <c r="AO43" s="50">
        <f>865*0.029</f>
        <v>25.1</v>
      </c>
      <c r="AP43" s="50">
        <f>AK43*0.053</f>
        <v>54.1</v>
      </c>
      <c r="AQ43" s="50">
        <f t="shared" si="7"/>
        <v>303.7</v>
      </c>
      <c r="AR43" s="51"/>
    </row>
    <row r="44" spans="1:45" x14ac:dyDescent="0.2">
      <c r="A44" s="276">
        <v>36</v>
      </c>
      <c r="B44" s="52" t="s">
        <v>38</v>
      </c>
      <c r="C44" s="167">
        <f>2-0.25</f>
        <v>1.75</v>
      </c>
      <c r="D44" s="177">
        <v>6.2859999999999996</v>
      </c>
      <c r="E44" s="171">
        <f t="shared" ref="E44:E51" si="36">C44*D44</f>
        <v>11</v>
      </c>
      <c r="F44" s="154">
        <f t="shared" ref="F44:F51" si="37">E44*12</f>
        <v>132</v>
      </c>
      <c r="G44" s="154">
        <f>74.5/1000</f>
        <v>0.1</v>
      </c>
      <c r="H44" s="154">
        <v>2</v>
      </c>
      <c r="I44" s="154"/>
      <c r="J44" s="154"/>
      <c r="K44" s="154"/>
      <c r="L44" s="154">
        <f t="shared" si="4"/>
        <v>44.7</v>
      </c>
      <c r="M44" s="154">
        <f t="shared" ref="M44:M51" si="38">F44+G44+H44+I44+J44+K44+L44</f>
        <v>178.8</v>
      </c>
      <c r="N44" s="171">
        <v>0.45</v>
      </c>
      <c r="O44" s="154">
        <f t="shared" ref="O44:O51" si="39">M44*N44</f>
        <v>80.5</v>
      </c>
      <c r="P44" s="154">
        <f t="shared" ref="P44:P51" si="40">M44+O44</f>
        <v>259.3</v>
      </c>
      <c r="Q44" s="154">
        <f t="shared" ref="Q44:Q51" si="41">P44*0.8</f>
        <v>207.4</v>
      </c>
      <c r="R44" s="154">
        <f t="shared" ref="R44:R51" si="42">P44*0.8</f>
        <v>207.4</v>
      </c>
      <c r="S44" s="154">
        <f t="shared" ref="S44:S51" si="43">(P44+Q44+R44)*0.032</f>
        <v>21.6</v>
      </c>
      <c r="T44" s="154">
        <f t="shared" ref="T44:T51" si="44">P44+Q44+R44+S44</f>
        <v>695.7</v>
      </c>
      <c r="U44" s="1425"/>
      <c r="V44" s="154">
        <f t="shared" si="5"/>
        <v>695.7</v>
      </c>
      <c r="W44" s="154">
        <f t="shared" si="20"/>
        <v>210.1</v>
      </c>
      <c r="X44" s="276">
        <v>1</v>
      </c>
      <c r="Y44" s="24">
        <v>35</v>
      </c>
      <c r="Z44" s="48">
        <f t="shared" ref="Z44:Z51" si="45">X44*Y44</f>
        <v>35</v>
      </c>
      <c r="AA44" s="54"/>
      <c r="AB44" s="24">
        <v>17.5</v>
      </c>
      <c r="AC44" s="48">
        <f t="shared" ref="AC44:AC51" si="46">AA44*AB44</f>
        <v>0</v>
      </c>
      <c r="AD44" s="54"/>
      <c r="AE44" s="24">
        <v>35</v>
      </c>
      <c r="AF44" s="48">
        <f t="shared" ref="AF44:AF51" si="47">AD44*AE44</f>
        <v>0</v>
      </c>
      <c r="AG44" s="276">
        <f t="shared" si="0"/>
        <v>10.5</v>
      </c>
      <c r="AH44" s="48">
        <f t="shared" ref="AH44:AH51" si="48">Z44+AC44+AF44+AG44</f>
        <v>45.5</v>
      </c>
      <c r="AI44" s="39">
        <f t="shared" si="34"/>
        <v>33128.57</v>
      </c>
      <c r="AJ44" s="34"/>
      <c r="AK44" s="34">
        <f t="shared" si="35"/>
        <v>397.5</v>
      </c>
      <c r="AL44" s="34">
        <f t="shared" ref="AL44:AL51" si="49">((979*0.302)+((AK44-979)*0.182))</f>
        <v>189.8</v>
      </c>
      <c r="AM44" s="51">
        <v>0.30199999999999999</v>
      </c>
      <c r="AN44" s="50"/>
      <c r="AO44" s="50"/>
      <c r="AP44" s="50"/>
      <c r="AQ44" s="50">
        <f t="shared" si="7"/>
        <v>0</v>
      </c>
      <c r="AR44" s="51"/>
    </row>
    <row r="45" spans="1:45" ht="12" customHeight="1" x14ac:dyDescent="0.2">
      <c r="A45" s="276">
        <v>37</v>
      </c>
      <c r="B45" s="44" t="s">
        <v>104</v>
      </c>
      <c r="C45" s="54">
        <v>1</v>
      </c>
      <c r="D45" s="177">
        <v>8.4730000000000008</v>
      </c>
      <c r="E45" s="171">
        <f t="shared" si="36"/>
        <v>8.4700000000000006</v>
      </c>
      <c r="F45" s="154">
        <f t="shared" si="37"/>
        <v>101.6</v>
      </c>
      <c r="G45" s="154"/>
      <c r="H45" s="154"/>
      <c r="I45" s="154"/>
      <c r="J45" s="154"/>
      <c r="K45" s="154"/>
      <c r="L45" s="154">
        <f t="shared" si="4"/>
        <v>34.4</v>
      </c>
      <c r="M45" s="154">
        <f t="shared" si="38"/>
        <v>136</v>
      </c>
      <c r="N45" s="171">
        <v>0.41</v>
      </c>
      <c r="O45" s="154">
        <f t="shared" si="39"/>
        <v>55.8</v>
      </c>
      <c r="P45" s="154">
        <f t="shared" si="40"/>
        <v>191.8</v>
      </c>
      <c r="Q45" s="154">
        <f t="shared" si="41"/>
        <v>153.4</v>
      </c>
      <c r="R45" s="154">
        <f t="shared" si="42"/>
        <v>153.4</v>
      </c>
      <c r="S45" s="154">
        <f t="shared" si="43"/>
        <v>16</v>
      </c>
      <c r="T45" s="154">
        <f t="shared" si="44"/>
        <v>514.6</v>
      </c>
      <c r="U45" s="1425"/>
      <c r="V45" s="154">
        <f t="shared" si="5"/>
        <v>514.6</v>
      </c>
      <c r="W45" s="154">
        <f t="shared" si="20"/>
        <v>155.4</v>
      </c>
      <c r="X45" s="276">
        <v>1</v>
      </c>
      <c r="Y45" s="24">
        <v>35</v>
      </c>
      <c r="Z45" s="48">
        <f t="shared" si="45"/>
        <v>35</v>
      </c>
      <c r="AA45" s="54"/>
      <c r="AB45" s="24">
        <v>17.5</v>
      </c>
      <c r="AC45" s="48">
        <f t="shared" si="46"/>
        <v>0</v>
      </c>
      <c r="AD45" s="54">
        <v>1</v>
      </c>
      <c r="AE45" s="24">
        <v>35</v>
      </c>
      <c r="AF45" s="48">
        <f t="shared" si="47"/>
        <v>35</v>
      </c>
      <c r="AG45" s="276">
        <f t="shared" si="0"/>
        <v>21</v>
      </c>
      <c r="AH45" s="48">
        <f t="shared" si="48"/>
        <v>91</v>
      </c>
      <c r="AI45" s="39">
        <f t="shared" si="34"/>
        <v>42883.33</v>
      </c>
      <c r="AJ45" s="34"/>
      <c r="AK45" s="34">
        <f t="shared" si="35"/>
        <v>514.6</v>
      </c>
      <c r="AL45" s="34">
        <f t="shared" si="49"/>
        <v>211.1</v>
      </c>
      <c r="AM45" s="51">
        <v>0.30199999999999999</v>
      </c>
      <c r="AN45" s="50"/>
      <c r="AO45" s="50"/>
      <c r="AP45" s="50"/>
      <c r="AQ45" s="50">
        <f t="shared" si="7"/>
        <v>0</v>
      </c>
      <c r="AR45" s="51"/>
    </row>
    <row r="46" spans="1:45" x14ac:dyDescent="0.2">
      <c r="A46" s="276">
        <v>38</v>
      </c>
      <c r="B46" s="52" t="s">
        <v>39</v>
      </c>
      <c r="C46" s="24">
        <v>0.5</v>
      </c>
      <c r="D46" s="177">
        <v>6.2859999999999996</v>
      </c>
      <c r="E46" s="171">
        <f t="shared" si="36"/>
        <v>3.14</v>
      </c>
      <c r="F46" s="154">
        <f t="shared" si="37"/>
        <v>37.700000000000003</v>
      </c>
      <c r="G46" s="154"/>
      <c r="H46" s="154">
        <f>1106.5/1000</f>
        <v>1.1000000000000001</v>
      </c>
      <c r="I46" s="154"/>
      <c r="J46" s="154"/>
      <c r="K46" s="154"/>
      <c r="L46" s="154">
        <f>F46*$L$4</f>
        <v>12.8</v>
      </c>
      <c r="M46" s="154">
        <f t="shared" si="38"/>
        <v>51.6</v>
      </c>
      <c r="N46" s="171">
        <v>0.45</v>
      </c>
      <c r="O46" s="154">
        <f t="shared" si="39"/>
        <v>23.2</v>
      </c>
      <c r="P46" s="154">
        <f t="shared" si="40"/>
        <v>74.8</v>
      </c>
      <c r="Q46" s="154">
        <f t="shared" si="41"/>
        <v>59.8</v>
      </c>
      <c r="R46" s="154">
        <f t="shared" si="42"/>
        <v>59.8</v>
      </c>
      <c r="S46" s="154">
        <f t="shared" si="43"/>
        <v>6.2</v>
      </c>
      <c r="T46" s="154">
        <f t="shared" si="44"/>
        <v>200.6</v>
      </c>
      <c r="U46" s="1425"/>
      <c r="V46" s="154">
        <f t="shared" si="5"/>
        <v>200.6</v>
      </c>
      <c r="W46" s="154">
        <f t="shared" si="20"/>
        <v>60.6</v>
      </c>
      <c r="X46" s="276"/>
      <c r="Y46" s="24">
        <v>35</v>
      </c>
      <c r="Z46" s="48">
        <f t="shared" si="45"/>
        <v>0</v>
      </c>
      <c r="AA46" s="54"/>
      <c r="AB46" s="24">
        <v>17.5</v>
      </c>
      <c r="AC46" s="48">
        <f t="shared" si="46"/>
        <v>0</v>
      </c>
      <c r="AD46" s="54"/>
      <c r="AE46" s="24">
        <v>35</v>
      </c>
      <c r="AF46" s="48">
        <f t="shared" si="47"/>
        <v>0</v>
      </c>
      <c r="AG46" s="276">
        <f t="shared" si="0"/>
        <v>0</v>
      </c>
      <c r="AH46" s="48">
        <f t="shared" si="48"/>
        <v>0</v>
      </c>
      <c r="AI46" s="39">
        <f t="shared" si="34"/>
        <v>33433.33</v>
      </c>
      <c r="AJ46" s="34"/>
      <c r="AK46" s="34">
        <f t="shared" si="35"/>
        <v>401.2</v>
      </c>
      <c r="AL46" s="34">
        <f t="shared" si="49"/>
        <v>190.5</v>
      </c>
      <c r="AM46" s="51">
        <v>0.30199999999999999</v>
      </c>
      <c r="AQ46" s="50">
        <f t="shared" si="7"/>
        <v>0</v>
      </c>
      <c r="AR46" s="51"/>
    </row>
    <row r="47" spans="1:45" x14ac:dyDescent="0.2">
      <c r="A47" s="276">
        <v>39</v>
      </c>
      <c r="B47" s="218" t="s">
        <v>40</v>
      </c>
      <c r="C47" s="54">
        <v>1</v>
      </c>
      <c r="D47" s="177">
        <v>11.061999999999999</v>
      </c>
      <c r="E47" s="171">
        <f t="shared" si="36"/>
        <v>11.06</v>
      </c>
      <c r="F47" s="154">
        <f t="shared" si="37"/>
        <v>132.69999999999999</v>
      </c>
      <c r="G47" s="228">
        <f>131.07/1000</f>
        <v>0.13</v>
      </c>
      <c r="H47" s="154">
        <v>2.1</v>
      </c>
      <c r="I47" s="154"/>
      <c r="J47" s="154"/>
      <c r="K47" s="154">
        <f>D47*2*0.2</f>
        <v>4.4000000000000004</v>
      </c>
      <c r="L47" s="154">
        <f t="shared" si="4"/>
        <v>44.9</v>
      </c>
      <c r="M47" s="154">
        <f t="shared" si="38"/>
        <v>184.2</v>
      </c>
      <c r="N47" s="171">
        <v>0.43</v>
      </c>
      <c r="O47" s="154">
        <f t="shared" si="39"/>
        <v>79.2</v>
      </c>
      <c r="P47" s="154">
        <f t="shared" si="40"/>
        <v>263.39999999999998</v>
      </c>
      <c r="Q47" s="154">
        <f t="shared" si="41"/>
        <v>210.7</v>
      </c>
      <c r="R47" s="154">
        <f t="shared" si="42"/>
        <v>210.7</v>
      </c>
      <c r="S47" s="154">
        <f t="shared" si="43"/>
        <v>21.9</v>
      </c>
      <c r="T47" s="154">
        <f t="shared" si="44"/>
        <v>706.7</v>
      </c>
      <c r="U47" s="1425"/>
      <c r="V47" s="154">
        <f t="shared" si="5"/>
        <v>706.7</v>
      </c>
      <c r="W47" s="154">
        <f t="shared" si="20"/>
        <v>213.4</v>
      </c>
      <c r="X47" s="276"/>
      <c r="Y47" s="24">
        <v>35</v>
      </c>
      <c r="Z47" s="48">
        <f t="shared" si="45"/>
        <v>0</v>
      </c>
      <c r="AA47" s="54"/>
      <c r="AB47" s="24">
        <v>17.5</v>
      </c>
      <c r="AC47" s="48">
        <f t="shared" si="46"/>
        <v>0</v>
      </c>
      <c r="AD47" s="54"/>
      <c r="AE47" s="24">
        <v>35</v>
      </c>
      <c r="AF47" s="48">
        <f t="shared" si="47"/>
        <v>0</v>
      </c>
      <c r="AG47" s="276">
        <f t="shared" si="0"/>
        <v>0</v>
      </c>
      <c r="AH47" s="48">
        <f t="shared" si="48"/>
        <v>0</v>
      </c>
      <c r="AI47" s="39">
        <f t="shared" si="34"/>
        <v>58891.67</v>
      </c>
      <c r="AJ47" s="34"/>
      <c r="AK47" s="34">
        <f t="shared" si="35"/>
        <v>706.7</v>
      </c>
      <c r="AL47" s="34">
        <f t="shared" si="49"/>
        <v>246.1</v>
      </c>
      <c r="AM47" s="51">
        <v>0.30199999999999999</v>
      </c>
      <c r="AN47" s="50"/>
      <c r="AO47" s="50"/>
      <c r="AP47" s="50"/>
      <c r="AQ47" s="50">
        <f t="shared" si="7"/>
        <v>0</v>
      </c>
      <c r="AR47" s="51"/>
    </row>
    <row r="48" spans="1:45" x14ac:dyDescent="0.2">
      <c r="A48" s="276">
        <v>40</v>
      </c>
      <c r="B48" s="218" t="s">
        <v>41</v>
      </c>
      <c r="C48" s="54">
        <v>1</v>
      </c>
      <c r="D48" s="177">
        <v>8.4730000000000008</v>
      </c>
      <c r="E48" s="171">
        <f t="shared" si="36"/>
        <v>8.4700000000000006</v>
      </c>
      <c r="F48" s="154">
        <f t="shared" si="37"/>
        <v>101.6</v>
      </c>
      <c r="G48" s="154">
        <f>100.4/1000</f>
        <v>0.1</v>
      </c>
      <c r="H48" s="154">
        <v>0.5</v>
      </c>
      <c r="I48" s="154"/>
      <c r="J48" s="154"/>
      <c r="K48" s="154">
        <f>D48*8.5*0.2</f>
        <v>14.4</v>
      </c>
      <c r="L48" s="154">
        <f t="shared" si="4"/>
        <v>34.4</v>
      </c>
      <c r="M48" s="154">
        <f t="shared" si="38"/>
        <v>151</v>
      </c>
      <c r="N48" s="171">
        <v>0.41</v>
      </c>
      <c r="O48" s="154">
        <f t="shared" si="39"/>
        <v>61.9</v>
      </c>
      <c r="P48" s="154">
        <f t="shared" si="40"/>
        <v>212.9</v>
      </c>
      <c r="Q48" s="154">
        <f t="shared" si="41"/>
        <v>170.3</v>
      </c>
      <c r="R48" s="154">
        <f t="shared" si="42"/>
        <v>170.3</v>
      </c>
      <c r="S48" s="154">
        <f t="shared" si="43"/>
        <v>17.7</v>
      </c>
      <c r="T48" s="154">
        <f t="shared" si="44"/>
        <v>571.20000000000005</v>
      </c>
      <c r="U48" s="1425"/>
      <c r="V48" s="154">
        <f t="shared" si="5"/>
        <v>571.20000000000005</v>
      </c>
      <c r="W48" s="154">
        <f t="shared" si="20"/>
        <v>172.5</v>
      </c>
      <c r="X48" s="276">
        <v>1</v>
      </c>
      <c r="Y48" s="24">
        <v>35</v>
      </c>
      <c r="Z48" s="48">
        <f t="shared" si="45"/>
        <v>35</v>
      </c>
      <c r="AA48" s="54"/>
      <c r="AB48" s="24">
        <v>17.5</v>
      </c>
      <c r="AC48" s="48">
        <f>AA48*AB48</f>
        <v>0</v>
      </c>
      <c r="AD48" s="54"/>
      <c r="AE48" s="24">
        <v>35</v>
      </c>
      <c r="AF48" s="48">
        <f t="shared" si="47"/>
        <v>0</v>
      </c>
      <c r="AG48" s="276">
        <f t="shared" si="0"/>
        <v>10.5</v>
      </c>
      <c r="AH48" s="48">
        <f t="shared" si="48"/>
        <v>45.5</v>
      </c>
      <c r="AI48" s="39">
        <f t="shared" si="34"/>
        <v>47600</v>
      </c>
      <c r="AJ48" s="34"/>
      <c r="AK48" s="34">
        <f t="shared" si="35"/>
        <v>571.20000000000005</v>
      </c>
      <c r="AL48" s="34">
        <f t="shared" si="49"/>
        <v>221.4</v>
      </c>
      <c r="AM48" s="51">
        <v>0.30199999999999999</v>
      </c>
      <c r="AN48" s="50"/>
      <c r="AO48" s="50"/>
      <c r="AP48" s="50"/>
      <c r="AQ48" s="50">
        <f t="shared" si="7"/>
        <v>0</v>
      </c>
      <c r="AR48" s="51"/>
    </row>
    <row r="49" spans="1:44" x14ac:dyDescent="0.2">
      <c r="A49" s="276">
        <v>41</v>
      </c>
      <c r="B49" s="218" t="s">
        <v>42</v>
      </c>
      <c r="C49" s="24">
        <v>0.5</v>
      </c>
      <c r="D49" s="213">
        <v>11.061999999999999</v>
      </c>
      <c r="E49" s="171">
        <f t="shared" si="36"/>
        <v>5.53</v>
      </c>
      <c r="F49" s="154">
        <f t="shared" si="37"/>
        <v>66.400000000000006</v>
      </c>
      <c r="G49" s="154">
        <f>65.5/1000</f>
        <v>0.1</v>
      </c>
      <c r="H49" s="154">
        <v>3</v>
      </c>
      <c r="I49" s="154"/>
      <c r="J49" s="154"/>
      <c r="K49" s="154"/>
      <c r="L49" s="154">
        <f t="shared" si="4"/>
        <v>22.5</v>
      </c>
      <c r="M49" s="154">
        <f t="shared" si="38"/>
        <v>92</v>
      </c>
      <c r="N49" s="171">
        <v>0.43</v>
      </c>
      <c r="O49" s="154">
        <f t="shared" si="39"/>
        <v>39.6</v>
      </c>
      <c r="P49" s="154">
        <f t="shared" si="40"/>
        <v>131.6</v>
      </c>
      <c r="Q49" s="154">
        <f t="shared" si="41"/>
        <v>105.3</v>
      </c>
      <c r="R49" s="154">
        <f t="shared" si="42"/>
        <v>105.3</v>
      </c>
      <c r="S49" s="154">
        <f t="shared" si="43"/>
        <v>11</v>
      </c>
      <c r="T49" s="154">
        <f t="shared" si="44"/>
        <v>353.2</v>
      </c>
      <c r="U49" s="1425"/>
      <c r="V49" s="154">
        <f t="shared" si="5"/>
        <v>353.2</v>
      </c>
      <c r="W49" s="154">
        <f t="shared" si="20"/>
        <v>106.7</v>
      </c>
      <c r="X49" s="276"/>
      <c r="Y49" s="24">
        <v>35</v>
      </c>
      <c r="Z49" s="48">
        <f t="shared" si="45"/>
        <v>0</v>
      </c>
      <c r="AA49" s="54"/>
      <c r="AB49" s="24">
        <v>17.5</v>
      </c>
      <c r="AC49" s="48">
        <f t="shared" si="46"/>
        <v>0</v>
      </c>
      <c r="AD49" s="54"/>
      <c r="AE49" s="24">
        <v>35</v>
      </c>
      <c r="AF49" s="48">
        <f t="shared" si="47"/>
        <v>0</v>
      </c>
      <c r="AG49" s="276">
        <f t="shared" si="0"/>
        <v>0</v>
      </c>
      <c r="AH49" s="48">
        <f t="shared" si="48"/>
        <v>0</v>
      </c>
      <c r="AI49" s="39">
        <f t="shared" si="34"/>
        <v>58866.67</v>
      </c>
      <c r="AJ49" s="34"/>
      <c r="AK49" s="34">
        <f t="shared" si="35"/>
        <v>706.4</v>
      </c>
      <c r="AL49" s="34">
        <f t="shared" si="49"/>
        <v>246</v>
      </c>
      <c r="AM49" s="51">
        <v>0.30199999999999999</v>
      </c>
      <c r="AO49" s="50"/>
      <c r="AP49" s="50"/>
      <c r="AQ49" s="50">
        <f t="shared" si="7"/>
        <v>0</v>
      </c>
      <c r="AR49" s="51"/>
    </row>
    <row r="50" spans="1:44" x14ac:dyDescent="0.2">
      <c r="A50" s="276">
        <v>42</v>
      </c>
      <c r="B50" s="52" t="s">
        <v>43</v>
      </c>
      <c r="C50" s="167">
        <v>0.25</v>
      </c>
      <c r="D50" s="177">
        <v>8.4730000000000008</v>
      </c>
      <c r="E50" s="171">
        <f t="shared" si="36"/>
        <v>2.12</v>
      </c>
      <c r="F50" s="154">
        <f t="shared" si="37"/>
        <v>25.4</v>
      </c>
      <c r="G50" s="154"/>
      <c r="H50" s="154"/>
      <c r="I50" s="154"/>
      <c r="J50" s="154"/>
      <c r="K50" s="154"/>
      <c r="L50" s="154">
        <f t="shared" si="4"/>
        <v>8.6</v>
      </c>
      <c r="M50" s="154">
        <f t="shared" si="38"/>
        <v>34</v>
      </c>
      <c r="N50" s="171">
        <v>0.41</v>
      </c>
      <c r="O50" s="154">
        <f t="shared" si="39"/>
        <v>13.9</v>
      </c>
      <c r="P50" s="154">
        <f t="shared" si="40"/>
        <v>47.9</v>
      </c>
      <c r="Q50" s="154">
        <f t="shared" si="41"/>
        <v>38.299999999999997</v>
      </c>
      <c r="R50" s="154">
        <f t="shared" si="42"/>
        <v>38.299999999999997</v>
      </c>
      <c r="S50" s="154">
        <f t="shared" si="43"/>
        <v>4</v>
      </c>
      <c r="T50" s="154">
        <f t="shared" si="44"/>
        <v>128.5</v>
      </c>
      <c r="U50" s="1425"/>
      <c r="V50" s="154">
        <f t="shared" si="5"/>
        <v>128.5</v>
      </c>
      <c r="W50" s="154">
        <f t="shared" si="20"/>
        <v>38.799999999999997</v>
      </c>
      <c r="X50" s="276"/>
      <c r="Y50" s="24">
        <v>35</v>
      </c>
      <c r="Z50" s="48">
        <f t="shared" si="45"/>
        <v>0</v>
      </c>
      <c r="AA50" s="54"/>
      <c r="AB50" s="24">
        <v>17.5</v>
      </c>
      <c r="AC50" s="48">
        <f t="shared" si="46"/>
        <v>0</v>
      </c>
      <c r="AD50" s="54"/>
      <c r="AE50" s="24">
        <v>35</v>
      </c>
      <c r="AF50" s="48">
        <f t="shared" si="47"/>
        <v>0</v>
      </c>
      <c r="AG50" s="276">
        <f t="shared" si="0"/>
        <v>0</v>
      </c>
      <c r="AH50" s="48">
        <f t="shared" si="48"/>
        <v>0</v>
      </c>
      <c r="AI50" s="39">
        <f t="shared" si="34"/>
        <v>42833.33</v>
      </c>
      <c r="AJ50" s="34"/>
      <c r="AK50" s="34">
        <f t="shared" si="35"/>
        <v>514</v>
      </c>
      <c r="AL50" s="34">
        <f t="shared" si="49"/>
        <v>211</v>
      </c>
      <c r="AM50" s="51">
        <v>0.30199999999999999</v>
      </c>
      <c r="AN50" s="50"/>
      <c r="AO50" s="50"/>
      <c r="AP50" s="50"/>
      <c r="AQ50" s="50">
        <f t="shared" si="7"/>
        <v>0</v>
      </c>
      <c r="AR50" s="51"/>
    </row>
    <row r="51" spans="1:44" x14ac:dyDescent="0.2">
      <c r="A51" s="276">
        <v>43</v>
      </c>
      <c r="B51" s="229" t="s">
        <v>44</v>
      </c>
      <c r="C51" s="179">
        <f>1-0.25</f>
        <v>0.75</v>
      </c>
      <c r="D51" s="213">
        <v>11.061999999999999</v>
      </c>
      <c r="E51" s="171">
        <f t="shared" si="36"/>
        <v>8.3000000000000007</v>
      </c>
      <c r="F51" s="154">
        <f t="shared" si="37"/>
        <v>99.6</v>
      </c>
      <c r="G51" s="154"/>
      <c r="H51" s="154">
        <v>2.4</v>
      </c>
      <c r="I51" s="154"/>
      <c r="J51" s="154"/>
      <c r="K51" s="154"/>
      <c r="L51" s="154">
        <f t="shared" si="4"/>
        <v>33.700000000000003</v>
      </c>
      <c r="M51" s="154">
        <f t="shared" si="38"/>
        <v>135.69999999999999</v>
      </c>
      <c r="N51" s="171">
        <v>0.43</v>
      </c>
      <c r="O51" s="154">
        <f t="shared" si="39"/>
        <v>58.4</v>
      </c>
      <c r="P51" s="154">
        <f t="shared" si="40"/>
        <v>194.1</v>
      </c>
      <c r="Q51" s="154">
        <f t="shared" si="41"/>
        <v>155.30000000000001</v>
      </c>
      <c r="R51" s="154">
        <f t="shared" si="42"/>
        <v>155.30000000000001</v>
      </c>
      <c r="S51" s="154">
        <f t="shared" si="43"/>
        <v>16.2</v>
      </c>
      <c r="T51" s="154">
        <f t="shared" si="44"/>
        <v>520.9</v>
      </c>
      <c r="U51" s="1425"/>
      <c r="V51" s="154">
        <f>T51*$U$9-0.3</f>
        <v>520.6</v>
      </c>
      <c r="W51" s="154">
        <f t="shared" si="20"/>
        <v>157.19999999999999</v>
      </c>
      <c r="X51" s="276"/>
      <c r="Y51" s="24">
        <v>35</v>
      </c>
      <c r="Z51" s="48">
        <f t="shared" si="45"/>
        <v>0</v>
      </c>
      <c r="AA51" s="54"/>
      <c r="AB51" s="24">
        <v>17.5</v>
      </c>
      <c r="AC51" s="48">
        <f t="shared" si="46"/>
        <v>0</v>
      </c>
      <c r="AD51" s="54"/>
      <c r="AE51" s="24">
        <v>35</v>
      </c>
      <c r="AF51" s="48">
        <f t="shared" si="47"/>
        <v>0</v>
      </c>
      <c r="AG51" s="276">
        <f t="shared" si="0"/>
        <v>0</v>
      </c>
      <c r="AH51" s="48">
        <f t="shared" si="48"/>
        <v>0</v>
      </c>
      <c r="AI51" s="39">
        <f t="shared" si="34"/>
        <v>57844.44</v>
      </c>
      <c r="AJ51" s="34"/>
      <c r="AK51" s="34">
        <f t="shared" si="35"/>
        <v>694.1</v>
      </c>
      <c r="AL51" s="34">
        <f t="shared" si="49"/>
        <v>243.8</v>
      </c>
      <c r="AM51" s="51">
        <v>0.30199999999999999</v>
      </c>
      <c r="AN51" s="50"/>
      <c r="AO51" s="50"/>
      <c r="AP51" s="50"/>
      <c r="AQ51" s="50">
        <f t="shared" si="7"/>
        <v>0</v>
      </c>
      <c r="AR51" s="51"/>
    </row>
    <row r="52" spans="1:44" s="33" customFormat="1" ht="20.25" customHeight="1" x14ac:dyDescent="0.2">
      <c r="A52" s="1438" t="s">
        <v>72</v>
      </c>
      <c r="B52" s="1438"/>
      <c r="C52" s="230">
        <f t="shared" ref="C52:AG52" si="50">SUM(C9:C51)</f>
        <v>59.75</v>
      </c>
      <c r="D52" s="231">
        <f t="shared" si="50"/>
        <v>419</v>
      </c>
      <c r="E52" s="231">
        <f t="shared" si="50"/>
        <v>591.79999999999995</v>
      </c>
      <c r="F52" s="231">
        <f t="shared" si="50"/>
        <v>7100.7</v>
      </c>
      <c r="G52" s="231">
        <f t="shared" si="50"/>
        <v>0.4</v>
      </c>
      <c r="H52" s="231">
        <f t="shared" si="50"/>
        <v>204.3</v>
      </c>
      <c r="I52" s="231">
        <f t="shared" si="50"/>
        <v>0</v>
      </c>
      <c r="J52" s="231">
        <f t="shared" si="50"/>
        <v>93.9</v>
      </c>
      <c r="K52" s="231">
        <f t="shared" si="50"/>
        <v>1647.5</v>
      </c>
      <c r="L52" s="231">
        <f t="shared" si="50"/>
        <v>2508.9</v>
      </c>
      <c r="M52" s="231">
        <f t="shared" si="50"/>
        <v>11555.7</v>
      </c>
      <c r="N52" s="231">
        <f t="shared" si="50"/>
        <v>19.100000000000001</v>
      </c>
      <c r="O52" s="231">
        <f t="shared" si="50"/>
        <v>5402.6</v>
      </c>
      <c r="P52" s="231">
        <f t="shared" si="50"/>
        <v>16958.3</v>
      </c>
      <c r="Q52" s="231">
        <f t="shared" si="50"/>
        <v>13566</v>
      </c>
      <c r="R52" s="231">
        <f t="shared" si="50"/>
        <v>13566</v>
      </c>
      <c r="S52" s="231">
        <f t="shared" si="50"/>
        <v>1410.9</v>
      </c>
      <c r="T52" s="231">
        <f t="shared" si="50"/>
        <v>45501.2</v>
      </c>
      <c r="U52" s="231">
        <f t="shared" si="50"/>
        <v>1</v>
      </c>
      <c r="V52" s="231">
        <f t="shared" si="50"/>
        <v>45500.9</v>
      </c>
      <c r="W52" s="231">
        <f t="shared" si="50"/>
        <v>13348.7</v>
      </c>
      <c r="X52" s="231">
        <f t="shared" si="50"/>
        <v>34</v>
      </c>
      <c r="Y52" s="231">
        <f t="shared" si="50"/>
        <v>1305</v>
      </c>
      <c r="Z52" s="231">
        <f t="shared" si="50"/>
        <v>1040</v>
      </c>
      <c r="AA52" s="231">
        <f t="shared" si="50"/>
        <v>17</v>
      </c>
      <c r="AB52" s="231">
        <f t="shared" si="50"/>
        <v>652.5</v>
      </c>
      <c r="AC52" s="231">
        <f t="shared" si="50"/>
        <v>255</v>
      </c>
      <c r="AD52" s="231">
        <f t="shared" si="50"/>
        <v>6</v>
      </c>
      <c r="AE52" s="231">
        <f t="shared" si="50"/>
        <v>1305</v>
      </c>
      <c r="AF52" s="231">
        <f t="shared" si="50"/>
        <v>185</v>
      </c>
      <c r="AG52" s="231">
        <f t="shared" si="50"/>
        <v>444</v>
      </c>
      <c r="AH52" s="231">
        <f>SUM(AH9:AH51)</f>
        <v>1924</v>
      </c>
      <c r="AN52" s="211"/>
      <c r="AO52" s="211"/>
      <c r="AP52" s="211"/>
      <c r="AQ52" s="50">
        <f t="shared" si="7"/>
        <v>0</v>
      </c>
    </row>
    <row r="53" spans="1:44" ht="17.25" customHeight="1" x14ac:dyDescent="0.2">
      <c r="G53" s="39"/>
      <c r="H53" s="39"/>
      <c r="I53" s="39"/>
      <c r="J53" s="39"/>
      <c r="K53" s="39"/>
      <c r="L53" s="232"/>
      <c r="M53" s="232"/>
      <c r="N53" s="232"/>
      <c r="O53" s="232"/>
      <c r="P53" s="232"/>
      <c r="Q53" s="39"/>
      <c r="R53" s="39"/>
      <c r="S53" s="39"/>
      <c r="T53" s="39"/>
      <c r="V53" s="34"/>
      <c r="W53" s="66"/>
      <c r="X53" s="39"/>
      <c r="AA53" s="39"/>
      <c r="AD53" s="39"/>
      <c r="AG53" s="39"/>
      <c r="AH53" s="39"/>
    </row>
    <row r="54" spans="1:44" s="75" customFormat="1" x14ac:dyDescent="0.2">
      <c r="A54" s="70"/>
      <c r="B54" s="70"/>
      <c r="C54" s="71"/>
      <c r="D54" s="72"/>
      <c r="E54" s="72"/>
      <c r="F54" s="72"/>
      <c r="G54" s="72"/>
      <c r="H54" s="73"/>
      <c r="I54" s="73"/>
      <c r="J54" s="27"/>
      <c r="K54" s="27"/>
      <c r="L54" s="27"/>
      <c r="M54" s="27"/>
      <c r="N54" s="74"/>
      <c r="O54" s="27"/>
      <c r="P54" s="27"/>
      <c r="Q54" s="27"/>
      <c r="R54" s="27"/>
      <c r="S54" s="27"/>
      <c r="T54" s="27"/>
      <c r="U54" s="27"/>
      <c r="V54" s="27"/>
      <c r="W54" s="27"/>
      <c r="X54" s="27"/>
      <c r="Y54" s="27"/>
      <c r="Z54" s="27"/>
      <c r="AA54" s="27"/>
      <c r="AB54" s="27"/>
      <c r="AC54" s="27"/>
      <c r="AD54" s="27"/>
      <c r="AE54" s="27"/>
      <c r="AF54" s="27"/>
      <c r="AG54" s="27"/>
      <c r="AH54" s="27"/>
      <c r="AI54" s="27"/>
      <c r="AJ54" s="76"/>
      <c r="AN54" s="76"/>
      <c r="AO54" s="76"/>
      <c r="AP54" s="76"/>
      <c r="AQ54" s="76"/>
      <c r="AR54" s="76"/>
    </row>
    <row r="55" spans="1:44" s="75" customFormat="1" ht="104.25" customHeight="1" x14ac:dyDescent="0.2">
      <c r="A55" s="70"/>
      <c r="B55" s="70"/>
      <c r="C55" s="71"/>
      <c r="D55" s="77"/>
      <c r="E55" s="77"/>
      <c r="F55" s="27"/>
      <c r="G55" s="1438" t="s">
        <v>140</v>
      </c>
      <c r="H55" s="1438"/>
      <c r="I55" s="1438" t="s">
        <v>144</v>
      </c>
      <c r="J55" s="1438"/>
      <c r="K55" s="1433" t="s">
        <v>145</v>
      </c>
      <c r="L55" s="1434"/>
      <c r="M55" s="1438" t="s">
        <v>128</v>
      </c>
      <c r="N55" s="1438"/>
      <c r="O55" s="70"/>
      <c r="P55" s="70"/>
      <c r="Q55" s="27"/>
      <c r="R55" s="27"/>
      <c r="S55" s="27"/>
      <c r="T55" s="27"/>
      <c r="U55" s="27"/>
      <c r="V55" s="27"/>
      <c r="W55" s="27"/>
      <c r="X55" s="27"/>
      <c r="Y55" s="27"/>
      <c r="Z55" s="27"/>
      <c r="AA55" s="27"/>
      <c r="AB55" s="27"/>
      <c r="AC55" s="27"/>
      <c r="AD55" s="27"/>
      <c r="AE55" s="27"/>
      <c r="AF55" s="27"/>
      <c r="AG55" s="27"/>
      <c r="AH55" s="27"/>
      <c r="AI55" s="27"/>
      <c r="AJ55" s="76"/>
      <c r="AN55" s="76"/>
      <c r="AO55" s="76"/>
      <c r="AP55" s="76"/>
      <c r="AQ55" s="76"/>
      <c r="AR55" s="76"/>
    </row>
    <row r="56" spans="1:44" s="75" customFormat="1" x14ac:dyDescent="0.2">
      <c r="A56" s="70"/>
      <c r="B56" s="70"/>
      <c r="C56" s="71"/>
      <c r="D56" s="77"/>
      <c r="E56" s="77"/>
      <c r="F56" s="27"/>
      <c r="G56" s="28">
        <v>991</v>
      </c>
      <c r="H56" s="28">
        <v>992</v>
      </c>
      <c r="I56" s="28">
        <v>991</v>
      </c>
      <c r="J56" s="28">
        <v>992</v>
      </c>
      <c r="K56" s="28">
        <v>991</v>
      </c>
      <c r="L56" s="28">
        <v>992</v>
      </c>
      <c r="M56" s="28">
        <v>991</v>
      </c>
      <c r="N56" s="28">
        <v>992</v>
      </c>
      <c r="O56" s="79"/>
      <c r="P56" s="79"/>
      <c r="Q56" s="27"/>
      <c r="R56" s="27"/>
      <c r="S56" s="27"/>
      <c r="T56" s="27"/>
      <c r="U56" s="27"/>
      <c r="V56" s="27"/>
      <c r="W56" s="27"/>
      <c r="X56" s="27"/>
      <c r="Y56" s="27"/>
      <c r="Z56" s="27"/>
      <c r="AA56" s="27"/>
      <c r="AB56" s="27"/>
      <c r="AC56" s="27"/>
      <c r="AD56" s="27"/>
      <c r="AE56" s="27"/>
      <c r="AF56" s="27"/>
      <c r="AG56" s="27"/>
      <c r="AH56" s="27"/>
      <c r="AI56" s="27"/>
      <c r="AJ56" s="76"/>
      <c r="AN56" s="76"/>
      <c r="AO56" s="76"/>
      <c r="AP56" s="76"/>
      <c r="AQ56" s="76"/>
      <c r="AR56" s="76"/>
    </row>
    <row r="57" spans="1:44" s="75" customFormat="1" x14ac:dyDescent="0.2">
      <c r="A57" s="70"/>
      <c r="B57" s="70"/>
      <c r="C57" s="71"/>
      <c r="D57" s="77"/>
      <c r="E57" s="77"/>
      <c r="F57" s="27"/>
      <c r="G57" s="29">
        <v>46179.199999999997</v>
      </c>
      <c r="H57" s="29">
        <v>13446.9</v>
      </c>
      <c r="I57" s="29">
        <f>245.4+176.6+93.6+162.7</f>
        <v>678.3</v>
      </c>
      <c r="J57" s="29">
        <f>74.1+53.3+28.3+49.1</f>
        <v>204.8</v>
      </c>
      <c r="K57" s="29">
        <f>V52</f>
        <v>45500.9</v>
      </c>
      <c r="L57" s="29">
        <f>W52</f>
        <v>13348.7</v>
      </c>
      <c r="M57" s="29">
        <f>G57-I57-K57</f>
        <v>0</v>
      </c>
      <c r="N57" s="29">
        <f>H57-J57-L57</f>
        <v>-106.6</v>
      </c>
      <c r="O57" s="80"/>
      <c r="P57" s="80"/>
      <c r="Q57" s="27"/>
      <c r="R57" s="27"/>
      <c r="S57" s="27"/>
      <c r="T57" s="27"/>
      <c r="U57" s="27"/>
      <c r="V57" s="27"/>
      <c r="W57" s="27"/>
      <c r="X57" s="27"/>
      <c r="Y57" s="27"/>
      <c r="Z57" s="27"/>
      <c r="AA57" s="27"/>
      <c r="AB57" s="27"/>
      <c r="AC57" s="27"/>
      <c r="AD57" s="27"/>
      <c r="AE57" s="27"/>
      <c r="AF57" s="27"/>
      <c r="AG57" s="27"/>
      <c r="AH57" s="27"/>
      <c r="AI57" s="27"/>
      <c r="AJ57" s="76"/>
      <c r="AN57" s="76"/>
      <c r="AO57" s="76"/>
      <c r="AP57" s="76"/>
      <c r="AQ57" s="76"/>
      <c r="AR57" s="76"/>
    </row>
    <row r="58" spans="1:44" s="75" customFormat="1" x14ac:dyDescent="0.2">
      <c r="A58" s="70"/>
      <c r="B58" s="70"/>
      <c r="C58" s="71"/>
      <c r="D58" s="77"/>
      <c r="E58" s="77"/>
      <c r="F58" s="27"/>
      <c r="G58" s="27"/>
      <c r="H58" s="73"/>
      <c r="I58" s="73"/>
      <c r="J58" s="27"/>
      <c r="K58" s="27"/>
      <c r="L58" s="27"/>
      <c r="M58" s="27"/>
      <c r="N58" s="74"/>
      <c r="O58" s="27"/>
      <c r="P58" s="27"/>
      <c r="Q58" s="27"/>
      <c r="R58" s="27"/>
      <c r="S58" s="27"/>
      <c r="T58" s="27"/>
      <c r="U58" s="27"/>
      <c r="V58" s="27"/>
      <c r="W58" s="27"/>
      <c r="X58" s="27"/>
      <c r="Y58" s="27"/>
      <c r="Z58" s="27"/>
      <c r="AA58" s="27"/>
      <c r="AB58" s="27"/>
      <c r="AC58" s="27"/>
      <c r="AD58" s="27"/>
      <c r="AE58" s="27"/>
      <c r="AF58" s="27"/>
      <c r="AG58" s="27"/>
      <c r="AH58" s="76"/>
      <c r="AM58" s="76"/>
      <c r="AN58" s="211"/>
      <c r="AO58" s="211"/>
      <c r="AP58" s="211"/>
      <c r="AQ58" s="211"/>
    </row>
    <row r="59" spans="1:44" s="35" customFormat="1" ht="20.25" x14ac:dyDescent="0.2">
      <c r="A59" s="81"/>
      <c r="B59" s="82" t="s">
        <v>138</v>
      </c>
      <c r="C59" s="83"/>
      <c r="D59" s="84"/>
      <c r="E59" s="84"/>
      <c r="F59" s="85"/>
      <c r="G59" s="85"/>
      <c r="H59" s="86"/>
      <c r="I59" s="86"/>
      <c r="J59" s="85"/>
      <c r="K59" s="30" t="s">
        <v>167</v>
      </c>
      <c r="L59" s="85"/>
      <c r="M59" s="85"/>
      <c r="N59" s="87"/>
      <c r="O59" s="85"/>
      <c r="P59" s="85"/>
      <c r="Q59" s="85"/>
      <c r="R59" s="85"/>
      <c r="S59" s="85"/>
      <c r="T59" s="85"/>
      <c r="U59" s="85"/>
      <c r="V59" s="85"/>
      <c r="W59" s="85"/>
      <c r="X59" s="85"/>
      <c r="Y59" s="85"/>
      <c r="Z59" s="85"/>
      <c r="AA59" s="85"/>
      <c r="AB59" s="85"/>
      <c r="AC59" s="85"/>
      <c r="AD59" s="85"/>
      <c r="AE59" s="85"/>
      <c r="AF59" s="85"/>
      <c r="AG59" s="85"/>
      <c r="AH59" s="85"/>
      <c r="AI59" s="85"/>
      <c r="AK59" s="88"/>
      <c r="AL59" s="88"/>
      <c r="AM59" s="88"/>
      <c r="AN59" s="88"/>
      <c r="AO59" s="88"/>
    </row>
    <row r="60" spans="1:44" s="75" customFormat="1" x14ac:dyDescent="0.2">
      <c r="A60" s="70"/>
      <c r="B60" s="70"/>
      <c r="C60" s="71"/>
      <c r="D60" s="77"/>
      <c r="E60" s="77"/>
      <c r="F60" s="27"/>
      <c r="G60" s="27"/>
      <c r="H60" s="73"/>
      <c r="I60" s="73"/>
      <c r="J60" s="27"/>
      <c r="K60" s="27"/>
      <c r="L60" s="27"/>
      <c r="M60" s="27"/>
      <c r="N60" s="74"/>
      <c r="O60" s="27"/>
      <c r="P60" s="27"/>
      <c r="Q60" s="27"/>
      <c r="R60" s="27"/>
      <c r="S60" s="27"/>
      <c r="T60" s="27"/>
      <c r="U60" s="27"/>
      <c r="V60" s="27"/>
      <c r="W60" s="27"/>
      <c r="X60" s="27"/>
      <c r="Y60" s="27"/>
      <c r="Z60" s="27"/>
      <c r="AA60" s="27"/>
      <c r="AB60" s="27"/>
      <c r="AC60" s="27"/>
      <c r="AD60" s="27"/>
      <c r="AE60" s="27"/>
      <c r="AF60" s="27"/>
      <c r="AG60" s="27"/>
      <c r="AH60" s="76"/>
      <c r="AM60" s="76"/>
      <c r="AN60" s="211"/>
      <c r="AO60" s="211"/>
      <c r="AP60" s="211"/>
      <c r="AQ60" s="211"/>
    </row>
    <row r="61" spans="1:44" s="75" customFormat="1" ht="20.25" customHeight="1" x14ac:dyDescent="0.2">
      <c r="A61" s="89" t="s">
        <v>96</v>
      </c>
      <c r="B61" s="89"/>
      <c r="C61" s="31"/>
      <c r="D61" s="31"/>
      <c r="E61" s="31"/>
      <c r="F61" s="31"/>
      <c r="G61" s="31"/>
      <c r="H61" s="31"/>
      <c r="I61" s="31"/>
      <c r="J61" s="31"/>
      <c r="K61" s="31"/>
      <c r="L61" s="90"/>
      <c r="M61" s="90"/>
      <c r="N61" s="91"/>
      <c r="O61" s="90"/>
      <c r="P61" s="90"/>
      <c r="Q61" s="90"/>
      <c r="R61" s="90"/>
      <c r="S61" s="90"/>
      <c r="T61" s="90"/>
      <c r="U61" s="90"/>
      <c r="V61" s="90"/>
      <c r="W61" s="90"/>
      <c r="X61" s="90"/>
      <c r="Y61" s="90"/>
      <c r="Z61" s="90"/>
      <c r="AA61" s="90"/>
      <c r="AB61" s="90"/>
      <c r="AC61" s="90"/>
      <c r="AD61" s="90"/>
      <c r="AE61" s="90"/>
      <c r="AF61" s="90"/>
      <c r="AG61" s="90"/>
      <c r="AH61" s="76"/>
      <c r="AM61" s="76"/>
      <c r="AN61" s="211"/>
      <c r="AO61" s="211"/>
      <c r="AP61" s="211"/>
      <c r="AQ61" s="211"/>
    </row>
    <row r="62" spans="1:44" s="75" customFormat="1" ht="20.25" customHeight="1" x14ac:dyDescent="0.2">
      <c r="A62" s="89" t="s">
        <v>139</v>
      </c>
      <c r="B62" s="92"/>
      <c r="C62" s="93"/>
      <c r="D62" s="93"/>
      <c r="E62" s="32"/>
      <c r="F62" s="32"/>
      <c r="G62" s="32"/>
      <c r="H62" s="32"/>
      <c r="I62" s="32"/>
      <c r="J62" s="32"/>
      <c r="K62" s="32"/>
      <c r="L62" s="90"/>
      <c r="M62" s="90"/>
      <c r="N62" s="90"/>
      <c r="O62" s="90"/>
      <c r="P62" s="90"/>
      <c r="Q62" s="90"/>
      <c r="R62" s="90"/>
      <c r="S62" s="90"/>
      <c r="T62" s="90"/>
      <c r="U62" s="90"/>
      <c r="V62" s="90"/>
      <c r="W62" s="90"/>
      <c r="X62" s="90"/>
      <c r="Y62" s="90"/>
      <c r="Z62" s="90"/>
      <c r="AA62" s="90"/>
      <c r="AB62" s="90"/>
      <c r="AC62" s="90"/>
      <c r="AD62" s="90"/>
      <c r="AE62" s="90"/>
      <c r="AF62" s="90"/>
      <c r="AG62" s="90"/>
      <c r="AH62" s="76"/>
      <c r="AM62" s="76"/>
      <c r="AN62" s="211"/>
      <c r="AO62" s="211"/>
      <c r="AP62" s="211"/>
      <c r="AQ62" s="211"/>
    </row>
    <row r="64" spans="1:44" hidden="1" x14ac:dyDescent="0.2">
      <c r="A64" s="23"/>
      <c r="B64" s="233" t="s">
        <v>121</v>
      </c>
      <c r="C64" s="233">
        <f t="shared" ref="C64:W64" si="51">C9+C10+C12</f>
        <v>3</v>
      </c>
      <c r="D64" s="233">
        <f t="shared" si="51"/>
        <v>61.43</v>
      </c>
      <c r="E64" s="183">
        <f t="shared" si="51"/>
        <v>61.44</v>
      </c>
      <c r="F64" s="233">
        <f t="shared" si="51"/>
        <v>737.2</v>
      </c>
      <c r="G64" s="233">
        <f t="shared" si="51"/>
        <v>0</v>
      </c>
      <c r="H64" s="233">
        <f t="shared" si="51"/>
        <v>8.6999999999999993</v>
      </c>
      <c r="I64" s="233">
        <f t="shared" si="51"/>
        <v>0</v>
      </c>
      <c r="J64" s="233">
        <f t="shared" si="51"/>
        <v>0</v>
      </c>
      <c r="K64" s="233">
        <f t="shared" si="51"/>
        <v>208.9</v>
      </c>
      <c r="L64" s="233">
        <f t="shared" si="51"/>
        <v>249.5</v>
      </c>
      <c r="M64" s="233">
        <f t="shared" si="51"/>
        <v>1204.3</v>
      </c>
      <c r="N64" s="233">
        <f t="shared" si="51"/>
        <v>1.92</v>
      </c>
      <c r="O64" s="233">
        <f t="shared" si="51"/>
        <v>838.4</v>
      </c>
      <c r="P64" s="233">
        <f t="shared" si="51"/>
        <v>2042.7</v>
      </c>
      <c r="Q64" s="233">
        <f t="shared" si="51"/>
        <v>1634.1</v>
      </c>
      <c r="R64" s="233">
        <f t="shared" si="51"/>
        <v>1634.1</v>
      </c>
      <c r="S64" s="233">
        <f t="shared" si="51"/>
        <v>170</v>
      </c>
      <c r="T64" s="233">
        <f t="shared" si="51"/>
        <v>5480.9</v>
      </c>
      <c r="U64" s="233">
        <f t="shared" si="51"/>
        <v>1</v>
      </c>
      <c r="V64" s="233">
        <f t="shared" si="51"/>
        <v>5480.9</v>
      </c>
      <c r="W64" s="233">
        <f t="shared" si="51"/>
        <v>1328</v>
      </c>
      <c r="X64" s="234">
        <f>V64+W64</f>
        <v>6808.9</v>
      </c>
    </row>
    <row r="65" spans="1:26" hidden="1" x14ac:dyDescent="0.2">
      <c r="A65" s="23"/>
      <c r="B65" s="233" t="s">
        <v>122</v>
      </c>
      <c r="C65" s="233" t="e">
        <f>C13+C14+#REF!+C15+C16+C17+C19+C20+C21+C22+C23+C24+C25+C26+C27+C28+C29+C30+C31+C32+C33+C34+C35+C36+C38+#REF!+C39+C40+C41</f>
        <v>#REF!</v>
      </c>
      <c r="D65" s="233" t="e">
        <f>D13+D14+#REF!+D15+D16+D17+D19+D20+D21+D22+D23+D24+D25+D26+D27+D28+D29+D30+D31+D32+D33+D34+D35+D36+D38+#REF!+D39+D40+D41</f>
        <v>#REF!</v>
      </c>
      <c r="E65" s="183" t="e">
        <f>E13+E14+#REF!+E15+E16+E17+E19+E20+E21+E22+E23+E24+E25+E26+E27+E28+E29+E30+E31+E32+E33+E34+E35+E36+E38+#REF!+E39+E40+E41</f>
        <v>#REF!</v>
      </c>
      <c r="F65" s="233" t="e">
        <f>F13+F14+#REF!+F15+F16+F17+F19+F20+F21+F22+F23+F24+F25+F26+F27+F28+F29+F30+F31+F32+F33+F34+F35+F36+F38+#REF!+F39+F40+F41</f>
        <v>#REF!</v>
      </c>
      <c r="G65" s="233" t="e">
        <f>G13+G14+#REF!+G15+G16+G17+G19+G20+G21+G22+G23+G24+G25+G26+G27+G28+G29+G30+G31+G32+G33+G34+G35+G36+G38+#REF!+G39+G40+G41</f>
        <v>#REF!</v>
      </c>
      <c r="H65" s="233" t="e">
        <f>H13+H14+#REF!+H15+H16+H17+H19+H20+H21+H22+H23+H24+H25+H26+H27+H28+H29+H30+H31+H32+H33+H34+H35+H36+H38+#REF!+H39+H40+H41</f>
        <v>#REF!</v>
      </c>
      <c r="I65" s="233" t="e">
        <f>I13+I14+#REF!+I15+I16+I17+I19+I20+I21+I22+I23+I24+I25+I26+I27+I28+I29+I30+I31+I32+I33+I34+I35+I36+I38+#REF!+I39+I40+I41</f>
        <v>#REF!</v>
      </c>
      <c r="J65" s="233" t="e">
        <f>J13+J14+#REF!+J15+J16+J17+J19+J20+J21+J22+J23+J24+J25+J26+J27+J28+J29+J30+J31+J32+J33+J34+J35+J36+J38+#REF!+J39+J40+J41</f>
        <v>#REF!</v>
      </c>
      <c r="K65" s="233" t="e">
        <f>K13+K14+#REF!+K15+K16+K17+K19+K20+K21+K22+K23+K24+K25+K26+K27+K28+K29+K30+K31+K32+K33+K34+K35+K36+K38+#REF!+K39+K40+K41</f>
        <v>#REF!</v>
      </c>
      <c r="L65" s="233" t="e">
        <f>L13+L14+#REF!+L15+L16+L17+L19+L20+L21+L22+L23+L24+L25+L26+L27+L28+L29+L30+L31+L32+L33+L34+L35+L36+L38+#REF!+L39+L40+L41</f>
        <v>#REF!</v>
      </c>
      <c r="M65" s="233" t="e">
        <f>M13+M14+#REF!+M15+M16+M17+M19+M20+M21+M22+M23+M24+M25+M26+M27+M28+M29+M30+M31+M32+M33+M34+M35+M36+M38+#REF!+M39+M40+M41</f>
        <v>#REF!</v>
      </c>
      <c r="N65" s="233" t="e">
        <f>N13+N14+#REF!+N15+N16+N17+N19+N20+N21+N22+N23+N24+N25+N26+N27+N28+N29+N30+N31+N32+N33+N34+N35+N36+N38+#REF!+N39+N40+N41</f>
        <v>#REF!</v>
      </c>
      <c r="O65" s="233" t="e">
        <f>O13+O14+#REF!+O15+O16+O17+O19+O20+O21+O22+O23+O24+O25+O26+O27+O28+O29+O30+O31+O32+O33+O34+O35+O36+O38+#REF!+O39+O40+O41</f>
        <v>#REF!</v>
      </c>
      <c r="P65" s="233" t="e">
        <f>P13+P14+#REF!+P15+P16+P17+P19+P20+P21+P22+P23+P24+P25+P26+P27+P28+P29+P30+P31+P32+P33+P34+P35+P36+P38+#REF!+P39+P40+P41</f>
        <v>#REF!</v>
      </c>
      <c r="Q65" s="233" t="e">
        <f>Q13+Q14+#REF!+Q15+Q16+Q17+Q19+Q20+Q21+Q22+Q23+Q24+Q25+Q26+Q27+Q28+Q29+Q30+Q31+Q32+Q33+Q34+Q35+Q36+Q38+#REF!+Q39+Q40+Q41</f>
        <v>#REF!</v>
      </c>
      <c r="R65" s="233" t="e">
        <f>R13+R14+#REF!+R15+R16+R17+R19+R20+R21+R22+R23+R24+R25+R26+R27+R28+R29+R30+R31+R32+R33+R34+R35+R36+R38+#REF!+R39+R40+R41</f>
        <v>#REF!</v>
      </c>
      <c r="S65" s="233" t="e">
        <f>S13+S14+#REF!+S15+S16+S17+S19+S20+S21+S22+S23+S24+S25+S26+S27+S28+S29+S30+S31+S32+S33+S34+S35+S36+S38+#REF!+S39+S40+S41</f>
        <v>#REF!</v>
      </c>
      <c r="T65" s="233" t="e">
        <f>T13+T14+#REF!+T15+T16+T17+T19+T20+T21+T22+T23+T24+T25+T26+T27+T28+T29+T30+T31+T32+T33+T34+T35+T36+T38+#REF!+T39+T40+T41</f>
        <v>#REF!</v>
      </c>
      <c r="U65" s="233" t="e">
        <f>U13+U14+#REF!+U15+U16+U17+U19+U20+U21+U22+U23+U24+U25+U26+U27+U28+U29+U30+U31+U32+U33+U34+U35+U36+U38+#REF!+U39+U40+U41</f>
        <v>#REF!</v>
      </c>
      <c r="V65" s="233" t="e">
        <f>V13+V14+#REF!+V15+V16+V17+V19+V20+V21+V22+V23+V24+V25+V26+V27+V28+V29+V30+V31+V32+V33+V34+V35+V36+V38+#REF!+V39+V40+V41</f>
        <v>#REF!</v>
      </c>
      <c r="W65" s="233" t="e">
        <f>W13+W14+#REF!+W15+W16+W17+W19+W20+W21+W22+W23+W24+W25+W26+W27+W28+W29+W30+W31+W32+W33+W34+W35+W36+W38+#REF!+W39+W40+W41</f>
        <v>#REF!</v>
      </c>
      <c r="X65" s="234" t="e">
        <f>V65+W65</f>
        <v>#REF!</v>
      </c>
    </row>
    <row r="66" spans="1:26" hidden="1" x14ac:dyDescent="0.2">
      <c r="A66" s="23"/>
      <c r="B66" s="233" t="s">
        <v>123</v>
      </c>
      <c r="C66" s="233" t="e">
        <f>C11+C18+#REF!</f>
        <v>#REF!</v>
      </c>
      <c r="D66" s="233" t="e">
        <f>D11+D18+#REF!</f>
        <v>#REF!</v>
      </c>
      <c r="E66" s="183" t="e">
        <f>E11+E18+#REF!</f>
        <v>#REF!</v>
      </c>
      <c r="F66" s="233" t="e">
        <f>F11+F18+#REF!</f>
        <v>#REF!</v>
      </c>
      <c r="G66" s="233" t="e">
        <f>G11+G18+#REF!</f>
        <v>#REF!</v>
      </c>
      <c r="H66" s="233" t="e">
        <f>H11+H18+#REF!</f>
        <v>#REF!</v>
      </c>
      <c r="I66" s="233" t="e">
        <f>I11+I18+#REF!</f>
        <v>#REF!</v>
      </c>
      <c r="J66" s="233" t="e">
        <f>J11+J18+#REF!</f>
        <v>#REF!</v>
      </c>
      <c r="K66" s="233" t="e">
        <f>K11+K18+#REF!</f>
        <v>#REF!</v>
      </c>
      <c r="L66" s="233" t="e">
        <f>L11+L18+#REF!</f>
        <v>#REF!</v>
      </c>
      <c r="M66" s="233" t="e">
        <f>M11+M18+#REF!</f>
        <v>#REF!</v>
      </c>
      <c r="N66" s="233" t="e">
        <f>N11+N18+#REF!</f>
        <v>#REF!</v>
      </c>
      <c r="O66" s="233" t="e">
        <f>O11+O18+#REF!</f>
        <v>#REF!</v>
      </c>
      <c r="P66" s="233" t="e">
        <f>P11+P18+#REF!</f>
        <v>#REF!</v>
      </c>
      <c r="Q66" s="233" t="e">
        <f>Q11+Q18+#REF!</f>
        <v>#REF!</v>
      </c>
      <c r="R66" s="233" t="e">
        <f>R11+R18+#REF!</f>
        <v>#REF!</v>
      </c>
      <c r="S66" s="233" t="e">
        <f>S11+S18+#REF!</f>
        <v>#REF!</v>
      </c>
      <c r="T66" s="233" t="e">
        <f>T11+T18+#REF!</f>
        <v>#REF!</v>
      </c>
      <c r="U66" s="233" t="e">
        <f>U11+U18+#REF!</f>
        <v>#REF!</v>
      </c>
      <c r="V66" s="233" t="e">
        <f>V11+V18+#REF!</f>
        <v>#REF!</v>
      </c>
      <c r="W66" s="233" t="e">
        <f>W11+W18+#REF!</f>
        <v>#REF!</v>
      </c>
      <c r="X66" s="234" t="e">
        <f>V66+W66</f>
        <v>#REF!</v>
      </c>
    </row>
    <row r="67" spans="1:26" hidden="1" x14ac:dyDescent="0.2">
      <c r="A67" s="23"/>
      <c r="B67" s="233"/>
      <c r="C67" s="233" t="e">
        <f>C64+C65+C66</f>
        <v>#REF!</v>
      </c>
      <c r="D67" s="233" t="e">
        <f t="shared" ref="D67:W67" si="52">D64+D65+D66</f>
        <v>#REF!</v>
      </c>
      <c r="E67" s="183" t="e">
        <f t="shared" si="52"/>
        <v>#REF!</v>
      </c>
      <c r="F67" s="233" t="e">
        <f t="shared" si="52"/>
        <v>#REF!</v>
      </c>
      <c r="G67" s="233" t="e">
        <f t="shared" si="52"/>
        <v>#REF!</v>
      </c>
      <c r="H67" s="233" t="e">
        <f t="shared" si="52"/>
        <v>#REF!</v>
      </c>
      <c r="I67" s="233" t="e">
        <f t="shared" si="52"/>
        <v>#REF!</v>
      </c>
      <c r="J67" s="233" t="e">
        <f t="shared" si="52"/>
        <v>#REF!</v>
      </c>
      <c r="K67" s="233" t="e">
        <f t="shared" si="52"/>
        <v>#REF!</v>
      </c>
      <c r="L67" s="233" t="e">
        <f t="shared" si="52"/>
        <v>#REF!</v>
      </c>
      <c r="M67" s="233" t="e">
        <f t="shared" si="52"/>
        <v>#REF!</v>
      </c>
      <c r="N67" s="233" t="e">
        <f t="shared" si="52"/>
        <v>#REF!</v>
      </c>
      <c r="O67" s="233" t="e">
        <f t="shared" si="52"/>
        <v>#REF!</v>
      </c>
      <c r="P67" s="233" t="e">
        <f t="shared" si="52"/>
        <v>#REF!</v>
      </c>
      <c r="Q67" s="233" t="e">
        <f t="shared" si="52"/>
        <v>#REF!</v>
      </c>
      <c r="R67" s="233" t="e">
        <f t="shared" si="52"/>
        <v>#REF!</v>
      </c>
      <c r="S67" s="233" t="e">
        <f t="shared" si="52"/>
        <v>#REF!</v>
      </c>
      <c r="T67" s="233" t="e">
        <f t="shared" si="52"/>
        <v>#REF!</v>
      </c>
      <c r="U67" s="233" t="e">
        <f t="shared" si="52"/>
        <v>#REF!</v>
      </c>
      <c r="V67" s="233" t="e">
        <f t="shared" si="52"/>
        <v>#REF!</v>
      </c>
      <c r="W67" s="233" t="e">
        <f t="shared" si="52"/>
        <v>#REF!</v>
      </c>
      <c r="X67" s="234" t="e">
        <f>V67+W67</f>
        <v>#REF!</v>
      </c>
      <c r="Y67" s="22" t="e">
        <f>V67+#REF!</f>
        <v>#REF!</v>
      </c>
      <c r="Z67" s="22" t="e">
        <f>W67+#REF!</f>
        <v>#REF!</v>
      </c>
    </row>
    <row r="68" spans="1:26" hidden="1" x14ac:dyDescent="0.2">
      <c r="A68" s="23"/>
      <c r="B68" s="233"/>
      <c r="C68" s="233"/>
      <c r="D68" s="233"/>
      <c r="E68" s="183"/>
      <c r="F68" s="233"/>
      <c r="G68" s="233"/>
      <c r="H68" s="233"/>
      <c r="I68" s="233"/>
      <c r="J68" s="233"/>
      <c r="K68" s="233"/>
      <c r="L68" s="233"/>
      <c r="M68" s="233"/>
      <c r="N68" s="233"/>
      <c r="O68" s="233"/>
      <c r="P68" s="233"/>
      <c r="Q68" s="233"/>
      <c r="R68" s="233"/>
      <c r="S68" s="233"/>
      <c r="T68" s="233"/>
      <c r="U68" s="233"/>
      <c r="V68" s="233"/>
      <c r="W68" s="233"/>
      <c r="X68" s="233"/>
    </row>
    <row r="69" spans="1:26" hidden="1" x14ac:dyDescent="0.2">
      <c r="E69" s="51"/>
    </row>
    <row r="70" spans="1:26" hidden="1" x14ac:dyDescent="0.2">
      <c r="E70" s="51"/>
    </row>
    <row r="71" spans="1:26" hidden="1" x14ac:dyDescent="0.2">
      <c r="E71" s="51"/>
    </row>
    <row r="72" spans="1:26" hidden="1" x14ac:dyDescent="0.2">
      <c r="E72" s="51"/>
    </row>
    <row r="73" spans="1:26" hidden="1" x14ac:dyDescent="0.2">
      <c r="E73" s="51"/>
    </row>
    <row r="74" spans="1:26" hidden="1" x14ac:dyDescent="0.2">
      <c r="E74" s="51"/>
    </row>
    <row r="75" spans="1:26" hidden="1" x14ac:dyDescent="0.2">
      <c r="E75" s="51"/>
    </row>
    <row r="76" spans="1:26" x14ac:dyDescent="0.2">
      <c r="E76" s="51"/>
    </row>
    <row r="77" spans="1:26" x14ac:dyDescent="0.2">
      <c r="E77" s="51"/>
    </row>
    <row r="78" spans="1:26" x14ac:dyDescent="0.2">
      <c r="E78" s="51"/>
    </row>
    <row r="79" spans="1:26" x14ac:dyDescent="0.2">
      <c r="E79" s="51"/>
    </row>
    <row r="80" spans="1:26" x14ac:dyDescent="0.2">
      <c r="E80" s="51"/>
    </row>
    <row r="81" spans="5:5" x14ac:dyDescent="0.2">
      <c r="E81" s="51"/>
    </row>
    <row r="82" spans="5:5" x14ac:dyDescent="0.2">
      <c r="E82" s="51"/>
    </row>
    <row r="83" spans="5:5" x14ac:dyDescent="0.2">
      <c r="E83" s="51"/>
    </row>
    <row r="84" spans="5:5" x14ac:dyDescent="0.2">
      <c r="E84" s="51"/>
    </row>
    <row r="85" spans="5:5" x14ac:dyDescent="0.2">
      <c r="E85" s="51"/>
    </row>
    <row r="86" spans="5:5" x14ac:dyDescent="0.2">
      <c r="E86" s="51"/>
    </row>
    <row r="87" spans="5:5" x14ac:dyDescent="0.2">
      <c r="E87" s="51"/>
    </row>
    <row r="88" spans="5:5" x14ac:dyDescent="0.2">
      <c r="E88" s="51"/>
    </row>
    <row r="89" spans="5:5" x14ac:dyDescent="0.2">
      <c r="E89" s="51"/>
    </row>
    <row r="90" spans="5:5" x14ac:dyDescent="0.2">
      <c r="E90" s="51"/>
    </row>
    <row r="91" spans="5:5" x14ac:dyDescent="0.2">
      <c r="E91" s="51"/>
    </row>
    <row r="92" spans="5:5" x14ac:dyDescent="0.2">
      <c r="E92" s="51"/>
    </row>
    <row r="93" spans="5:5" x14ac:dyDescent="0.2">
      <c r="E93" s="51"/>
    </row>
    <row r="94" spans="5:5" x14ac:dyDescent="0.2">
      <c r="E94" s="51"/>
    </row>
    <row r="95" spans="5:5" x14ac:dyDescent="0.2">
      <c r="E95" s="51"/>
    </row>
    <row r="96" spans="5:5" x14ac:dyDescent="0.2">
      <c r="E96" s="51"/>
    </row>
    <row r="97" spans="5:5" x14ac:dyDescent="0.2">
      <c r="E97" s="51"/>
    </row>
    <row r="98" spans="5:5" x14ac:dyDescent="0.2">
      <c r="E98" s="51"/>
    </row>
    <row r="99" spans="5:5" x14ac:dyDescent="0.2">
      <c r="E99" s="51"/>
    </row>
    <row r="100" spans="5:5" x14ac:dyDescent="0.2">
      <c r="E100" s="51"/>
    </row>
    <row r="101" spans="5:5" x14ac:dyDescent="0.2">
      <c r="E101" s="51"/>
    </row>
    <row r="102" spans="5:5" x14ac:dyDescent="0.2">
      <c r="E102" s="51"/>
    </row>
    <row r="103" spans="5:5" x14ac:dyDescent="0.2">
      <c r="E103" s="51"/>
    </row>
    <row r="104" spans="5:5" x14ac:dyDescent="0.2">
      <c r="E104" s="51"/>
    </row>
    <row r="105" spans="5:5" x14ac:dyDescent="0.2">
      <c r="E105" s="51"/>
    </row>
  </sheetData>
  <autoFilter ref="A8:AS57"/>
  <mergeCells count="38">
    <mergeCell ref="G55:H55"/>
    <mergeCell ref="M55:N55"/>
    <mergeCell ref="L6:L7"/>
    <mergeCell ref="M6:M7"/>
    <mergeCell ref="AH6:AH7"/>
    <mergeCell ref="W6:W7"/>
    <mergeCell ref="X6:Z6"/>
    <mergeCell ref="U6:U7"/>
    <mergeCell ref="V6:V7"/>
    <mergeCell ref="I55:J55"/>
    <mergeCell ref="K55:L55"/>
    <mergeCell ref="A52:B52"/>
    <mergeCell ref="U9:U51"/>
    <mergeCell ref="AA6:AC6"/>
    <mergeCell ref="AD6:AF6"/>
    <mergeCell ref="AG6:AG7"/>
    <mergeCell ref="G6:G7"/>
    <mergeCell ref="H6:H7"/>
    <mergeCell ref="I6:I7"/>
    <mergeCell ref="J6:J7"/>
    <mergeCell ref="T6:T7"/>
    <mergeCell ref="P6:P7"/>
    <mergeCell ref="Q6:Q7"/>
    <mergeCell ref="R6:R7"/>
    <mergeCell ref="F6:F7"/>
    <mergeCell ref="S6:S7"/>
    <mergeCell ref="K6:K7"/>
    <mergeCell ref="AE1:AH1"/>
    <mergeCell ref="A2:AH2"/>
    <mergeCell ref="A3:AH3"/>
    <mergeCell ref="A5:A7"/>
    <mergeCell ref="B5:B7"/>
    <mergeCell ref="C5:C7"/>
    <mergeCell ref="D5:W5"/>
    <mergeCell ref="D6:D7"/>
    <mergeCell ref="E6:E7"/>
    <mergeCell ref="N6:O6"/>
    <mergeCell ref="X5:AH5"/>
  </mergeCells>
  <printOptions horizontalCentered="1"/>
  <pageMargins left="0" right="0" top="0" bottom="0" header="0.31496062992125984" footer="0.31496062992125984"/>
  <pageSetup paperSize="9" scale="36" orientation="landscape"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AS66"/>
  <sheetViews>
    <sheetView view="pageBreakPreview" zoomScale="80" zoomScaleNormal="70" zoomScaleSheetLayoutView="80" workbookViewId="0">
      <pane xSplit="3" ySplit="8" topLeftCell="M18"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5" x14ac:dyDescent="0.2"/>
  <cols>
    <col min="1" max="1" width="9.6640625" style="98" customWidth="1"/>
    <col min="2" max="2" width="30.83203125" style="99" customWidth="1"/>
    <col min="3" max="3" width="13.83203125" style="99" customWidth="1"/>
    <col min="4" max="4" width="13.5" style="99" customWidth="1"/>
    <col min="5" max="5" width="13" style="99" customWidth="1"/>
    <col min="6" max="6" width="14.6640625" style="99" customWidth="1"/>
    <col min="7" max="7" width="11.5" style="99" customWidth="1"/>
    <col min="8" max="8" width="11.6640625" style="99" customWidth="1"/>
    <col min="9" max="9" width="11.33203125" style="99" customWidth="1"/>
    <col min="10" max="10" width="16" style="99" customWidth="1"/>
    <col min="11" max="11" width="13.1640625" style="99" customWidth="1"/>
    <col min="12" max="17" width="11.5" style="99" customWidth="1"/>
    <col min="18" max="18" width="11.6640625" style="99" customWidth="1"/>
    <col min="19" max="19" width="14.6640625" style="99" customWidth="1"/>
    <col min="20" max="20" width="12.33203125" style="99" customWidth="1"/>
    <col min="21" max="21" width="11.6640625" style="99" customWidth="1"/>
    <col min="22" max="22" width="13.83203125" style="99" customWidth="1"/>
    <col min="23" max="23" width="13" style="99" customWidth="1"/>
    <col min="24" max="24" width="11" style="99" customWidth="1"/>
    <col min="25" max="25" width="12.1640625" style="99" customWidth="1"/>
    <col min="26" max="26" width="9.6640625" style="99" customWidth="1"/>
    <col min="27" max="27" width="8.5" style="99" customWidth="1"/>
    <col min="28" max="28" width="9.1640625" style="99" customWidth="1"/>
    <col min="29" max="29" width="9" style="99" customWidth="1"/>
    <col min="30" max="30" width="8.5" style="99" customWidth="1"/>
    <col min="31" max="31" width="9.1640625" style="99" customWidth="1"/>
    <col min="32" max="32" width="10" style="99" customWidth="1"/>
    <col min="33" max="33" width="9.33203125" style="99" customWidth="1"/>
    <col min="34" max="34" width="10.6640625" style="99" customWidth="1"/>
    <col min="35" max="35" width="11.1640625" style="99" customWidth="1"/>
    <col min="36" max="36" width="9.33203125" style="99"/>
    <col min="37" max="37" width="10.6640625" style="99" bestFit="1" customWidth="1"/>
    <col min="38" max="38" width="9.33203125" style="99" hidden="1" customWidth="1"/>
    <col min="39" max="39" width="13" style="99" hidden="1" customWidth="1"/>
    <col min="40" max="40" width="14.1640625" style="211" bestFit="1" customWidth="1"/>
    <col min="41" max="42" width="9.33203125" style="211"/>
    <col min="43" max="43" width="11.33203125" style="211" bestFit="1" customWidth="1"/>
    <col min="44" max="16384" width="9.33203125" style="99"/>
  </cols>
  <sheetData>
    <row r="1" spans="1:45" ht="23.25" customHeight="1" x14ac:dyDescent="0.2">
      <c r="AE1" s="1439"/>
      <c r="AF1" s="1439"/>
      <c r="AG1" s="1439"/>
      <c r="AH1" s="1439"/>
    </row>
    <row r="2" spans="1:45" ht="24" customHeight="1" x14ac:dyDescent="0.2">
      <c r="A2" s="1440" t="s">
        <v>147</v>
      </c>
      <c r="B2" s="1440"/>
      <c r="C2" s="1440"/>
      <c r="D2" s="1440"/>
      <c r="E2" s="1440"/>
      <c r="F2" s="1440"/>
      <c r="G2" s="1440"/>
      <c r="H2" s="1440"/>
      <c r="I2" s="1440"/>
      <c r="J2" s="1440"/>
      <c r="K2" s="1440"/>
      <c r="L2" s="1440"/>
      <c r="M2" s="1440"/>
      <c r="N2" s="1440"/>
      <c r="O2" s="1440"/>
      <c r="P2" s="1440"/>
      <c r="Q2" s="1440"/>
      <c r="R2" s="1440"/>
      <c r="S2" s="1440"/>
      <c r="T2" s="1440"/>
      <c r="U2" s="1440"/>
      <c r="V2" s="1440"/>
      <c r="W2" s="1440"/>
      <c r="X2" s="1440"/>
      <c r="Y2" s="1440"/>
      <c r="Z2" s="1440"/>
      <c r="AA2" s="1440"/>
      <c r="AB2" s="1440"/>
      <c r="AC2" s="1440"/>
      <c r="AD2" s="1440"/>
      <c r="AE2" s="1440"/>
      <c r="AF2" s="1440"/>
      <c r="AG2" s="1440"/>
      <c r="AH2" s="1440"/>
      <c r="AI2" s="235"/>
    </row>
    <row r="3" spans="1:45" ht="24.75" customHeight="1" x14ac:dyDescent="0.2">
      <c r="A3" s="1441"/>
      <c r="B3" s="1441"/>
      <c r="C3" s="1441"/>
      <c r="D3" s="1441"/>
      <c r="E3" s="1441"/>
      <c r="F3" s="1441"/>
      <c r="G3" s="1441"/>
      <c r="H3" s="1441"/>
      <c r="I3" s="1441"/>
      <c r="J3" s="1441"/>
      <c r="K3" s="1441"/>
      <c r="L3" s="1441"/>
      <c r="M3" s="1441"/>
      <c r="N3" s="1441"/>
      <c r="O3" s="1441"/>
      <c r="P3" s="1441"/>
      <c r="Q3" s="1441"/>
      <c r="R3" s="1441"/>
      <c r="S3" s="1441"/>
      <c r="T3" s="1441"/>
      <c r="U3" s="1441"/>
      <c r="V3" s="1441"/>
      <c r="W3" s="1441"/>
      <c r="X3" s="1441"/>
      <c r="Y3" s="1441"/>
      <c r="Z3" s="1441"/>
      <c r="AA3" s="1441"/>
      <c r="AB3" s="1441"/>
      <c r="AC3" s="1441"/>
      <c r="AD3" s="1441"/>
      <c r="AE3" s="1441"/>
      <c r="AF3" s="1441"/>
      <c r="AG3" s="1441"/>
      <c r="AH3" s="1441"/>
      <c r="AI3" s="101"/>
    </row>
    <row r="4" spans="1:45" x14ac:dyDescent="0.2">
      <c r="L4" s="38">
        <v>0.15451000000000001</v>
      </c>
    </row>
    <row r="5" spans="1:45" ht="38.25" customHeight="1" x14ac:dyDescent="0.2">
      <c r="A5" s="1442" t="s">
        <v>78</v>
      </c>
      <c r="B5" s="1442" t="s">
        <v>77</v>
      </c>
      <c r="C5" s="1443" t="s">
        <v>0</v>
      </c>
      <c r="D5" s="1443" t="s">
        <v>3</v>
      </c>
      <c r="E5" s="1443"/>
      <c r="F5" s="1443"/>
      <c r="G5" s="1443"/>
      <c r="H5" s="1443"/>
      <c r="I5" s="1443"/>
      <c r="J5" s="1443"/>
      <c r="K5" s="1443"/>
      <c r="L5" s="1443"/>
      <c r="M5" s="1443"/>
      <c r="N5" s="1443"/>
      <c r="O5" s="1443"/>
      <c r="P5" s="1443"/>
      <c r="Q5" s="1443"/>
      <c r="R5" s="1443"/>
      <c r="S5" s="1443"/>
      <c r="T5" s="1443"/>
      <c r="U5" s="1443"/>
      <c r="V5" s="1443"/>
      <c r="W5" s="1443"/>
      <c r="X5" s="1443" t="s">
        <v>4</v>
      </c>
      <c r="Y5" s="1443"/>
      <c r="Z5" s="1443"/>
      <c r="AA5" s="1443"/>
      <c r="AB5" s="1443"/>
      <c r="AC5" s="1443"/>
      <c r="AD5" s="1443"/>
      <c r="AE5" s="1443"/>
      <c r="AF5" s="1443"/>
      <c r="AG5" s="1443"/>
      <c r="AH5" s="1443"/>
    </row>
    <row r="6" spans="1:45" ht="60" customHeight="1" x14ac:dyDescent="0.2">
      <c r="A6" s="1442"/>
      <c r="B6" s="1442"/>
      <c r="C6" s="1443"/>
      <c r="D6" s="1444" t="s">
        <v>68</v>
      </c>
      <c r="E6" s="1444" t="s">
        <v>69</v>
      </c>
      <c r="F6" s="1444" t="s">
        <v>89</v>
      </c>
      <c r="G6" s="1444" t="s">
        <v>1</v>
      </c>
      <c r="H6" s="1444" t="s">
        <v>2</v>
      </c>
      <c r="I6" s="1444" t="s">
        <v>70</v>
      </c>
      <c r="J6" s="1444" t="s">
        <v>61</v>
      </c>
      <c r="K6" s="1444" t="s">
        <v>27</v>
      </c>
      <c r="L6" s="1446" t="s">
        <v>65</v>
      </c>
      <c r="M6" s="1446" t="s">
        <v>86</v>
      </c>
      <c r="N6" s="1447" t="s">
        <v>90</v>
      </c>
      <c r="O6" s="1447"/>
      <c r="P6" s="1447" t="s">
        <v>88</v>
      </c>
      <c r="Q6" s="1446" t="s">
        <v>82</v>
      </c>
      <c r="R6" s="1444" t="s">
        <v>83</v>
      </c>
      <c r="S6" s="1446" t="s">
        <v>87</v>
      </c>
      <c r="T6" s="1444" t="s">
        <v>84</v>
      </c>
      <c r="U6" s="1444" t="s">
        <v>9</v>
      </c>
      <c r="V6" s="1444" t="s">
        <v>7</v>
      </c>
      <c r="W6" s="1444" t="s">
        <v>85</v>
      </c>
      <c r="X6" s="1443" t="s">
        <v>10</v>
      </c>
      <c r="Y6" s="1443"/>
      <c r="Z6" s="1443"/>
      <c r="AA6" s="1443" t="s">
        <v>11</v>
      </c>
      <c r="AB6" s="1443"/>
      <c r="AC6" s="1443"/>
      <c r="AD6" s="1443" t="s">
        <v>12</v>
      </c>
      <c r="AE6" s="1443"/>
      <c r="AF6" s="1443"/>
      <c r="AG6" s="1443" t="s">
        <v>13</v>
      </c>
      <c r="AH6" s="1443" t="s">
        <v>73</v>
      </c>
    </row>
    <row r="7" spans="1:45" ht="97.5" customHeight="1" x14ac:dyDescent="0.2">
      <c r="A7" s="1442"/>
      <c r="B7" s="1442"/>
      <c r="C7" s="1443"/>
      <c r="D7" s="1444"/>
      <c r="E7" s="1444"/>
      <c r="F7" s="1444"/>
      <c r="G7" s="1444"/>
      <c r="H7" s="1444"/>
      <c r="I7" s="1444"/>
      <c r="J7" s="1444"/>
      <c r="K7" s="1444"/>
      <c r="L7" s="1446" t="s">
        <v>66</v>
      </c>
      <c r="M7" s="1446"/>
      <c r="N7" s="104" t="s">
        <v>80</v>
      </c>
      <c r="O7" s="104" t="s">
        <v>81</v>
      </c>
      <c r="P7" s="1447"/>
      <c r="Q7" s="1446"/>
      <c r="R7" s="1444"/>
      <c r="S7" s="1446" t="s">
        <v>67</v>
      </c>
      <c r="T7" s="1444"/>
      <c r="U7" s="1444"/>
      <c r="V7" s="1444"/>
      <c r="W7" s="1444"/>
      <c r="X7" s="105" t="s">
        <v>5</v>
      </c>
      <c r="Y7" s="105" t="s">
        <v>6</v>
      </c>
      <c r="Z7" s="105" t="s">
        <v>74</v>
      </c>
      <c r="AA7" s="105" t="s">
        <v>5</v>
      </c>
      <c r="AB7" s="105" t="s">
        <v>6</v>
      </c>
      <c r="AC7" s="105" t="s">
        <v>75</v>
      </c>
      <c r="AD7" s="105" t="s">
        <v>5</v>
      </c>
      <c r="AE7" s="105" t="s">
        <v>6</v>
      </c>
      <c r="AF7" s="105" t="s">
        <v>76</v>
      </c>
      <c r="AG7" s="1443"/>
      <c r="AH7" s="1443"/>
      <c r="AK7" s="98" t="s">
        <v>64</v>
      </c>
      <c r="AL7" s="98" t="s">
        <v>62</v>
      </c>
      <c r="AM7" s="98" t="s">
        <v>63</v>
      </c>
    </row>
    <row r="8" spans="1:45" ht="15.75" customHeight="1" x14ac:dyDescent="0.2">
      <c r="A8" s="103">
        <v>1</v>
      </c>
      <c r="B8" s="103">
        <v>2</v>
      </c>
      <c r="C8" s="103">
        <v>3</v>
      </c>
      <c r="D8" s="103">
        <v>4</v>
      </c>
      <c r="E8" s="103">
        <v>5</v>
      </c>
      <c r="F8" s="103">
        <v>6</v>
      </c>
      <c r="G8" s="103">
        <v>7</v>
      </c>
      <c r="H8" s="103">
        <v>8</v>
      </c>
      <c r="I8" s="103">
        <v>9</v>
      </c>
      <c r="J8" s="103">
        <v>10</v>
      </c>
      <c r="K8" s="103">
        <v>11</v>
      </c>
      <c r="L8" s="103">
        <v>12</v>
      </c>
      <c r="M8" s="103">
        <v>13</v>
      </c>
      <c r="N8" s="103">
        <v>14</v>
      </c>
      <c r="O8" s="103">
        <v>15</v>
      </c>
      <c r="P8" s="103">
        <v>16</v>
      </c>
      <c r="Q8" s="103">
        <v>17</v>
      </c>
      <c r="R8" s="103">
        <v>18</v>
      </c>
      <c r="S8" s="103">
        <v>19</v>
      </c>
      <c r="T8" s="103">
        <v>20</v>
      </c>
      <c r="U8" s="103">
        <v>21</v>
      </c>
      <c r="V8" s="103">
        <v>22</v>
      </c>
      <c r="W8" s="103">
        <v>23</v>
      </c>
      <c r="X8" s="103">
        <v>25</v>
      </c>
      <c r="Y8" s="103">
        <v>26</v>
      </c>
      <c r="Z8" s="103">
        <v>27</v>
      </c>
      <c r="AA8" s="103">
        <v>28</v>
      </c>
      <c r="AB8" s="103">
        <v>29</v>
      </c>
      <c r="AC8" s="103">
        <v>30</v>
      </c>
      <c r="AD8" s="103">
        <v>31</v>
      </c>
      <c r="AE8" s="103">
        <v>32</v>
      </c>
      <c r="AF8" s="103">
        <v>33</v>
      </c>
      <c r="AG8" s="103">
        <v>34</v>
      </c>
      <c r="AH8" s="103">
        <v>35</v>
      </c>
      <c r="AN8" s="212" t="s">
        <v>116</v>
      </c>
      <c r="AO8" s="212" t="s">
        <v>117</v>
      </c>
      <c r="AP8" s="212" t="s">
        <v>118</v>
      </c>
      <c r="AQ8" s="212" t="s">
        <v>119</v>
      </c>
    </row>
    <row r="9" spans="1:45" ht="16.5" customHeight="1" x14ac:dyDescent="0.2">
      <c r="A9" s="103">
        <v>1</v>
      </c>
      <c r="B9" s="236" t="s">
        <v>14</v>
      </c>
      <c r="C9" s="103">
        <v>1</v>
      </c>
      <c r="D9" s="237">
        <v>25.672999999999998</v>
      </c>
      <c r="E9" s="169">
        <f t="shared" ref="E9:E24" si="0">C9*D9</f>
        <v>25.67</v>
      </c>
      <c r="F9" s="170">
        <f t="shared" ref="F9:F24" si="1">E9*12</f>
        <v>308</v>
      </c>
      <c r="G9" s="95"/>
      <c r="H9" s="95"/>
      <c r="I9" s="95"/>
      <c r="J9" s="95"/>
      <c r="K9" s="95">
        <f>F9*0.3</f>
        <v>92.4</v>
      </c>
      <c r="L9" s="95">
        <f>F9*$L$4</f>
        <v>47.6</v>
      </c>
      <c r="M9" s="95">
        <f t="shared" ref="M9:M24" si="2">F9+G9+H9+I9+J9+K9+L9</f>
        <v>448</v>
      </c>
      <c r="N9" s="111">
        <v>0.42</v>
      </c>
      <c r="O9" s="95">
        <f t="shared" ref="O9:O24" si="3">M9*N9</f>
        <v>188.2</v>
      </c>
      <c r="P9" s="95">
        <f t="shared" ref="P9:P24" si="4">M9+O9</f>
        <v>636.20000000000005</v>
      </c>
      <c r="Q9" s="95">
        <f t="shared" ref="Q9:Q24" si="5">P9*0.8</f>
        <v>509</v>
      </c>
      <c r="R9" s="95">
        <f t="shared" ref="R9:R24" si="6">P9*0.8</f>
        <v>509</v>
      </c>
      <c r="S9" s="95">
        <f t="shared" ref="S9:S24" si="7">(P9+Q9+R9)*0.032</f>
        <v>52.9</v>
      </c>
      <c r="T9" s="95">
        <f t="shared" ref="T9:T24" si="8">P9+Q9+R9+S9</f>
        <v>1707.1</v>
      </c>
      <c r="U9" s="1826">
        <v>1</v>
      </c>
      <c r="V9" s="95">
        <f>T9*$U$9</f>
        <v>1707.1</v>
      </c>
      <c r="W9" s="95">
        <f>AQ9</f>
        <v>424.3</v>
      </c>
      <c r="X9" s="103">
        <v>1</v>
      </c>
      <c r="Y9" s="112">
        <v>30</v>
      </c>
      <c r="Z9" s="113">
        <f t="shared" ref="Z9:Z24" si="9">X9*Y9</f>
        <v>30</v>
      </c>
      <c r="AA9" s="103"/>
      <c r="AB9" s="112">
        <v>15</v>
      </c>
      <c r="AC9" s="113">
        <f t="shared" ref="AC9:AC24" si="10">AA9*AB9</f>
        <v>0</v>
      </c>
      <c r="AD9" s="103">
        <v>1</v>
      </c>
      <c r="AE9" s="112">
        <v>30</v>
      </c>
      <c r="AF9" s="113">
        <f t="shared" ref="AF9:AF24" si="11">AD9*AE9</f>
        <v>30</v>
      </c>
      <c r="AG9" s="113">
        <f t="shared" ref="AG9:AG24" si="12">(Z9+AC9+AF9)*1%*30</f>
        <v>18</v>
      </c>
      <c r="AH9" s="113">
        <f t="shared" ref="AH9:AH24" si="13">Z9+AC9+AF9+AG9</f>
        <v>78</v>
      </c>
      <c r="AI9" s="114">
        <f t="shared" ref="AI9:AI17" si="14">V9/12/C9*1000</f>
        <v>142258.29999999999</v>
      </c>
      <c r="AK9" s="114">
        <f t="shared" ref="AK9:AK24" si="15">V9/C9</f>
        <v>1707.1</v>
      </c>
      <c r="AL9" s="114">
        <f>((979*0.302)+((AK9-979)*0.182))</f>
        <v>428.2</v>
      </c>
      <c r="AM9" s="115">
        <f>AL9/AK9</f>
        <v>0.251</v>
      </c>
      <c r="AN9" s="50">
        <f>1150*0.22+(AK9-1150)*0.1</f>
        <v>308.7</v>
      </c>
      <c r="AO9" s="50">
        <f>865*0.029</f>
        <v>25.1</v>
      </c>
      <c r="AP9" s="50">
        <f>AK9*0.053</f>
        <v>90.5</v>
      </c>
      <c r="AQ9" s="50">
        <f t="shared" ref="AQ9:AQ24" si="16">SUM(AN9:AP9)*C9</f>
        <v>424.3</v>
      </c>
      <c r="AS9" s="99">
        <f t="shared" ref="AS9:AS17" si="17">D9*1.5</f>
        <v>38.509500000000003</v>
      </c>
    </row>
    <row r="10" spans="1:45" x14ac:dyDescent="0.2">
      <c r="A10" s="103">
        <v>2</v>
      </c>
      <c r="B10" s="236" t="s">
        <v>127</v>
      </c>
      <c r="C10" s="103">
        <v>1</v>
      </c>
      <c r="D10" s="237">
        <v>17.971</v>
      </c>
      <c r="E10" s="169">
        <f>C10*D10</f>
        <v>17.97</v>
      </c>
      <c r="F10" s="170">
        <f t="shared" si="1"/>
        <v>215.6</v>
      </c>
      <c r="G10" s="95"/>
      <c r="H10" s="95">
        <v>11.2</v>
      </c>
      <c r="I10" s="95"/>
      <c r="J10" s="95"/>
      <c r="K10" s="95">
        <f>F10*0.3+D10*0.05*6.5</f>
        <v>70.5</v>
      </c>
      <c r="L10" s="95">
        <f t="shared" ref="L10:L22" si="18">F10*$L$4</f>
        <v>33.299999999999997</v>
      </c>
      <c r="M10" s="95">
        <f t="shared" si="2"/>
        <v>330.6</v>
      </c>
      <c r="N10" s="111">
        <v>0.47</v>
      </c>
      <c r="O10" s="95">
        <f t="shared" si="3"/>
        <v>155.4</v>
      </c>
      <c r="P10" s="95">
        <f t="shared" si="4"/>
        <v>486</v>
      </c>
      <c r="Q10" s="95">
        <f t="shared" si="5"/>
        <v>388.8</v>
      </c>
      <c r="R10" s="95">
        <f t="shared" si="6"/>
        <v>388.8</v>
      </c>
      <c r="S10" s="95">
        <f t="shared" si="7"/>
        <v>40.4</v>
      </c>
      <c r="T10" s="95">
        <f t="shared" si="8"/>
        <v>1304</v>
      </c>
      <c r="U10" s="1827"/>
      <c r="V10" s="95">
        <f>T10*$U$9</f>
        <v>1304</v>
      </c>
      <c r="W10" s="95">
        <f>AQ10</f>
        <v>362.6</v>
      </c>
      <c r="X10" s="103">
        <v>1</v>
      </c>
      <c r="Y10" s="112">
        <v>30</v>
      </c>
      <c r="Z10" s="113">
        <f t="shared" si="9"/>
        <v>30</v>
      </c>
      <c r="AA10" s="103"/>
      <c r="AB10" s="112">
        <v>15</v>
      </c>
      <c r="AC10" s="113">
        <f t="shared" si="10"/>
        <v>0</v>
      </c>
      <c r="AD10" s="103"/>
      <c r="AE10" s="112">
        <v>30</v>
      </c>
      <c r="AF10" s="113">
        <f t="shared" si="11"/>
        <v>0</v>
      </c>
      <c r="AG10" s="113">
        <f t="shared" si="12"/>
        <v>9</v>
      </c>
      <c r="AH10" s="113">
        <f t="shared" si="13"/>
        <v>39</v>
      </c>
      <c r="AI10" s="114">
        <f t="shared" si="14"/>
        <v>108666.7</v>
      </c>
      <c r="AK10" s="114">
        <f t="shared" si="15"/>
        <v>1304</v>
      </c>
      <c r="AL10" s="114">
        <f t="shared" ref="AL10:AL24" si="19">((979*0.302)+((AK10-979)*0.182))</f>
        <v>354.8</v>
      </c>
      <c r="AM10" s="115">
        <f>AL10/AK10</f>
        <v>0.27200000000000002</v>
      </c>
      <c r="AN10" s="50">
        <f>1150*0.22+(AK10-1150)*0.1</f>
        <v>268.39999999999998</v>
      </c>
      <c r="AO10" s="50">
        <f>865*0.029</f>
        <v>25.1</v>
      </c>
      <c r="AP10" s="50">
        <f>AK10*0.053</f>
        <v>69.099999999999994</v>
      </c>
      <c r="AQ10" s="50">
        <f>SUM(AN10:AP10)*C10</f>
        <v>362.6</v>
      </c>
      <c r="AS10" s="99">
        <f t="shared" si="17"/>
        <v>26.956499999999998</v>
      </c>
    </row>
    <row r="11" spans="1:45" x14ac:dyDescent="0.2">
      <c r="A11" s="103">
        <v>3</v>
      </c>
      <c r="B11" s="236" t="s">
        <v>23</v>
      </c>
      <c r="C11" s="238">
        <v>4</v>
      </c>
      <c r="D11" s="237">
        <v>11.061999999999999</v>
      </c>
      <c r="E11" s="111">
        <f t="shared" si="0"/>
        <v>44.25</v>
      </c>
      <c r="F11" s="95">
        <f t="shared" si="1"/>
        <v>531</v>
      </c>
      <c r="G11" s="95"/>
      <c r="H11" s="95">
        <f>7.01+7.789+7.01</f>
        <v>21.8</v>
      </c>
      <c r="I11" s="95"/>
      <c r="J11" s="95"/>
      <c r="K11" s="95">
        <f>F11*0.25*2+F11*0.3+D11*0.05*11.5</f>
        <v>431.2</v>
      </c>
      <c r="L11" s="95">
        <f t="shared" si="18"/>
        <v>82</v>
      </c>
      <c r="M11" s="95">
        <f t="shared" si="2"/>
        <v>1066</v>
      </c>
      <c r="N11" s="111">
        <v>0.43</v>
      </c>
      <c r="O11" s="95">
        <f t="shared" si="3"/>
        <v>458.4</v>
      </c>
      <c r="P11" s="95">
        <f t="shared" si="4"/>
        <v>1524.4</v>
      </c>
      <c r="Q11" s="95">
        <f t="shared" si="5"/>
        <v>1219.5</v>
      </c>
      <c r="R11" s="95">
        <f t="shared" si="6"/>
        <v>1219.5</v>
      </c>
      <c r="S11" s="95">
        <f t="shared" si="7"/>
        <v>126.8</v>
      </c>
      <c r="T11" s="95">
        <f t="shared" si="8"/>
        <v>4090.2</v>
      </c>
      <c r="U11" s="1827"/>
      <c r="V11" s="95">
        <f t="shared" ref="V11:V22" si="20">T11*$U$9</f>
        <v>4090.2</v>
      </c>
      <c r="W11" s="95">
        <f>AQ11</f>
        <v>1217.2</v>
      </c>
      <c r="X11" s="239">
        <v>2</v>
      </c>
      <c r="Y11" s="240">
        <v>30</v>
      </c>
      <c r="Z11" s="241">
        <f t="shared" si="9"/>
        <v>60</v>
      </c>
      <c r="AA11" s="239">
        <v>1</v>
      </c>
      <c r="AB11" s="240">
        <v>15</v>
      </c>
      <c r="AC11" s="241">
        <f t="shared" si="10"/>
        <v>15</v>
      </c>
      <c r="AD11" s="239">
        <v>1</v>
      </c>
      <c r="AE11" s="240">
        <v>30</v>
      </c>
      <c r="AF11" s="241">
        <f t="shared" si="11"/>
        <v>30</v>
      </c>
      <c r="AG11" s="241">
        <f t="shared" si="12"/>
        <v>31.5</v>
      </c>
      <c r="AH11" s="241">
        <f t="shared" si="13"/>
        <v>136.5</v>
      </c>
      <c r="AI11" s="114">
        <f t="shared" si="14"/>
        <v>85212.5</v>
      </c>
      <c r="AK11" s="114">
        <f t="shared" si="15"/>
        <v>1022.6</v>
      </c>
      <c r="AL11" s="114">
        <f t="shared" si="19"/>
        <v>303.60000000000002</v>
      </c>
      <c r="AM11" s="115">
        <v>0.30199999999999999</v>
      </c>
      <c r="AN11" s="50">
        <f t="shared" ref="AN11:AN24" si="21">AK11*0.22</f>
        <v>225</v>
      </c>
      <c r="AO11" s="50">
        <f>865*0.029</f>
        <v>25.1</v>
      </c>
      <c r="AP11" s="50">
        <f>AK11*0.053</f>
        <v>54.2</v>
      </c>
      <c r="AQ11" s="50">
        <f t="shared" si="16"/>
        <v>1217.2</v>
      </c>
      <c r="AS11" s="99">
        <f t="shared" si="17"/>
        <v>16.593</v>
      </c>
    </row>
    <row r="12" spans="1:45" x14ac:dyDescent="0.2">
      <c r="A12" s="103">
        <v>4</v>
      </c>
      <c r="B12" s="236" t="s">
        <v>47</v>
      </c>
      <c r="C12" s="238">
        <v>1</v>
      </c>
      <c r="D12" s="237">
        <v>6.2859999999999996</v>
      </c>
      <c r="E12" s="111">
        <f t="shared" si="0"/>
        <v>6.29</v>
      </c>
      <c r="F12" s="95">
        <f t="shared" si="1"/>
        <v>75.5</v>
      </c>
      <c r="G12" s="95"/>
      <c r="H12" s="95"/>
      <c r="I12" s="95"/>
      <c r="J12" s="95"/>
      <c r="K12" s="95"/>
      <c r="L12" s="95">
        <f t="shared" si="18"/>
        <v>11.7</v>
      </c>
      <c r="M12" s="95">
        <f t="shared" si="2"/>
        <v>87.2</v>
      </c>
      <c r="N12" s="111">
        <v>0.45</v>
      </c>
      <c r="O12" s="95">
        <f t="shared" si="3"/>
        <v>39.200000000000003</v>
      </c>
      <c r="P12" s="95">
        <f t="shared" si="4"/>
        <v>126.4</v>
      </c>
      <c r="Q12" s="95">
        <f t="shared" si="5"/>
        <v>101.1</v>
      </c>
      <c r="R12" s="95">
        <f t="shared" si="6"/>
        <v>101.1</v>
      </c>
      <c r="S12" s="95">
        <f t="shared" si="7"/>
        <v>10.5</v>
      </c>
      <c r="T12" s="95">
        <f t="shared" si="8"/>
        <v>339.1</v>
      </c>
      <c r="U12" s="1827"/>
      <c r="V12" s="95">
        <f t="shared" si="20"/>
        <v>339.1</v>
      </c>
      <c r="W12" s="95">
        <f t="shared" ref="W12:W24" si="22">V12*0.302</f>
        <v>102.4</v>
      </c>
      <c r="X12" s="239"/>
      <c r="Y12" s="240">
        <v>30</v>
      </c>
      <c r="Z12" s="241">
        <f t="shared" si="9"/>
        <v>0</v>
      </c>
      <c r="AA12" s="239"/>
      <c r="AB12" s="240">
        <v>15</v>
      </c>
      <c r="AC12" s="241">
        <f t="shared" si="10"/>
        <v>0</v>
      </c>
      <c r="AD12" s="239"/>
      <c r="AE12" s="240">
        <v>30</v>
      </c>
      <c r="AF12" s="241">
        <f t="shared" si="11"/>
        <v>0</v>
      </c>
      <c r="AG12" s="241">
        <f t="shared" si="12"/>
        <v>0</v>
      </c>
      <c r="AH12" s="241">
        <f t="shared" si="13"/>
        <v>0</v>
      </c>
      <c r="AI12" s="114">
        <f t="shared" si="14"/>
        <v>28258.3</v>
      </c>
      <c r="AK12" s="114">
        <f t="shared" si="15"/>
        <v>339.1</v>
      </c>
      <c r="AL12" s="114">
        <f t="shared" si="19"/>
        <v>179.2</v>
      </c>
      <c r="AM12" s="115">
        <v>0.30199999999999999</v>
      </c>
      <c r="AN12" s="50">
        <f t="shared" si="21"/>
        <v>74.599999999999994</v>
      </c>
      <c r="AO12" s="50"/>
      <c r="AP12" s="50">
        <f t="shared" ref="AP12:AP24" si="23">AK12*0.053</f>
        <v>18</v>
      </c>
      <c r="AQ12" s="50">
        <f t="shared" si="16"/>
        <v>92.6</v>
      </c>
      <c r="AR12" s="22"/>
      <c r="AS12" s="99">
        <f t="shared" si="17"/>
        <v>9.4290000000000003</v>
      </c>
    </row>
    <row r="13" spans="1:45" s="33" customFormat="1" x14ac:dyDescent="0.2">
      <c r="A13" s="103">
        <v>5</v>
      </c>
      <c r="B13" s="52" t="s">
        <v>48</v>
      </c>
      <c r="C13" s="40">
        <v>1</v>
      </c>
      <c r="D13" s="177">
        <v>11.061999999999999</v>
      </c>
      <c r="E13" s="171">
        <f t="shared" si="0"/>
        <v>11.06</v>
      </c>
      <c r="F13" s="154">
        <f t="shared" si="1"/>
        <v>132.69999999999999</v>
      </c>
      <c r="G13" s="154"/>
      <c r="H13" s="154">
        <f>7010.2/1000</f>
        <v>7</v>
      </c>
      <c r="I13" s="154"/>
      <c r="J13" s="154"/>
      <c r="K13" s="154">
        <f>F13*0.4</f>
        <v>53.1</v>
      </c>
      <c r="L13" s="95">
        <f t="shared" si="18"/>
        <v>20.5</v>
      </c>
      <c r="M13" s="154">
        <f t="shared" si="2"/>
        <v>213.3</v>
      </c>
      <c r="N13" s="111">
        <v>0.47</v>
      </c>
      <c r="O13" s="154">
        <f t="shared" si="3"/>
        <v>100.3</v>
      </c>
      <c r="P13" s="154">
        <f t="shared" si="4"/>
        <v>313.60000000000002</v>
      </c>
      <c r="Q13" s="154">
        <f t="shared" si="5"/>
        <v>250.9</v>
      </c>
      <c r="R13" s="154">
        <f t="shared" si="6"/>
        <v>250.9</v>
      </c>
      <c r="S13" s="154">
        <f t="shared" si="7"/>
        <v>26.1</v>
      </c>
      <c r="T13" s="154">
        <f t="shared" si="8"/>
        <v>841.5</v>
      </c>
      <c r="U13" s="1827"/>
      <c r="V13" s="154">
        <f t="shared" si="20"/>
        <v>841.5</v>
      </c>
      <c r="W13" s="95">
        <f t="shared" si="22"/>
        <v>254.1</v>
      </c>
      <c r="X13" s="54"/>
      <c r="Y13" s="24">
        <v>30</v>
      </c>
      <c r="Z13" s="48">
        <f t="shared" si="9"/>
        <v>0</v>
      </c>
      <c r="AA13" s="54"/>
      <c r="AB13" s="24">
        <v>15</v>
      </c>
      <c r="AC13" s="48">
        <f t="shared" si="10"/>
        <v>0</v>
      </c>
      <c r="AD13" s="54"/>
      <c r="AE13" s="24">
        <v>30</v>
      </c>
      <c r="AF13" s="48">
        <f t="shared" si="11"/>
        <v>0</v>
      </c>
      <c r="AG13" s="48">
        <f t="shared" si="12"/>
        <v>0</v>
      </c>
      <c r="AH13" s="48">
        <f t="shared" si="13"/>
        <v>0</v>
      </c>
      <c r="AI13" s="34">
        <f t="shared" si="14"/>
        <v>70125</v>
      </c>
      <c r="AK13" s="34">
        <f t="shared" si="15"/>
        <v>841.5</v>
      </c>
      <c r="AL13" s="34">
        <f t="shared" si="19"/>
        <v>270.60000000000002</v>
      </c>
      <c r="AM13" s="51">
        <v>0.30199999999999999</v>
      </c>
      <c r="AN13" s="50">
        <f t="shared" si="21"/>
        <v>185.1</v>
      </c>
      <c r="AO13" s="50"/>
      <c r="AP13" s="50">
        <f t="shared" si="23"/>
        <v>44.6</v>
      </c>
      <c r="AQ13" s="50">
        <f t="shared" si="16"/>
        <v>229.7</v>
      </c>
      <c r="AR13" s="22"/>
      <c r="AS13" s="22">
        <f t="shared" si="17"/>
        <v>16.593</v>
      </c>
    </row>
    <row r="14" spans="1:45" x14ac:dyDescent="0.2">
      <c r="A14" s="103">
        <v>6</v>
      </c>
      <c r="B14" s="236" t="s">
        <v>49</v>
      </c>
      <c r="C14" s="127">
        <v>1</v>
      </c>
      <c r="D14" s="237">
        <v>8.4730000000000008</v>
      </c>
      <c r="E14" s="111">
        <f t="shared" si="0"/>
        <v>8.4700000000000006</v>
      </c>
      <c r="F14" s="95">
        <f t="shared" si="1"/>
        <v>101.6</v>
      </c>
      <c r="G14" s="95"/>
      <c r="H14" s="95">
        <f>5966.1/1000</f>
        <v>6</v>
      </c>
      <c r="I14" s="95"/>
      <c r="J14" s="95"/>
      <c r="K14" s="95">
        <f>F14*0.4</f>
        <v>40.6</v>
      </c>
      <c r="L14" s="95">
        <f t="shared" si="18"/>
        <v>15.7</v>
      </c>
      <c r="M14" s="95">
        <f t="shared" si="2"/>
        <v>163.9</v>
      </c>
      <c r="N14" s="111">
        <v>0.41</v>
      </c>
      <c r="O14" s="95">
        <f t="shared" si="3"/>
        <v>67.2</v>
      </c>
      <c r="P14" s="95">
        <f t="shared" si="4"/>
        <v>231.1</v>
      </c>
      <c r="Q14" s="95">
        <f t="shared" si="5"/>
        <v>184.9</v>
      </c>
      <c r="R14" s="95">
        <f t="shared" si="6"/>
        <v>184.9</v>
      </c>
      <c r="S14" s="95">
        <f t="shared" si="7"/>
        <v>19.2</v>
      </c>
      <c r="T14" s="95">
        <f t="shared" si="8"/>
        <v>620.1</v>
      </c>
      <c r="U14" s="1827"/>
      <c r="V14" s="95">
        <f>T14*$U$9</f>
        <v>620.1</v>
      </c>
      <c r="W14" s="95">
        <f t="shared" si="22"/>
        <v>187.3</v>
      </c>
      <c r="X14" s="103"/>
      <c r="Y14" s="112">
        <v>30</v>
      </c>
      <c r="Z14" s="113">
        <f t="shared" si="9"/>
        <v>0</v>
      </c>
      <c r="AA14" s="127"/>
      <c r="AB14" s="112">
        <v>15</v>
      </c>
      <c r="AC14" s="113">
        <f t="shared" si="10"/>
        <v>0</v>
      </c>
      <c r="AD14" s="127"/>
      <c r="AE14" s="112">
        <v>30</v>
      </c>
      <c r="AF14" s="113">
        <f t="shared" si="11"/>
        <v>0</v>
      </c>
      <c r="AG14" s="113">
        <f t="shared" si="12"/>
        <v>0</v>
      </c>
      <c r="AH14" s="113">
        <f t="shared" si="13"/>
        <v>0</v>
      </c>
      <c r="AI14" s="114">
        <f t="shared" si="14"/>
        <v>51675</v>
      </c>
      <c r="AK14" s="114">
        <f t="shared" si="15"/>
        <v>620.1</v>
      </c>
      <c r="AL14" s="114">
        <f t="shared" si="19"/>
        <v>230.3</v>
      </c>
      <c r="AM14" s="115">
        <v>0.30199999999999999</v>
      </c>
      <c r="AN14" s="50">
        <f t="shared" si="21"/>
        <v>136.4</v>
      </c>
      <c r="AO14" s="50"/>
      <c r="AP14" s="50">
        <f t="shared" si="23"/>
        <v>32.9</v>
      </c>
      <c r="AQ14" s="50">
        <f t="shared" si="16"/>
        <v>169.3</v>
      </c>
      <c r="AR14" s="22"/>
      <c r="AS14" s="99">
        <f t="shared" si="17"/>
        <v>12.7095</v>
      </c>
    </row>
    <row r="15" spans="1:45" x14ac:dyDescent="0.2">
      <c r="A15" s="103">
        <v>7</v>
      </c>
      <c r="B15" s="236" t="s">
        <v>52</v>
      </c>
      <c r="C15" s="127">
        <v>1</v>
      </c>
      <c r="D15" s="237">
        <v>8.4730000000000008</v>
      </c>
      <c r="E15" s="111">
        <f t="shared" si="0"/>
        <v>8.4700000000000006</v>
      </c>
      <c r="F15" s="95">
        <f t="shared" si="1"/>
        <v>101.6</v>
      </c>
      <c r="G15" s="95"/>
      <c r="H15" s="95">
        <f>5966.1/1000</f>
        <v>6</v>
      </c>
      <c r="I15" s="95"/>
      <c r="J15" s="95"/>
      <c r="K15" s="95">
        <f>F15*0.25</f>
        <v>25.4</v>
      </c>
      <c r="L15" s="95">
        <f t="shared" si="18"/>
        <v>15.7</v>
      </c>
      <c r="M15" s="95">
        <f t="shared" si="2"/>
        <v>148.69999999999999</v>
      </c>
      <c r="N15" s="111">
        <v>0.41</v>
      </c>
      <c r="O15" s="95">
        <f t="shared" si="3"/>
        <v>61</v>
      </c>
      <c r="P15" s="95">
        <f t="shared" si="4"/>
        <v>209.7</v>
      </c>
      <c r="Q15" s="95">
        <f t="shared" si="5"/>
        <v>167.8</v>
      </c>
      <c r="R15" s="95">
        <f t="shared" si="6"/>
        <v>167.8</v>
      </c>
      <c r="S15" s="95">
        <f t="shared" si="7"/>
        <v>17.399999999999999</v>
      </c>
      <c r="T15" s="95">
        <f t="shared" si="8"/>
        <v>562.70000000000005</v>
      </c>
      <c r="U15" s="1827"/>
      <c r="V15" s="95">
        <f t="shared" si="20"/>
        <v>562.70000000000005</v>
      </c>
      <c r="W15" s="95">
        <f t="shared" si="22"/>
        <v>169.9</v>
      </c>
      <c r="X15" s="103"/>
      <c r="Y15" s="112">
        <v>30</v>
      </c>
      <c r="Z15" s="113">
        <f t="shared" si="9"/>
        <v>0</v>
      </c>
      <c r="AA15" s="127"/>
      <c r="AB15" s="112">
        <v>15</v>
      </c>
      <c r="AC15" s="113">
        <f t="shared" si="10"/>
        <v>0</v>
      </c>
      <c r="AD15" s="127"/>
      <c r="AE15" s="112">
        <v>30</v>
      </c>
      <c r="AF15" s="113">
        <f t="shared" si="11"/>
        <v>0</v>
      </c>
      <c r="AG15" s="113">
        <f t="shared" si="12"/>
        <v>0</v>
      </c>
      <c r="AH15" s="113">
        <f t="shared" si="13"/>
        <v>0</v>
      </c>
      <c r="AI15" s="114">
        <f t="shared" si="14"/>
        <v>46891.7</v>
      </c>
      <c r="AK15" s="114">
        <f t="shared" si="15"/>
        <v>562.70000000000005</v>
      </c>
      <c r="AL15" s="114">
        <f t="shared" si="19"/>
        <v>219.9</v>
      </c>
      <c r="AM15" s="115">
        <v>0.30199999999999999</v>
      </c>
      <c r="AN15" s="50">
        <f t="shared" si="21"/>
        <v>123.8</v>
      </c>
      <c r="AO15" s="50"/>
      <c r="AP15" s="50">
        <f t="shared" si="23"/>
        <v>29.8</v>
      </c>
      <c r="AQ15" s="50">
        <f t="shared" si="16"/>
        <v>153.6</v>
      </c>
      <c r="AS15" s="99">
        <f t="shared" si="17"/>
        <v>12.7095</v>
      </c>
    </row>
    <row r="16" spans="1:45" x14ac:dyDescent="0.2">
      <c r="A16" s="103">
        <v>8</v>
      </c>
      <c r="B16" s="236" t="s">
        <v>40</v>
      </c>
      <c r="C16" s="127">
        <v>1</v>
      </c>
      <c r="D16" s="237">
        <v>11.061999999999999</v>
      </c>
      <c r="E16" s="111">
        <f t="shared" si="0"/>
        <v>11.06</v>
      </c>
      <c r="F16" s="95">
        <f t="shared" si="1"/>
        <v>132.69999999999999</v>
      </c>
      <c r="G16" s="95"/>
      <c r="H16" s="95">
        <f>7010.2/1000</f>
        <v>7</v>
      </c>
      <c r="I16" s="95"/>
      <c r="J16" s="95"/>
      <c r="K16" s="95">
        <f>F16*0.25</f>
        <v>33.200000000000003</v>
      </c>
      <c r="L16" s="95">
        <f t="shared" si="18"/>
        <v>20.5</v>
      </c>
      <c r="M16" s="95">
        <f t="shared" si="2"/>
        <v>193.4</v>
      </c>
      <c r="N16" s="111">
        <v>0.43</v>
      </c>
      <c r="O16" s="95">
        <f t="shared" si="3"/>
        <v>83.2</v>
      </c>
      <c r="P16" s="95">
        <f t="shared" si="4"/>
        <v>276.60000000000002</v>
      </c>
      <c r="Q16" s="95">
        <f t="shared" si="5"/>
        <v>221.3</v>
      </c>
      <c r="R16" s="95">
        <f t="shared" si="6"/>
        <v>221.3</v>
      </c>
      <c r="S16" s="95">
        <f t="shared" si="7"/>
        <v>23</v>
      </c>
      <c r="T16" s="95">
        <f t="shared" si="8"/>
        <v>742.2</v>
      </c>
      <c r="U16" s="1827"/>
      <c r="V16" s="95">
        <f t="shared" si="20"/>
        <v>742.2</v>
      </c>
      <c r="W16" s="95">
        <f t="shared" si="22"/>
        <v>224.1</v>
      </c>
      <c r="X16" s="103"/>
      <c r="Y16" s="112">
        <v>30</v>
      </c>
      <c r="Z16" s="113">
        <f t="shared" si="9"/>
        <v>0</v>
      </c>
      <c r="AA16" s="127"/>
      <c r="AB16" s="112">
        <v>15</v>
      </c>
      <c r="AC16" s="113">
        <f t="shared" si="10"/>
        <v>0</v>
      </c>
      <c r="AD16" s="127"/>
      <c r="AE16" s="112">
        <v>30</v>
      </c>
      <c r="AF16" s="113">
        <f t="shared" si="11"/>
        <v>0</v>
      </c>
      <c r="AG16" s="113">
        <f t="shared" si="12"/>
        <v>0</v>
      </c>
      <c r="AH16" s="113">
        <f t="shared" si="13"/>
        <v>0</v>
      </c>
      <c r="AI16" s="114">
        <f t="shared" si="14"/>
        <v>61850</v>
      </c>
      <c r="AK16" s="114">
        <f t="shared" si="15"/>
        <v>742.2</v>
      </c>
      <c r="AL16" s="114">
        <f t="shared" si="19"/>
        <v>252.6</v>
      </c>
      <c r="AM16" s="115">
        <v>0.30199999999999999</v>
      </c>
      <c r="AN16" s="50">
        <f t="shared" si="21"/>
        <v>163.30000000000001</v>
      </c>
      <c r="AO16" s="242"/>
      <c r="AP16" s="50">
        <f t="shared" si="23"/>
        <v>39.299999999999997</v>
      </c>
      <c r="AQ16" s="50">
        <f t="shared" si="16"/>
        <v>202.6</v>
      </c>
      <c r="AS16" s="99">
        <f t="shared" si="17"/>
        <v>16.593</v>
      </c>
    </row>
    <row r="17" spans="1:45" x14ac:dyDescent="0.2">
      <c r="A17" s="103">
        <v>9</v>
      </c>
      <c r="B17" s="236" t="s">
        <v>29</v>
      </c>
      <c r="C17" s="127">
        <v>1</v>
      </c>
      <c r="D17" s="237">
        <v>8.4730000000000008</v>
      </c>
      <c r="E17" s="111">
        <f t="shared" si="0"/>
        <v>8.4700000000000006</v>
      </c>
      <c r="F17" s="95">
        <f t="shared" si="1"/>
        <v>101.6</v>
      </c>
      <c r="G17" s="95"/>
      <c r="H17" s="95">
        <f>5369.5/1000</f>
        <v>5.4</v>
      </c>
      <c r="I17" s="95"/>
      <c r="J17" s="95">
        <f>D17*0.1*3</f>
        <v>2.5</v>
      </c>
      <c r="K17" s="95">
        <f>D17*0.25*12</f>
        <v>25.4</v>
      </c>
      <c r="L17" s="95">
        <f t="shared" si="18"/>
        <v>15.7</v>
      </c>
      <c r="M17" s="95">
        <f t="shared" si="2"/>
        <v>150.6</v>
      </c>
      <c r="N17" s="111">
        <v>0.41</v>
      </c>
      <c r="O17" s="95">
        <f t="shared" si="3"/>
        <v>61.7</v>
      </c>
      <c r="P17" s="95">
        <f t="shared" si="4"/>
        <v>212.3</v>
      </c>
      <c r="Q17" s="95">
        <f t="shared" si="5"/>
        <v>169.8</v>
      </c>
      <c r="R17" s="95">
        <f t="shared" si="6"/>
        <v>169.8</v>
      </c>
      <c r="S17" s="95">
        <f t="shared" si="7"/>
        <v>17.7</v>
      </c>
      <c r="T17" s="95">
        <f t="shared" si="8"/>
        <v>569.6</v>
      </c>
      <c r="U17" s="1827"/>
      <c r="V17" s="95">
        <f t="shared" si="20"/>
        <v>569.6</v>
      </c>
      <c r="W17" s="95">
        <f t="shared" si="22"/>
        <v>172</v>
      </c>
      <c r="X17" s="103">
        <v>1</v>
      </c>
      <c r="Y17" s="112">
        <v>30</v>
      </c>
      <c r="Z17" s="113">
        <f t="shared" si="9"/>
        <v>30</v>
      </c>
      <c r="AA17" s="127"/>
      <c r="AB17" s="112">
        <v>15</v>
      </c>
      <c r="AC17" s="113">
        <f t="shared" si="10"/>
        <v>0</v>
      </c>
      <c r="AD17" s="127"/>
      <c r="AE17" s="112">
        <v>30</v>
      </c>
      <c r="AF17" s="113">
        <f t="shared" si="11"/>
        <v>0</v>
      </c>
      <c r="AG17" s="113">
        <f t="shared" si="12"/>
        <v>9</v>
      </c>
      <c r="AH17" s="113">
        <f t="shared" si="13"/>
        <v>39</v>
      </c>
      <c r="AI17" s="114">
        <f t="shared" si="14"/>
        <v>47466.7</v>
      </c>
      <c r="AK17" s="114">
        <f t="shared" si="15"/>
        <v>569.6</v>
      </c>
      <c r="AL17" s="114">
        <f t="shared" si="19"/>
        <v>221.1</v>
      </c>
      <c r="AM17" s="115">
        <v>0.30199999999999999</v>
      </c>
      <c r="AN17" s="50">
        <f t="shared" si="21"/>
        <v>125.3</v>
      </c>
      <c r="AO17" s="242"/>
      <c r="AP17" s="50">
        <f t="shared" si="23"/>
        <v>30.2</v>
      </c>
      <c r="AQ17" s="50">
        <f t="shared" si="16"/>
        <v>155.5</v>
      </c>
      <c r="AS17" s="99">
        <f t="shared" si="17"/>
        <v>12.7095</v>
      </c>
    </row>
    <row r="18" spans="1:45" ht="25.5" x14ac:dyDescent="0.2">
      <c r="A18" s="103">
        <v>10</v>
      </c>
      <c r="B18" s="236" t="s">
        <v>148</v>
      </c>
      <c r="C18" s="127">
        <v>1</v>
      </c>
      <c r="D18" s="237">
        <v>8.4730000000000008</v>
      </c>
      <c r="E18" s="111">
        <f t="shared" si="0"/>
        <v>8.4700000000000006</v>
      </c>
      <c r="F18" s="95">
        <f t="shared" si="1"/>
        <v>101.6</v>
      </c>
      <c r="G18" s="95"/>
      <c r="H18" s="95"/>
      <c r="I18" s="95"/>
      <c r="J18" s="95"/>
      <c r="K18" s="95">
        <f>F18*0.25+D18*0.05*11</f>
        <v>30.1</v>
      </c>
      <c r="L18" s="95">
        <f>F18*$L$4</f>
        <v>15.7</v>
      </c>
      <c r="M18" s="95">
        <f>F18+G18+H18+I18+J18+K18+L18</f>
        <v>147.4</v>
      </c>
      <c r="N18" s="111">
        <v>0.41</v>
      </c>
      <c r="O18" s="95">
        <f>M18*N18</f>
        <v>60.4</v>
      </c>
      <c r="P18" s="95">
        <f>M18+O18</f>
        <v>207.8</v>
      </c>
      <c r="Q18" s="95">
        <f>P18*0.8</f>
        <v>166.2</v>
      </c>
      <c r="R18" s="95">
        <f>P18*0.8</f>
        <v>166.2</v>
      </c>
      <c r="S18" s="95">
        <f>(P18+Q18+R18)*0.032</f>
        <v>17.3</v>
      </c>
      <c r="T18" s="95">
        <f>P18+Q18+R18+S18</f>
        <v>557.5</v>
      </c>
      <c r="U18" s="1827"/>
      <c r="V18" s="95">
        <f>T18*$U$9</f>
        <v>557.5</v>
      </c>
      <c r="W18" s="95">
        <f t="shared" si="22"/>
        <v>168.4</v>
      </c>
      <c r="X18" s="103">
        <v>1</v>
      </c>
      <c r="Y18" s="112">
        <v>30</v>
      </c>
      <c r="Z18" s="113">
        <f>X18*Y18</f>
        <v>30</v>
      </c>
      <c r="AA18" s="127"/>
      <c r="AB18" s="112">
        <v>15</v>
      </c>
      <c r="AC18" s="113">
        <f>AA18*AB18</f>
        <v>0</v>
      </c>
      <c r="AD18" s="127"/>
      <c r="AE18" s="112">
        <v>30</v>
      </c>
      <c r="AF18" s="113">
        <f>AD18*AE18</f>
        <v>0</v>
      </c>
      <c r="AG18" s="113">
        <f>(Z18+AC18+AF18)*1%*30</f>
        <v>9</v>
      </c>
      <c r="AH18" s="113">
        <f>Z18+AC18+AF18+AG18</f>
        <v>39</v>
      </c>
      <c r="AI18" s="114"/>
      <c r="AK18" s="114">
        <f t="shared" si="15"/>
        <v>557.5</v>
      </c>
      <c r="AL18" s="114"/>
      <c r="AM18" s="115"/>
      <c r="AN18" s="50">
        <f t="shared" si="21"/>
        <v>122.7</v>
      </c>
      <c r="AO18" s="242"/>
      <c r="AP18" s="50">
        <f t="shared" si="23"/>
        <v>29.5</v>
      </c>
      <c r="AQ18" s="50">
        <f t="shared" si="16"/>
        <v>152.19999999999999</v>
      </c>
    </row>
    <row r="19" spans="1:45" ht="25.5" x14ac:dyDescent="0.2">
      <c r="A19" s="103">
        <v>11</v>
      </c>
      <c r="B19" s="236" t="s">
        <v>130</v>
      </c>
      <c r="C19" s="127">
        <v>1</v>
      </c>
      <c r="D19" s="237">
        <v>8.4730000000000008</v>
      </c>
      <c r="E19" s="111">
        <f t="shared" si="0"/>
        <v>8.4700000000000006</v>
      </c>
      <c r="F19" s="95">
        <f t="shared" si="1"/>
        <v>101.6</v>
      </c>
      <c r="G19" s="95"/>
      <c r="H19" s="95"/>
      <c r="I19" s="95"/>
      <c r="J19" s="95"/>
      <c r="K19" s="95"/>
      <c r="L19" s="95">
        <f>F19*$L$4</f>
        <v>15.7</v>
      </c>
      <c r="M19" s="95">
        <f>F19+G19+H19+I19+J19+K19+L19</f>
        <v>117.3</v>
      </c>
      <c r="N19" s="111">
        <v>0.47</v>
      </c>
      <c r="O19" s="95">
        <f>M19*N19</f>
        <v>55.1</v>
      </c>
      <c r="P19" s="95">
        <f>M19+O19</f>
        <v>172.4</v>
      </c>
      <c r="Q19" s="95">
        <f>P19*0.8</f>
        <v>137.9</v>
      </c>
      <c r="R19" s="95">
        <f>P19*0.8</f>
        <v>137.9</v>
      </c>
      <c r="S19" s="95">
        <f>(P19+Q19+R19)*0.032</f>
        <v>14.3</v>
      </c>
      <c r="T19" s="95">
        <f>P19+Q19+R19+S19</f>
        <v>462.5</v>
      </c>
      <c r="U19" s="1827"/>
      <c r="V19" s="95">
        <f>T19*$U$9</f>
        <v>462.5</v>
      </c>
      <c r="W19" s="95">
        <f t="shared" si="22"/>
        <v>139.69999999999999</v>
      </c>
      <c r="X19" s="103"/>
      <c r="Y19" s="112">
        <v>30</v>
      </c>
      <c r="Z19" s="113">
        <f>X19*Y19</f>
        <v>0</v>
      </c>
      <c r="AA19" s="127"/>
      <c r="AB19" s="112">
        <v>15</v>
      </c>
      <c r="AC19" s="113">
        <f>AA19*AB19</f>
        <v>0</v>
      </c>
      <c r="AD19" s="127"/>
      <c r="AE19" s="112">
        <v>30</v>
      </c>
      <c r="AF19" s="113">
        <f>AD19*AE19</f>
        <v>0</v>
      </c>
      <c r="AG19" s="113">
        <f>(Z19+AC19+AF19)*1%*30</f>
        <v>0</v>
      </c>
      <c r="AH19" s="113">
        <f>Z19+AC19+AF19+AG19</f>
        <v>0</v>
      </c>
      <c r="AI19" s="114"/>
      <c r="AK19" s="114">
        <f t="shared" si="15"/>
        <v>462.5</v>
      </c>
      <c r="AL19" s="114"/>
      <c r="AM19" s="115"/>
      <c r="AN19" s="50">
        <f t="shared" si="21"/>
        <v>101.8</v>
      </c>
      <c r="AO19" s="242"/>
      <c r="AP19" s="50">
        <f t="shared" si="23"/>
        <v>24.5</v>
      </c>
      <c r="AQ19" s="50">
        <f t="shared" si="16"/>
        <v>126.3</v>
      </c>
    </row>
    <row r="20" spans="1:45" ht="25.5" x14ac:dyDescent="0.2">
      <c r="A20" s="103">
        <v>12</v>
      </c>
      <c r="B20" s="236" t="s">
        <v>149</v>
      </c>
      <c r="C20" s="127">
        <v>1</v>
      </c>
      <c r="D20" s="237">
        <v>11.061999999999999</v>
      </c>
      <c r="E20" s="111">
        <f t="shared" si="0"/>
        <v>11.06</v>
      </c>
      <c r="F20" s="95">
        <f t="shared" si="1"/>
        <v>132.69999999999999</v>
      </c>
      <c r="G20" s="95"/>
      <c r="H20" s="95"/>
      <c r="I20" s="95"/>
      <c r="J20" s="95"/>
      <c r="K20" s="95"/>
      <c r="L20" s="95">
        <f>F20*$L$4</f>
        <v>20.5</v>
      </c>
      <c r="M20" s="95">
        <f>F20+G20+H20+I20+J20+K20+L20</f>
        <v>153.19999999999999</v>
      </c>
      <c r="N20" s="111">
        <v>0.43</v>
      </c>
      <c r="O20" s="95">
        <f>M20*N20</f>
        <v>65.900000000000006</v>
      </c>
      <c r="P20" s="95">
        <f>M20+O20</f>
        <v>219.1</v>
      </c>
      <c r="Q20" s="95">
        <f>P20*0.8</f>
        <v>175.3</v>
      </c>
      <c r="R20" s="95">
        <f>P20*0.8</f>
        <v>175.3</v>
      </c>
      <c r="S20" s="95">
        <f>(P20+Q20+R20)*0.032</f>
        <v>18.2</v>
      </c>
      <c r="T20" s="95">
        <f>P20+Q20+R20+S20</f>
        <v>587.9</v>
      </c>
      <c r="U20" s="1827"/>
      <c r="V20" s="95">
        <f>T20*$U$9</f>
        <v>587.9</v>
      </c>
      <c r="W20" s="95">
        <f t="shared" si="22"/>
        <v>177.5</v>
      </c>
      <c r="X20" s="103"/>
      <c r="Y20" s="112">
        <v>30</v>
      </c>
      <c r="Z20" s="113">
        <f>X20*Y20</f>
        <v>0</v>
      </c>
      <c r="AA20" s="127"/>
      <c r="AB20" s="112">
        <v>15</v>
      </c>
      <c r="AC20" s="113">
        <f>AA20*AB20</f>
        <v>0</v>
      </c>
      <c r="AD20" s="127"/>
      <c r="AE20" s="112">
        <v>30</v>
      </c>
      <c r="AF20" s="113">
        <f>AD20*AE20</f>
        <v>0</v>
      </c>
      <c r="AG20" s="113">
        <f>(Z20+AC20+AF20)*1%*30</f>
        <v>0</v>
      </c>
      <c r="AH20" s="113">
        <f>Z20+AC20+AF20+AG20</f>
        <v>0</v>
      </c>
      <c r="AI20" s="114"/>
      <c r="AK20" s="114">
        <f t="shared" si="15"/>
        <v>587.9</v>
      </c>
      <c r="AL20" s="114"/>
      <c r="AM20" s="115"/>
      <c r="AN20" s="50">
        <f t="shared" si="21"/>
        <v>129.30000000000001</v>
      </c>
      <c r="AO20" s="242"/>
      <c r="AP20" s="50">
        <f t="shared" si="23"/>
        <v>31.2</v>
      </c>
      <c r="AQ20" s="50">
        <f t="shared" si="16"/>
        <v>160.5</v>
      </c>
    </row>
    <row r="21" spans="1:45" x14ac:dyDescent="0.2">
      <c r="A21" s="103">
        <v>13</v>
      </c>
      <c r="B21" s="243" t="s">
        <v>42</v>
      </c>
      <c r="C21" s="127">
        <v>1</v>
      </c>
      <c r="D21" s="237">
        <v>11.061999999999999</v>
      </c>
      <c r="E21" s="111">
        <f t="shared" si="0"/>
        <v>11.06</v>
      </c>
      <c r="F21" s="95">
        <f t="shared" si="1"/>
        <v>132.69999999999999</v>
      </c>
      <c r="G21" s="95"/>
      <c r="H21" s="95">
        <f>7789.1/1000</f>
        <v>7.8</v>
      </c>
      <c r="I21" s="95"/>
      <c r="J21" s="95"/>
      <c r="K21" s="95">
        <f>F21*0.3+D21*0.05*2</f>
        <v>40.9</v>
      </c>
      <c r="L21" s="95">
        <f t="shared" si="18"/>
        <v>20.5</v>
      </c>
      <c r="M21" s="95">
        <f t="shared" si="2"/>
        <v>201.9</v>
      </c>
      <c r="N21" s="111">
        <v>0.43</v>
      </c>
      <c r="O21" s="95">
        <f t="shared" si="3"/>
        <v>86.8</v>
      </c>
      <c r="P21" s="95">
        <f t="shared" si="4"/>
        <v>288.7</v>
      </c>
      <c r="Q21" s="95">
        <f t="shared" si="5"/>
        <v>231</v>
      </c>
      <c r="R21" s="95">
        <f t="shared" si="6"/>
        <v>231</v>
      </c>
      <c r="S21" s="95">
        <f t="shared" si="7"/>
        <v>24</v>
      </c>
      <c r="T21" s="95">
        <f t="shared" si="8"/>
        <v>774.7</v>
      </c>
      <c r="U21" s="1827"/>
      <c r="V21" s="95">
        <f t="shared" si="20"/>
        <v>774.7</v>
      </c>
      <c r="W21" s="95">
        <f t="shared" si="22"/>
        <v>234</v>
      </c>
      <c r="X21" s="103"/>
      <c r="Y21" s="112">
        <v>30</v>
      </c>
      <c r="Z21" s="113">
        <f t="shared" si="9"/>
        <v>0</v>
      </c>
      <c r="AA21" s="127"/>
      <c r="AB21" s="112">
        <v>15</v>
      </c>
      <c r="AC21" s="113">
        <f t="shared" si="10"/>
        <v>0</v>
      </c>
      <c r="AD21" s="127"/>
      <c r="AE21" s="112">
        <v>30</v>
      </c>
      <c r="AF21" s="113">
        <f t="shared" si="11"/>
        <v>0</v>
      </c>
      <c r="AG21" s="113">
        <f t="shared" si="12"/>
        <v>0</v>
      </c>
      <c r="AH21" s="113">
        <f t="shared" si="13"/>
        <v>0</v>
      </c>
      <c r="AI21" s="114">
        <f>V21/12/C21*1000</f>
        <v>64558.3</v>
      </c>
      <c r="AK21" s="114">
        <f t="shared" si="15"/>
        <v>774.7</v>
      </c>
      <c r="AL21" s="114">
        <f t="shared" si="19"/>
        <v>258.5</v>
      </c>
      <c r="AM21" s="115">
        <v>0.30199999999999999</v>
      </c>
      <c r="AN21" s="50">
        <f t="shared" si="21"/>
        <v>170.4</v>
      </c>
      <c r="AO21" s="244"/>
      <c r="AP21" s="50">
        <f t="shared" si="23"/>
        <v>41.1</v>
      </c>
      <c r="AQ21" s="50">
        <f t="shared" si="16"/>
        <v>211.5</v>
      </c>
      <c r="AS21" s="99">
        <f>D21*1.5</f>
        <v>16.593</v>
      </c>
    </row>
    <row r="22" spans="1:45" x14ac:dyDescent="0.2">
      <c r="A22" s="103">
        <v>14</v>
      </c>
      <c r="B22" s="236" t="s">
        <v>33</v>
      </c>
      <c r="C22" s="127">
        <v>1</v>
      </c>
      <c r="D22" s="237">
        <v>8.4730000000000008</v>
      </c>
      <c r="E22" s="111">
        <f t="shared" si="0"/>
        <v>8.4700000000000006</v>
      </c>
      <c r="F22" s="95">
        <f t="shared" si="1"/>
        <v>101.6</v>
      </c>
      <c r="G22" s="95">
        <f>18010.1/1000</f>
        <v>18</v>
      </c>
      <c r="H22" s="95">
        <f>4474.6/1000</f>
        <v>4.5</v>
      </c>
      <c r="I22" s="95"/>
      <c r="J22" s="95"/>
      <c r="K22" s="95">
        <f>F22*0.25</f>
        <v>25.4</v>
      </c>
      <c r="L22" s="95">
        <f t="shared" si="18"/>
        <v>15.7</v>
      </c>
      <c r="M22" s="95">
        <f t="shared" si="2"/>
        <v>165.2</v>
      </c>
      <c r="N22" s="111">
        <v>0.41</v>
      </c>
      <c r="O22" s="95">
        <f t="shared" si="3"/>
        <v>67.7</v>
      </c>
      <c r="P22" s="95">
        <f t="shared" si="4"/>
        <v>232.9</v>
      </c>
      <c r="Q22" s="95">
        <f t="shared" si="5"/>
        <v>186.3</v>
      </c>
      <c r="R22" s="95">
        <f t="shared" si="6"/>
        <v>186.3</v>
      </c>
      <c r="S22" s="95">
        <f t="shared" si="7"/>
        <v>19.399999999999999</v>
      </c>
      <c r="T22" s="95">
        <f t="shared" si="8"/>
        <v>624.9</v>
      </c>
      <c r="U22" s="1827"/>
      <c r="V22" s="95">
        <f t="shared" si="20"/>
        <v>624.9</v>
      </c>
      <c r="W22" s="95">
        <f t="shared" si="22"/>
        <v>188.7</v>
      </c>
      <c r="X22" s="238"/>
      <c r="Y22" s="240">
        <v>30</v>
      </c>
      <c r="Z22" s="241">
        <f t="shared" si="9"/>
        <v>0</v>
      </c>
      <c r="AA22" s="238"/>
      <c r="AB22" s="240">
        <v>15</v>
      </c>
      <c r="AC22" s="241">
        <f t="shared" si="10"/>
        <v>0</v>
      </c>
      <c r="AD22" s="238"/>
      <c r="AE22" s="240">
        <v>30</v>
      </c>
      <c r="AF22" s="241">
        <f t="shared" si="11"/>
        <v>0</v>
      </c>
      <c r="AG22" s="241">
        <f t="shared" si="12"/>
        <v>0</v>
      </c>
      <c r="AH22" s="241">
        <f t="shared" si="13"/>
        <v>0</v>
      </c>
      <c r="AI22" s="114">
        <f>V22/12/C22*1000</f>
        <v>52075</v>
      </c>
      <c r="AK22" s="114">
        <f t="shared" si="15"/>
        <v>624.9</v>
      </c>
      <c r="AL22" s="114">
        <f t="shared" si="19"/>
        <v>231.2</v>
      </c>
      <c r="AM22" s="115">
        <v>0.30199999999999999</v>
      </c>
      <c r="AN22" s="50">
        <f t="shared" si="21"/>
        <v>137.5</v>
      </c>
      <c r="AO22" s="244"/>
      <c r="AP22" s="50">
        <f t="shared" si="23"/>
        <v>33.1</v>
      </c>
      <c r="AQ22" s="50">
        <f t="shared" si="16"/>
        <v>170.6</v>
      </c>
      <c r="AR22" s="245"/>
      <c r="AS22" s="99">
        <f>D22*1.5</f>
        <v>12.7095</v>
      </c>
    </row>
    <row r="23" spans="1:45" s="245" customFormat="1" x14ac:dyDescent="0.2">
      <c r="A23" s="103">
        <v>15</v>
      </c>
      <c r="B23" s="236" t="s">
        <v>58</v>
      </c>
      <c r="C23" s="246">
        <v>1</v>
      </c>
      <c r="D23" s="247">
        <v>11.061999999999999</v>
      </c>
      <c r="E23" s="111">
        <f t="shared" si="0"/>
        <v>11.06</v>
      </c>
      <c r="F23" s="95">
        <f t="shared" si="1"/>
        <v>132.69999999999999</v>
      </c>
      <c r="G23" s="248"/>
      <c r="H23" s="248"/>
      <c r="I23" s="248"/>
      <c r="J23" s="248"/>
      <c r="K23" s="248"/>
      <c r="L23" s="95">
        <f>F23*$L$4</f>
        <v>20.5</v>
      </c>
      <c r="M23" s="95">
        <f>F23+G23+H23+I23+J23+K23+L23</f>
        <v>153.19999999999999</v>
      </c>
      <c r="N23" s="111">
        <v>0.43</v>
      </c>
      <c r="O23" s="95">
        <f>M23*N23</f>
        <v>65.900000000000006</v>
      </c>
      <c r="P23" s="95">
        <f>M23+O23</f>
        <v>219.1</v>
      </c>
      <c r="Q23" s="95">
        <f>P23*0.8</f>
        <v>175.3</v>
      </c>
      <c r="R23" s="95">
        <f>P23*0.8</f>
        <v>175.3</v>
      </c>
      <c r="S23" s="95">
        <f>(P23+Q23+R23)*0.032</f>
        <v>18.2</v>
      </c>
      <c r="T23" s="95">
        <f>P23+Q23+R23+S23</f>
        <v>587.9</v>
      </c>
      <c r="U23" s="1827"/>
      <c r="V23" s="95">
        <f>T23*$U$9</f>
        <v>587.9</v>
      </c>
      <c r="W23" s="95">
        <f t="shared" si="22"/>
        <v>177.5</v>
      </c>
      <c r="X23" s="246"/>
      <c r="Y23" s="240">
        <v>30</v>
      </c>
      <c r="Z23" s="241">
        <f>X23*Y23</f>
        <v>0</v>
      </c>
      <c r="AA23" s="246"/>
      <c r="AB23" s="240">
        <v>15</v>
      </c>
      <c r="AC23" s="241">
        <f>AA23*AB23</f>
        <v>0</v>
      </c>
      <c r="AD23" s="246"/>
      <c r="AE23" s="240">
        <v>30</v>
      </c>
      <c r="AF23" s="241">
        <f>AD23*AE23</f>
        <v>0</v>
      </c>
      <c r="AG23" s="241">
        <f>(Z23+AC23+AF23)*1%*30</f>
        <v>0</v>
      </c>
      <c r="AH23" s="241">
        <f>Z23+AC23+AF23+AG23</f>
        <v>0</v>
      </c>
      <c r="AI23" s="114"/>
      <c r="AK23" s="114">
        <f t="shared" si="15"/>
        <v>587.9</v>
      </c>
      <c r="AL23" s="114"/>
      <c r="AM23" s="115"/>
      <c r="AN23" s="50">
        <f t="shared" si="21"/>
        <v>129.30000000000001</v>
      </c>
      <c r="AO23" s="211"/>
      <c r="AP23" s="50">
        <f t="shared" si="23"/>
        <v>31.2</v>
      </c>
      <c r="AQ23" s="50">
        <f t="shared" si="16"/>
        <v>160.5</v>
      </c>
      <c r="AR23" s="99"/>
      <c r="AS23" s="99"/>
    </row>
    <row r="24" spans="1:45" s="252" customFormat="1" ht="25.5" x14ac:dyDescent="0.2">
      <c r="A24" s="103">
        <v>16</v>
      </c>
      <c r="B24" s="236" t="s">
        <v>102</v>
      </c>
      <c r="C24" s="238">
        <v>1</v>
      </c>
      <c r="D24" s="237">
        <v>4.3769999999999998</v>
      </c>
      <c r="E24" s="249">
        <f t="shared" si="0"/>
        <v>4.38</v>
      </c>
      <c r="F24" s="170">
        <f t="shared" si="1"/>
        <v>52.6</v>
      </c>
      <c r="G24" s="248"/>
      <c r="H24" s="248"/>
      <c r="I24" s="248"/>
      <c r="J24" s="248"/>
      <c r="K24" s="248"/>
      <c r="L24" s="95">
        <v>35.200000000000003</v>
      </c>
      <c r="M24" s="248">
        <f t="shared" si="2"/>
        <v>87.8</v>
      </c>
      <c r="N24" s="111">
        <v>0.49</v>
      </c>
      <c r="O24" s="248">
        <f t="shared" si="3"/>
        <v>43</v>
      </c>
      <c r="P24" s="248">
        <f t="shared" si="4"/>
        <v>130.80000000000001</v>
      </c>
      <c r="Q24" s="248">
        <f t="shared" si="5"/>
        <v>104.6</v>
      </c>
      <c r="R24" s="95">
        <f t="shared" si="6"/>
        <v>104.6</v>
      </c>
      <c r="S24" s="248">
        <f t="shared" si="7"/>
        <v>10.9</v>
      </c>
      <c r="T24" s="248">
        <f t="shared" si="8"/>
        <v>350.9</v>
      </c>
      <c r="U24" s="1828"/>
      <c r="V24" s="250">
        <f>T24*$U$9-0.3</f>
        <v>350.6</v>
      </c>
      <c r="W24" s="95">
        <f t="shared" si="22"/>
        <v>105.9</v>
      </c>
      <c r="X24" s="251">
        <v>1</v>
      </c>
      <c r="Y24" s="112">
        <v>30</v>
      </c>
      <c r="Z24" s="113">
        <f t="shared" si="9"/>
        <v>30</v>
      </c>
      <c r="AA24" s="251"/>
      <c r="AB24" s="112">
        <v>15</v>
      </c>
      <c r="AC24" s="113">
        <f t="shared" si="10"/>
        <v>0</v>
      </c>
      <c r="AD24" s="251"/>
      <c r="AE24" s="112">
        <v>30</v>
      </c>
      <c r="AF24" s="113">
        <f t="shared" si="11"/>
        <v>0</v>
      </c>
      <c r="AG24" s="113">
        <f t="shared" si="12"/>
        <v>9</v>
      </c>
      <c r="AH24" s="113">
        <f t="shared" si="13"/>
        <v>39</v>
      </c>
      <c r="AI24" s="114">
        <f>V24/12/C24*1000</f>
        <v>29216.7</v>
      </c>
      <c r="AK24" s="114">
        <f t="shared" si="15"/>
        <v>350.6</v>
      </c>
      <c r="AL24" s="114">
        <f t="shared" si="19"/>
        <v>181.3</v>
      </c>
      <c r="AM24" s="115">
        <v>0.30199999999999999</v>
      </c>
      <c r="AN24" s="50">
        <f t="shared" si="21"/>
        <v>77.099999999999994</v>
      </c>
      <c r="AO24" s="211"/>
      <c r="AP24" s="50">
        <f t="shared" si="23"/>
        <v>18.600000000000001</v>
      </c>
      <c r="AQ24" s="50">
        <f t="shared" si="16"/>
        <v>95.7</v>
      </c>
      <c r="AR24" s="99"/>
      <c r="AS24" s="99">
        <f>D24*1.5</f>
        <v>6.5655000000000001</v>
      </c>
    </row>
    <row r="25" spans="1:45" s="98" customFormat="1" ht="20.25" customHeight="1" x14ac:dyDescent="0.2">
      <c r="A25" s="1825" t="s">
        <v>8</v>
      </c>
      <c r="B25" s="1825"/>
      <c r="C25" s="253">
        <f t="shared" ref="C25:M25" si="24">SUM(C9:C24)</f>
        <v>19</v>
      </c>
      <c r="D25" s="254">
        <f t="shared" si="24"/>
        <v>171.5</v>
      </c>
      <c r="E25" s="254">
        <f t="shared" si="24"/>
        <v>204.7</v>
      </c>
      <c r="F25" s="254">
        <f t="shared" si="24"/>
        <v>2455.8000000000002</v>
      </c>
      <c r="G25" s="254">
        <f t="shared" si="24"/>
        <v>18</v>
      </c>
      <c r="H25" s="254">
        <f t="shared" si="24"/>
        <v>76.7</v>
      </c>
      <c r="I25" s="254">
        <f t="shared" si="24"/>
        <v>0</v>
      </c>
      <c r="J25" s="254">
        <f t="shared" si="24"/>
        <v>2.5</v>
      </c>
      <c r="K25" s="254">
        <f t="shared" si="24"/>
        <v>868.2</v>
      </c>
      <c r="L25" s="254">
        <f t="shared" si="24"/>
        <v>406.5</v>
      </c>
      <c r="M25" s="254">
        <f t="shared" si="24"/>
        <v>3827.7</v>
      </c>
      <c r="N25" s="254"/>
      <c r="O25" s="254">
        <f t="shared" ref="O25:AH25" si="25">SUM(O9:O24)</f>
        <v>1659.4</v>
      </c>
      <c r="P25" s="254">
        <f t="shared" si="25"/>
        <v>5487.1</v>
      </c>
      <c r="Q25" s="254">
        <f t="shared" si="25"/>
        <v>4389.7</v>
      </c>
      <c r="R25" s="254">
        <f t="shared" si="25"/>
        <v>4389.7</v>
      </c>
      <c r="S25" s="254">
        <f t="shared" si="25"/>
        <v>456.3</v>
      </c>
      <c r="T25" s="254">
        <f t="shared" si="25"/>
        <v>14722.8</v>
      </c>
      <c r="U25" s="254">
        <f t="shared" si="25"/>
        <v>1</v>
      </c>
      <c r="V25" s="254">
        <f t="shared" si="25"/>
        <v>14722.5</v>
      </c>
      <c r="W25" s="254">
        <f t="shared" si="25"/>
        <v>4305.6000000000004</v>
      </c>
      <c r="X25" s="254">
        <f t="shared" si="25"/>
        <v>7</v>
      </c>
      <c r="Y25" s="254">
        <f t="shared" si="25"/>
        <v>480</v>
      </c>
      <c r="Z25" s="254">
        <f t="shared" si="25"/>
        <v>210</v>
      </c>
      <c r="AA25" s="254">
        <f t="shared" si="25"/>
        <v>1</v>
      </c>
      <c r="AB25" s="254">
        <f t="shared" si="25"/>
        <v>240</v>
      </c>
      <c r="AC25" s="254">
        <f t="shared" si="25"/>
        <v>15</v>
      </c>
      <c r="AD25" s="254">
        <f t="shared" si="25"/>
        <v>2</v>
      </c>
      <c r="AE25" s="254">
        <f t="shared" si="25"/>
        <v>480</v>
      </c>
      <c r="AF25" s="254">
        <f t="shared" si="25"/>
        <v>60</v>
      </c>
      <c r="AG25" s="254">
        <f t="shared" si="25"/>
        <v>85.5</v>
      </c>
      <c r="AH25" s="254">
        <f t="shared" si="25"/>
        <v>370.5</v>
      </c>
      <c r="AI25" s="114"/>
      <c r="AN25" s="211"/>
      <c r="AO25" s="211"/>
      <c r="AP25" s="211"/>
      <c r="AQ25" s="211"/>
      <c r="AR25" s="99"/>
      <c r="AS25" s="99"/>
    </row>
    <row r="26" spans="1:45" x14ac:dyDescent="0.2">
      <c r="G26" s="131"/>
      <c r="H26" s="131"/>
      <c r="I26" s="131"/>
      <c r="J26" s="131"/>
      <c r="K26" s="131"/>
      <c r="L26" s="131"/>
      <c r="M26" s="131"/>
      <c r="N26" s="131"/>
      <c r="O26" s="131"/>
      <c r="P26" s="131"/>
      <c r="Q26" s="131"/>
      <c r="R26" s="131"/>
      <c r="S26" s="131"/>
      <c r="T26" s="131"/>
      <c r="V26" s="114"/>
      <c r="W26" s="66"/>
      <c r="X26" s="131"/>
      <c r="AA26" s="131"/>
      <c r="AD26" s="131"/>
      <c r="AG26" s="131"/>
      <c r="AH26" s="131"/>
      <c r="AO26" s="50"/>
      <c r="AP26" s="50"/>
      <c r="AQ26" s="50"/>
    </row>
    <row r="27" spans="1:45" x14ac:dyDescent="0.2">
      <c r="B27" s="255"/>
      <c r="C27" s="256"/>
      <c r="D27" s="256"/>
      <c r="E27" s="257"/>
      <c r="F27" s="257"/>
      <c r="G27" s="257"/>
      <c r="H27" s="257"/>
      <c r="I27" s="133"/>
      <c r="J27" s="131"/>
      <c r="K27" s="131"/>
      <c r="L27" s="131"/>
      <c r="M27" s="131"/>
      <c r="N27" s="131"/>
      <c r="O27" s="131"/>
      <c r="P27" s="131"/>
      <c r="Q27" s="131"/>
      <c r="R27" s="131"/>
      <c r="S27" s="131"/>
      <c r="T27" s="131"/>
      <c r="V27" s="114"/>
      <c r="W27" s="114"/>
      <c r="X27" s="131"/>
      <c r="AA27" s="131"/>
      <c r="AD27" s="131"/>
      <c r="AE27" s="131"/>
    </row>
    <row r="28" spans="1:45" s="75" customFormat="1" x14ac:dyDescent="0.2">
      <c r="A28" s="70"/>
      <c r="B28" s="70"/>
      <c r="C28" s="71"/>
      <c r="D28" s="72"/>
      <c r="E28" s="72"/>
      <c r="F28" s="72"/>
      <c r="G28" s="72"/>
      <c r="H28" s="73"/>
      <c r="I28" s="73"/>
      <c r="J28" s="27"/>
      <c r="K28" s="27"/>
      <c r="L28" s="27"/>
      <c r="M28" s="27"/>
      <c r="N28" s="74"/>
      <c r="O28" s="27"/>
      <c r="P28" s="27"/>
      <c r="Q28" s="27"/>
      <c r="R28" s="27"/>
      <c r="S28" s="27"/>
      <c r="T28" s="27"/>
      <c r="U28" s="27"/>
      <c r="V28" s="27"/>
      <c r="W28" s="27"/>
      <c r="X28" s="27"/>
      <c r="Y28" s="27"/>
      <c r="Z28" s="27"/>
      <c r="AA28" s="27"/>
      <c r="AB28" s="27"/>
      <c r="AC28" s="27"/>
      <c r="AD28" s="27"/>
      <c r="AE28" s="27"/>
      <c r="AF28" s="27"/>
      <c r="AG28" s="27"/>
      <c r="AH28" s="27"/>
      <c r="AI28" s="27"/>
      <c r="AJ28" s="76"/>
      <c r="AN28" s="76"/>
      <c r="AO28" s="76"/>
      <c r="AP28" s="76"/>
      <c r="AQ28" s="76"/>
      <c r="AR28" s="76"/>
    </row>
    <row r="29" spans="1:45" s="75" customFormat="1" ht="59.25" customHeight="1" x14ac:dyDescent="0.2">
      <c r="A29" s="70"/>
      <c r="B29" s="70"/>
      <c r="C29" s="71"/>
      <c r="D29" s="77"/>
      <c r="E29" s="77"/>
      <c r="F29" s="27"/>
      <c r="G29" s="1438" t="s">
        <v>140</v>
      </c>
      <c r="H29" s="1438"/>
      <c r="I29" s="1438" t="s">
        <v>145</v>
      </c>
      <c r="J29" s="1438"/>
      <c r="K29" s="1438" t="s">
        <v>128</v>
      </c>
      <c r="L29" s="1438"/>
      <c r="Q29" s="27"/>
      <c r="R29" s="27"/>
      <c r="S29" s="27"/>
      <c r="T29" s="27"/>
      <c r="U29" s="27"/>
      <c r="V29" s="27"/>
      <c r="W29" s="27"/>
      <c r="X29" s="27"/>
      <c r="Y29" s="27"/>
      <c r="Z29" s="27"/>
      <c r="AA29" s="27"/>
      <c r="AB29" s="27"/>
      <c r="AC29" s="27"/>
      <c r="AD29" s="27"/>
      <c r="AE29" s="27"/>
      <c r="AF29" s="27"/>
      <c r="AG29" s="27"/>
      <c r="AH29" s="27"/>
      <c r="AI29" s="27"/>
      <c r="AJ29" s="76"/>
      <c r="AN29" s="76"/>
      <c r="AO29" s="76"/>
      <c r="AP29" s="76"/>
      <c r="AQ29" s="76"/>
      <c r="AR29" s="76"/>
    </row>
    <row r="30" spans="1:45" s="75" customFormat="1" x14ac:dyDescent="0.2">
      <c r="A30" s="70"/>
      <c r="B30" s="70"/>
      <c r="C30" s="71"/>
      <c r="D30" s="77"/>
      <c r="E30" s="77"/>
      <c r="F30" s="27"/>
      <c r="G30" s="78">
        <v>991</v>
      </c>
      <c r="H30" s="78">
        <v>992</v>
      </c>
      <c r="I30" s="78">
        <v>991</v>
      </c>
      <c r="J30" s="78">
        <v>992</v>
      </c>
      <c r="K30" s="78">
        <v>991</v>
      </c>
      <c r="L30" s="78">
        <v>992</v>
      </c>
      <c r="Q30" s="27"/>
      <c r="R30" s="27"/>
      <c r="S30" s="27"/>
      <c r="T30" s="27"/>
      <c r="U30" s="27"/>
      <c r="V30" s="27"/>
      <c r="W30" s="27"/>
      <c r="X30" s="27"/>
      <c r="Y30" s="27"/>
      <c r="Z30" s="27"/>
      <c r="AA30" s="27"/>
      <c r="AB30" s="27"/>
      <c r="AC30" s="27"/>
      <c r="AD30" s="27"/>
      <c r="AE30" s="27"/>
      <c r="AF30" s="27"/>
      <c r="AG30" s="27"/>
      <c r="AH30" s="27"/>
      <c r="AI30" s="27"/>
      <c r="AJ30" s="76"/>
      <c r="AN30" s="76"/>
      <c r="AO30" s="76"/>
      <c r="AP30" s="76"/>
      <c r="AQ30" s="76"/>
      <c r="AR30" s="76"/>
    </row>
    <row r="31" spans="1:45" s="75" customFormat="1" x14ac:dyDescent="0.2">
      <c r="A31" s="70"/>
      <c r="B31" s="70"/>
      <c r="C31" s="71"/>
      <c r="D31" s="77"/>
      <c r="E31" s="77"/>
      <c r="F31" s="27"/>
      <c r="G31" s="29">
        <v>14722.5</v>
      </c>
      <c r="H31" s="29">
        <v>4245.1000000000004</v>
      </c>
      <c r="I31" s="29">
        <f>V25</f>
        <v>14722.5</v>
      </c>
      <c r="J31" s="29">
        <f>W25</f>
        <v>4305.6000000000004</v>
      </c>
      <c r="K31" s="29">
        <f>G31-I31</f>
        <v>0</v>
      </c>
      <c r="L31" s="29">
        <f>H31-J31</f>
        <v>-60.5</v>
      </c>
      <c r="Q31" s="27"/>
      <c r="R31" s="27"/>
      <c r="S31" s="27"/>
      <c r="T31" s="27"/>
      <c r="U31" s="27"/>
      <c r="V31" s="27"/>
      <c r="W31" s="27"/>
      <c r="X31" s="27"/>
      <c r="Y31" s="27"/>
      <c r="Z31" s="27"/>
      <c r="AA31" s="27"/>
      <c r="AB31" s="27"/>
      <c r="AC31" s="27"/>
      <c r="AD31" s="27"/>
      <c r="AE31" s="27"/>
      <c r="AF31" s="27"/>
      <c r="AG31" s="27"/>
      <c r="AH31" s="27"/>
      <c r="AI31" s="27"/>
      <c r="AJ31" s="76"/>
      <c r="AN31" s="76"/>
      <c r="AO31" s="76"/>
      <c r="AP31" s="76"/>
      <c r="AQ31" s="76"/>
      <c r="AR31" s="76"/>
    </row>
    <row r="32" spans="1:45" s="75" customFormat="1" x14ac:dyDescent="0.2">
      <c r="A32" s="70"/>
      <c r="B32" s="70"/>
      <c r="C32" s="71"/>
      <c r="D32" s="77"/>
      <c r="E32" s="77"/>
      <c r="F32" s="27"/>
      <c r="G32" s="27"/>
      <c r="H32" s="80"/>
      <c r="I32" s="27"/>
      <c r="J32" s="80"/>
      <c r="K32" s="27"/>
      <c r="L32" s="27"/>
      <c r="M32" s="27"/>
      <c r="N32" s="74"/>
      <c r="O32" s="27"/>
      <c r="P32" s="27"/>
      <c r="Q32" s="27"/>
      <c r="R32" s="27"/>
      <c r="S32" s="27"/>
      <c r="T32" s="27"/>
      <c r="U32" s="27"/>
      <c r="V32" s="27"/>
      <c r="W32" s="27"/>
      <c r="X32" s="27"/>
      <c r="Y32" s="27"/>
      <c r="Z32" s="27"/>
      <c r="AA32" s="27"/>
      <c r="AB32" s="27"/>
      <c r="AC32" s="27"/>
      <c r="AD32" s="27"/>
      <c r="AE32" s="27"/>
      <c r="AF32" s="27"/>
      <c r="AG32" s="27"/>
      <c r="AH32" s="27"/>
      <c r="AI32" s="27"/>
      <c r="AJ32" s="76"/>
      <c r="AN32" s="76"/>
      <c r="AO32" s="76"/>
      <c r="AP32" s="76"/>
      <c r="AQ32" s="76"/>
      <c r="AR32" s="76"/>
    </row>
    <row r="33" spans="1:44" s="75" customFormat="1" x14ac:dyDescent="0.2">
      <c r="A33" s="70"/>
      <c r="B33" s="70"/>
      <c r="C33" s="71"/>
      <c r="D33" s="77"/>
      <c r="E33" s="77"/>
      <c r="F33" s="27"/>
      <c r="G33" s="27"/>
      <c r="H33" s="80"/>
      <c r="I33" s="27"/>
      <c r="J33" s="80"/>
      <c r="K33" s="27"/>
      <c r="L33" s="27"/>
      <c r="M33" s="27"/>
      <c r="N33" s="74"/>
      <c r="O33" s="27"/>
      <c r="P33" s="27"/>
      <c r="Q33" s="27"/>
      <c r="R33" s="27"/>
      <c r="S33" s="27"/>
      <c r="T33" s="27"/>
      <c r="U33" s="27"/>
      <c r="V33" s="27"/>
      <c r="W33" s="27"/>
      <c r="X33" s="27"/>
      <c r="Y33" s="27"/>
      <c r="Z33" s="27"/>
      <c r="AA33" s="27"/>
      <c r="AB33" s="27"/>
      <c r="AC33" s="27"/>
      <c r="AD33" s="27"/>
      <c r="AE33" s="27"/>
      <c r="AF33" s="27"/>
      <c r="AG33" s="27"/>
      <c r="AH33" s="27"/>
      <c r="AI33" s="27"/>
      <c r="AJ33" s="76"/>
      <c r="AN33" s="76"/>
      <c r="AO33" s="76"/>
      <c r="AP33" s="76"/>
      <c r="AQ33" s="76"/>
      <c r="AR33" s="76"/>
    </row>
    <row r="34" spans="1:44" s="75" customFormat="1" x14ac:dyDescent="0.2">
      <c r="A34" s="70"/>
      <c r="B34" s="70"/>
      <c r="C34" s="71"/>
      <c r="D34" s="77"/>
      <c r="E34" s="77"/>
      <c r="F34" s="27"/>
      <c r="G34" s="27"/>
      <c r="H34" s="80"/>
      <c r="I34" s="27"/>
      <c r="J34" s="80"/>
      <c r="K34" s="27"/>
      <c r="L34" s="27"/>
      <c r="M34" s="27"/>
      <c r="N34" s="74"/>
      <c r="O34" s="27"/>
      <c r="P34" s="27"/>
      <c r="Q34" s="27"/>
      <c r="R34" s="27"/>
      <c r="S34" s="27"/>
      <c r="T34" s="27"/>
      <c r="U34" s="27"/>
      <c r="V34" s="27"/>
      <c r="W34" s="27"/>
      <c r="X34" s="27"/>
      <c r="Y34" s="27"/>
      <c r="Z34" s="27"/>
      <c r="AA34" s="27"/>
      <c r="AB34" s="27"/>
      <c r="AC34" s="27"/>
      <c r="AD34" s="27"/>
      <c r="AE34" s="27"/>
      <c r="AF34" s="27"/>
      <c r="AG34" s="27"/>
      <c r="AH34" s="27"/>
      <c r="AI34" s="27"/>
      <c r="AJ34" s="76"/>
      <c r="AN34" s="76"/>
      <c r="AO34" s="76"/>
      <c r="AP34" s="76"/>
      <c r="AQ34" s="76"/>
      <c r="AR34" s="76"/>
    </row>
    <row r="35" spans="1:44" s="75" customFormat="1" x14ac:dyDescent="0.2">
      <c r="A35" s="70"/>
      <c r="B35" s="70"/>
      <c r="C35" s="71"/>
      <c r="D35" s="77"/>
      <c r="E35" s="77"/>
      <c r="F35" s="27"/>
      <c r="G35" s="27"/>
      <c r="H35" s="80"/>
      <c r="I35" s="27"/>
      <c r="J35" s="80"/>
      <c r="K35" s="27"/>
      <c r="L35" s="27"/>
      <c r="M35" s="27"/>
      <c r="N35" s="74"/>
      <c r="O35" s="27"/>
      <c r="P35" s="27"/>
      <c r="Q35" s="27"/>
      <c r="R35" s="27"/>
      <c r="S35" s="27"/>
      <c r="T35" s="27"/>
      <c r="U35" s="27"/>
      <c r="V35" s="27"/>
      <c r="W35" s="27"/>
      <c r="X35" s="27"/>
      <c r="Y35" s="27"/>
      <c r="Z35" s="27"/>
      <c r="AA35" s="27"/>
      <c r="AB35" s="27"/>
      <c r="AC35" s="27"/>
      <c r="AD35" s="27"/>
      <c r="AE35" s="27"/>
      <c r="AF35" s="27"/>
      <c r="AG35" s="27"/>
      <c r="AH35" s="27"/>
      <c r="AI35" s="27"/>
      <c r="AJ35" s="76"/>
      <c r="AN35" s="76"/>
      <c r="AO35" s="76"/>
      <c r="AP35" s="76"/>
      <c r="AQ35" s="76"/>
      <c r="AR35" s="76"/>
    </row>
    <row r="36" spans="1:44" s="35" customFormat="1" ht="20.25" x14ac:dyDescent="0.2">
      <c r="A36" s="81"/>
      <c r="B36" s="82" t="s">
        <v>138</v>
      </c>
      <c r="C36" s="83"/>
      <c r="D36" s="84"/>
      <c r="E36" s="84"/>
      <c r="F36" s="85"/>
      <c r="G36" s="85"/>
      <c r="H36" s="86"/>
      <c r="I36" s="86"/>
      <c r="J36" s="85"/>
      <c r="K36" s="30" t="s">
        <v>166</v>
      </c>
      <c r="L36" s="85"/>
      <c r="M36" s="85"/>
      <c r="N36" s="87"/>
      <c r="O36" s="85"/>
      <c r="P36" s="85"/>
      <c r="Q36" s="85"/>
      <c r="R36" s="85"/>
      <c r="S36" s="85"/>
      <c r="T36" s="85"/>
      <c r="U36" s="85"/>
      <c r="V36" s="85"/>
      <c r="W36" s="85"/>
      <c r="X36" s="85"/>
      <c r="Y36" s="85"/>
      <c r="Z36" s="85"/>
      <c r="AA36" s="85"/>
      <c r="AB36" s="85"/>
      <c r="AC36" s="85"/>
      <c r="AD36" s="85"/>
      <c r="AE36" s="85"/>
      <c r="AF36" s="85"/>
      <c r="AG36" s="85"/>
      <c r="AH36" s="85"/>
      <c r="AI36" s="85"/>
      <c r="AK36" s="88"/>
      <c r="AL36" s="88"/>
      <c r="AM36" s="88"/>
      <c r="AN36" s="88"/>
      <c r="AO36" s="88"/>
    </row>
    <row r="37" spans="1:44" s="143" customFormat="1" x14ac:dyDescent="0.2">
      <c r="A37" s="136"/>
      <c r="B37" s="136"/>
      <c r="C37" s="137"/>
      <c r="D37" s="144"/>
      <c r="E37" s="144"/>
      <c r="F37" s="140"/>
      <c r="G37" s="140"/>
      <c r="H37" s="139"/>
      <c r="I37" s="139"/>
      <c r="J37" s="140"/>
      <c r="K37" s="140"/>
      <c r="L37" s="140"/>
      <c r="M37" s="140"/>
      <c r="N37" s="141"/>
      <c r="O37" s="140"/>
      <c r="P37" s="140"/>
      <c r="Q37" s="140"/>
      <c r="R37" s="140"/>
      <c r="S37" s="140"/>
      <c r="T37" s="140"/>
      <c r="U37" s="140"/>
      <c r="V37" s="140"/>
      <c r="W37" s="140"/>
      <c r="X37" s="140"/>
      <c r="Y37" s="140"/>
      <c r="Z37" s="140"/>
      <c r="AA37" s="140"/>
      <c r="AB37" s="140"/>
      <c r="AC37" s="140"/>
      <c r="AD37" s="140"/>
      <c r="AE37" s="140"/>
      <c r="AF37" s="142"/>
      <c r="AK37" s="142"/>
      <c r="AL37" s="142"/>
      <c r="AM37" s="142"/>
      <c r="AN37" s="76"/>
      <c r="AO37" s="76"/>
      <c r="AP37" s="76"/>
      <c r="AQ37" s="76"/>
      <c r="AR37" s="99"/>
    </row>
    <row r="38" spans="1:44" s="143" customFormat="1" x14ac:dyDescent="0.2">
      <c r="A38" s="136"/>
      <c r="B38" s="136"/>
      <c r="C38" s="137"/>
      <c r="D38" s="144"/>
      <c r="E38" s="144"/>
      <c r="F38" s="140"/>
      <c r="G38" s="140"/>
      <c r="H38" s="139"/>
      <c r="I38" s="139"/>
      <c r="J38" s="140"/>
      <c r="K38" s="140"/>
      <c r="L38" s="140"/>
      <c r="M38" s="140"/>
      <c r="N38" s="202"/>
      <c r="O38" s="203"/>
      <c r="P38" s="140"/>
      <c r="Q38" s="140"/>
      <c r="R38" s="140"/>
      <c r="S38" s="140"/>
      <c r="T38" s="140"/>
      <c r="U38" s="140"/>
      <c r="V38" s="140"/>
      <c r="W38" s="140"/>
      <c r="X38" s="140"/>
      <c r="Y38" s="140"/>
      <c r="Z38" s="140"/>
      <c r="AA38" s="140"/>
      <c r="AB38" s="140"/>
      <c r="AC38" s="140"/>
      <c r="AD38" s="140"/>
      <c r="AE38" s="140"/>
      <c r="AF38" s="142"/>
      <c r="AK38" s="142"/>
      <c r="AL38" s="142"/>
      <c r="AM38" s="142"/>
      <c r="AN38" s="76"/>
      <c r="AO38" s="76"/>
      <c r="AP38" s="76"/>
      <c r="AQ38" s="76"/>
      <c r="AR38" s="252"/>
    </row>
    <row r="39" spans="1:44" s="143" customFormat="1" ht="20.25" customHeight="1" x14ac:dyDescent="0.2">
      <c r="A39" s="145" t="s">
        <v>96</v>
      </c>
      <c r="B39" s="145"/>
      <c r="C39" s="146"/>
      <c r="D39" s="146"/>
      <c r="E39" s="146"/>
      <c r="F39" s="146"/>
      <c r="G39" s="146"/>
      <c r="H39" s="146"/>
      <c r="I39" s="146"/>
      <c r="J39" s="146"/>
      <c r="K39" s="146"/>
      <c r="L39" s="147"/>
      <c r="M39" s="147"/>
      <c r="N39" s="202"/>
      <c r="O39" s="203"/>
      <c r="P39" s="147"/>
      <c r="Q39" s="147"/>
      <c r="R39" s="147"/>
      <c r="S39" s="147"/>
      <c r="T39" s="147"/>
      <c r="U39" s="147"/>
      <c r="V39" s="147"/>
      <c r="W39" s="147"/>
      <c r="X39" s="147"/>
      <c r="Y39" s="147"/>
      <c r="Z39" s="147"/>
      <c r="AA39" s="147"/>
      <c r="AB39" s="147"/>
      <c r="AC39" s="147"/>
      <c r="AD39" s="147"/>
      <c r="AE39" s="147"/>
      <c r="AF39" s="142"/>
      <c r="AK39" s="142"/>
      <c r="AL39" s="142"/>
      <c r="AM39" s="142"/>
      <c r="AN39" s="76"/>
      <c r="AO39" s="76"/>
      <c r="AP39" s="76"/>
      <c r="AQ39" s="76"/>
      <c r="AR39" s="99"/>
    </row>
    <row r="40" spans="1:44" s="143" customFormat="1" ht="20.25" customHeight="1" x14ac:dyDescent="0.2">
      <c r="A40" s="145" t="s">
        <v>139</v>
      </c>
      <c r="B40" s="149"/>
      <c r="C40" s="150"/>
      <c r="D40" s="150"/>
      <c r="E40" s="151"/>
      <c r="F40" s="151"/>
      <c r="G40" s="151"/>
      <c r="H40" s="151"/>
      <c r="I40" s="151"/>
      <c r="J40" s="151"/>
      <c r="K40" s="151"/>
      <c r="L40" s="147"/>
      <c r="M40" s="147"/>
      <c r="N40" s="202"/>
      <c r="O40" s="203"/>
      <c r="P40" s="147"/>
      <c r="Q40" s="147"/>
      <c r="R40" s="147"/>
      <c r="S40" s="147"/>
      <c r="T40" s="147"/>
      <c r="U40" s="147"/>
      <c r="V40" s="147"/>
      <c r="W40" s="147"/>
      <c r="X40" s="147"/>
      <c r="Y40" s="147"/>
      <c r="Z40" s="147"/>
      <c r="AA40" s="147"/>
      <c r="AB40" s="147"/>
      <c r="AC40" s="147"/>
      <c r="AD40" s="147"/>
      <c r="AE40" s="147"/>
      <c r="AF40" s="142"/>
      <c r="AK40" s="142"/>
      <c r="AL40" s="142"/>
      <c r="AM40" s="142"/>
      <c r="AN40" s="76"/>
      <c r="AO40" s="76"/>
      <c r="AP40" s="76"/>
      <c r="AQ40" s="76"/>
      <c r="AR40" s="252"/>
    </row>
    <row r="41" spans="1:44" x14ac:dyDescent="0.2">
      <c r="A41" s="99"/>
      <c r="I41" s="153"/>
      <c r="J41" s="153"/>
      <c r="W41" s="131"/>
      <c r="X41" s="131"/>
      <c r="AA41" s="131"/>
      <c r="AD41" s="131"/>
      <c r="AE41" s="131"/>
      <c r="AN41" s="76"/>
      <c r="AO41" s="76"/>
      <c r="AP41" s="76"/>
      <c r="AQ41" s="76"/>
      <c r="AR41" s="98"/>
    </row>
    <row r="42" spans="1:44" ht="16.5" x14ac:dyDescent="0.2">
      <c r="A42" s="258"/>
      <c r="W42" s="131"/>
      <c r="X42" s="131"/>
      <c r="AA42" s="131"/>
      <c r="AD42" s="131"/>
      <c r="AE42" s="131"/>
    </row>
    <row r="43" spans="1:44" x14ac:dyDescent="0.2">
      <c r="AG43" s="114"/>
    </row>
    <row r="45" spans="1:44" x14ac:dyDescent="0.2">
      <c r="E45" s="115"/>
    </row>
    <row r="46" spans="1:44" x14ac:dyDescent="0.2">
      <c r="E46" s="115"/>
    </row>
    <row r="47" spans="1:44" x14ac:dyDescent="0.2">
      <c r="E47" s="115"/>
      <c r="K47" s="153"/>
    </row>
    <row r="48" spans="1:44" x14ac:dyDescent="0.2">
      <c r="A48" s="99"/>
      <c r="E48" s="115"/>
    </row>
    <row r="49" spans="1:45" x14ac:dyDescent="0.2">
      <c r="A49" s="99"/>
      <c r="E49" s="115"/>
    </row>
    <row r="50" spans="1:45" x14ac:dyDescent="0.2">
      <c r="A50" s="99"/>
      <c r="E50" s="115"/>
    </row>
    <row r="51" spans="1:45" x14ac:dyDescent="0.2">
      <c r="A51" s="99"/>
      <c r="E51" s="115"/>
    </row>
    <row r="52" spans="1:45" x14ac:dyDescent="0.2">
      <c r="A52" s="99"/>
      <c r="E52" s="115"/>
    </row>
    <row r="53" spans="1:45" x14ac:dyDescent="0.2">
      <c r="A53" s="99"/>
      <c r="E53" s="115"/>
    </row>
    <row r="54" spans="1:45" x14ac:dyDescent="0.2">
      <c r="A54" s="99"/>
      <c r="E54" s="115"/>
    </row>
    <row r="55" spans="1:45" x14ac:dyDescent="0.2">
      <c r="A55" s="99"/>
      <c r="E55" s="115"/>
    </row>
    <row r="56" spans="1:45" x14ac:dyDescent="0.2">
      <c r="A56" s="99"/>
      <c r="E56" s="115"/>
    </row>
    <row r="57" spans="1:45" x14ac:dyDescent="0.2">
      <c r="A57" s="99"/>
      <c r="E57" s="115"/>
    </row>
    <row r="58" spans="1:45" x14ac:dyDescent="0.2">
      <c r="A58" s="99"/>
      <c r="E58" s="115"/>
    </row>
    <row r="59" spans="1:45" x14ac:dyDescent="0.2">
      <c r="A59" s="99"/>
      <c r="E59" s="115"/>
    </row>
    <row r="60" spans="1:45" s="211" customFormat="1" x14ac:dyDescent="0.2">
      <c r="A60" s="99"/>
      <c r="B60" s="99"/>
      <c r="C60" s="99"/>
      <c r="D60" s="99"/>
      <c r="E60" s="115"/>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99"/>
      <c r="AR60" s="99"/>
      <c r="AS60" s="99"/>
    </row>
    <row r="61" spans="1:45" s="211" customFormat="1" x14ac:dyDescent="0.2">
      <c r="A61" s="99"/>
      <c r="B61" s="99"/>
      <c r="C61" s="99"/>
      <c r="D61" s="99"/>
      <c r="E61" s="115"/>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R61" s="99"/>
      <c r="AS61" s="99"/>
    </row>
    <row r="62" spans="1:45" s="211" customFormat="1" x14ac:dyDescent="0.2">
      <c r="A62" s="99"/>
      <c r="B62" s="99"/>
      <c r="C62" s="99"/>
      <c r="D62" s="99"/>
      <c r="E62" s="115"/>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R62" s="99"/>
      <c r="AS62" s="99"/>
    </row>
    <row r="63" spans="1:45" s="211" customFormat="1" x14ac:dyDescent="0.2">
      <c r="A63" s="99"/>
      <c r="B63" s="99"/>
      <c r="C63" s="99"/>
      <c r="D63" s="99"/>
      <c r="E63" s="115"/>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R63" s="99"/>
      <c r="AS63" s="99"/>
    </row>
    <row r="64" spans="1:45" s="211" customFormat="1" x14ac:dyDescent="0.2">
      <c r="A64" s="99"/>
      <c r="B64" s="99"/>
      <c r="C64" s="99"/>
      <c r="D64" s="99"/>
      <c r="E64" s="115"/>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R64" s="99"/>
      <c r="AS64" s="99"/>
    </row>
    <row r="65" spans="1:45" s="211" customFormat="1" x14ac:dyDescent="0.2">
      <c r="A65" s="99"/>
      <c r="B65" s="99"/>
      <c r="C65" s="99"/>
      <c r="D65" s="99"/>
      <c r="E65" s="115"/>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R65" s="99"/>
      <c r="AS65" s="99"/>
    </row>
    <row r="66" spans="1:45" s="211" customFormat="1" x14ac:dyDescent="0.2">
      <c r="A66" s="99"/>
      <c r="B66" s="99"/>
      <c r="C66" s="99"/>
      <c r="D66" s="99"/>
      <c r="E66" s="115"/>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99"/>
      <c r="AR66" s="99"/>
      <c r="AS66" s="99"/>
    </row>
  </sheetData>
  <autoFilter ref="A8:AS25"/>
  <mergeCells count="37">
    <mergeCell ref="G29:H29"/>
    <mergeCell ref="AA6:AC6"/>
    <mergeCell ref="AD6:AF6"/>
    <mergeCell ref="K6:K7"/>
    <mergeCell ref="AH6:AH7"/>
    <mergeCell ref="U9:U24"/>
    <mergeCell ref="W6:W7"/>
    <mergeCell ref="X6:Z6"/>
    <mergeCell ref="I29:J29"/>
    <mergeCell ref="K29:L29"/>
    <mergeCell ref="AG6:AG7"/>
    <mergeCell ref="A25:B25"/>
    <mergeCell ref="S6:S7"/>
    <mergeCell ref="T6:T7"/>
    <mergeCell ref="U6:U7"/>
    <mergeCell ref="V6:V7"/>
    <mergeCell ref="L6:L7"/>
    <mergeCell ref="M6:M7"/>
    <mergeCell ref="N6:O6"/>
    <mergeCell ref="P6:P7"/>
    <mergeCell ref="Q6:Q7"/>
    <mergeCell ref="G6:G7"/>
    <mergeCell ref="H6:H7"/>
    <mergeCell ref="I6:I7"/>
    <mergeCell ref="J6:J7"/>
    <mergeCell ref="X5:AH5"/>
    <mergeCell ref="R6:R7"/>
    <mergeCell ref="AE1:AH1"/>
    <mergeCell ref="A2:AH2"/>
    <mergeCell ref="A3:AH3"/>
    <mergeCell ref="A5:A7"/>
    <mergeCell ref="B5:B7"/>
    <mergeCell ref="C5:C7"/>
    <mergeCell ref="D5:W5"/>
    <mergeCell ref="D6:D7"/>
    <mergeCell ref="E6:E7"/>
    <mergeCell ref="F6:F7"/>
  </mergeCells>
  <printOptions horizontalCentered="1"/>
  <pageMargins left="0" right="0" top="0" bottom="0" header="0.31496062992125984" footer="0.31496062992125984"/>
  <pageSetup paperSize="9" scale="39" orientation="landscape"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AS68"/>
  <sheetViews>
    <sheetView view="pageBreakPreview" zoomScale="80" zoomScaleNormal="70" zoomScaleSheetLayoutView="80" workbookViewId="0">
      <pane xSplit="3" ySplit="8" topLeftCell="N21"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5" x14ac:dyDescent="0.2"/>
  <cols>
    <col min="1" max="1" width="10.33203125" style="99" customWidth="1"/>
    <col min="2" max="2" width="30.83203125" style="99" customWidth="1"/>
    <col min="3" max="22" width="13.5" style="99" customWidth="1"/>
    <col min="23" max="23" width="12" style="99" customWidth="1"/>
    <col min="24" max="24" width="11.5" style="99" customWidth="1"/>
    <col min="25" max="25" width="12.33203125" style="99" customWidth="1"/>
    <col min="26" max="26" width="9.6640625" style="99" customWidth="1"/>
    <col min="27" max="32" width="8.5" style="99" customWidth="1"/>
    <col min="33" max="33" width="9.33203125" style="99" customWidth="1"/>
    <col min="34" max="34" width="10.6640625" style="99" customWidth="1"/>
    <col min="35" max="35" width="13.5" style="99" customWidth="1"/>
    <col min="36" max="36" width="12.6640625" style="99" customWidth="1"/>
    <col min="37" max="37" width="13" style="99" bestFit="1" customWidth="1"/>
    <col min="38" max="38" width="0" style="99" hidden="1" customWidth="1"/>
    <col min="39" max="39" width="13" style="99" hidden="1" customWidth="1"/>
    <col min="40" max="42" width="9.33203125" style="211"/>
    <col min="43" max="43" width="11.33203125" style="211" bestFit="1" customWidth="1"/>
    <col min="44" max="16384" width="9.33203125" style="99"/>
  </cols>
  <sheetData>
    <row r="1" spans="1:45" ht="22.5" customHeight="1" x14ac:dyDescent="0.2">
      <c r="AE1" s="1439"/>
      <c r="AF1" s="1439"/>
      <c r="AG1" s="1439"/>
      <c r="AH1" s="1439"/>
    </row>
    <row r="2" spans="1:45" ht="24" customHeight="1" x14ac:dyDescent="0.2">
      <c r="A2" s="1440" t="s">
        <v>150</v>
      </c>
      <c r="B2" s="1440"/>
      <c r="C2" s="1440"/>
      <c r="D2" s="1440"/>
      <c r="E2" s="1440"/>
      <c r="F2" s="1440"/>
      <c r="G2" s="1440"/>
      <c r="H2" s="1440"/>
      <c r="I2" s="1440"/>
      <c r="J2" s="1440"/>
      <c r="K2" s="1440"/>
      <c r="L2" s="1440"/>
      <c r="M2" s="1440"/>
      <c r="N2" s="1440"/>
      <c r="O2" s="1440"/>
      <c r="P2" s="1440"/>
      <c r="Q2" s="1440"/>
      <c r="R2" s="1440"/>
      <c r="S2" s="1440"/>
      <c r="T2" s="1440"/>
      <c r="U2" s="1440"/>
      <c r="V2" s="1440"/>
      <c r="W2" s="1440"/>
      <c r="X2" s="1440"/>
      <c r="Y2" s="1440"/>
      <c r="Z2" s="1440"/>
      <c r="AA2" s="1440"/>
      <c r="AB2" s="1440"/>
      <c r="AC2" s="1440"/>
      <c r="AD2" s="1440"/>
      <c r="AE2" s="1440"/>
      <c r="AF2" s="1440"/>
      <c r="AG2" s="1440"/>
      <c r="AH2" s="1440"/>
      <c r="AI2" s="235"/>
    </row>
    <row r="3" spans="1:45" ht="24.75" customHeight="1" x14ac:dyDescent="0.2">
      <c r="A3" s="1441"/>
      <c r="B3" s="1441"/>
      <c r="C3" s="1441"/>
      <c r="D3" s="1441"/>
      <c r="E3" s="1441"/>
      <c r="F3" s="1441"/>
      <c r="G3" s="1441"/>
      <c r="H3" s="1441"/>
      <c r="I3" s="1441"/>
      <c r="J3" s="1441"/>
      <c r="K3" s="1441"/>
      <c r="L3" s="1441"/>
      <c r="M3" s="1441"/>
      <c r="N3" s="1441"/>
      <c r="O3" s="1441"/>
      <c r="P3" s="1441"/>
      <c r="Q3" s="1441"/>
      <c r="R3" s="1441"/>
      <c r="S3" s="1441"/>
      <c r="T3" s="1441"/>
      <c r="U3" s="1441"/>
      <c r="V3" s="1441"/>
      <c r="W3" s="1441"/>
      <c r="X3" s="1441"/>
      <c r="Y3" s="1441"/>
      <c r="Z3" s="1441"/>
      <c r="AA3" s="1441"/>
      <c r="AB3" s="1441"/>
      <c r="AC3" s="1441"/>
      <c r="AD3" s="1441"/>
      <c r="AE3" s="1441"/>
      <c r="AF3" s="1441"/>
      <c r="AG3" s="1441"/>
      <c r="AH3" s="1441"/>
      <c r="AI3" s="101"/>
    </row>
    <row r="4" spans="1:45" x14ac:dyDescent="0.2">
      <c r="L4" s="38">
        <v>0.27208500000000002</v>
      </c>
      <c r="M4" s="38"/>
    </row>
    <row r="5" spans="1:45" ht="38.25" customHeight="1" x14ac:dyDescent="0.2">
      <c r="A5" s="1442" t="s">
        <v>78</v>
      </c>
      <c r="B5" s="1442" t="s">
        <v>77</v>
      </c>
      <c r="C5" s="1443" t="s">
        <v>0</v>
      </c>
      <c r="D5" s="1443" t="s">
        <v>3</v>
      </c>
      <c r="E5" s="1443"/>
      <c r="F5" s="1443"/>
      <c r="G5" s="1443"/>
      <c r="H5" s="1443"/>
      <c r="I5" s="1443"/>
      <c r="J5" s="1443"/>
      <c r="K5" s="1443"/>
      <c r="L5" s="1443"/>
      <c r="M5" s="1443"/>
      <c r="N5" s="1443"/>
      <c r="O5" s="1443"/>
      <c r="P5" s="1443"/>
      <c r="Q5" s="1443"/>
      <c r="R5" s="1443"/>
      <c r="S5" s="1443"/>
      <c r="T5" s="1443"/>
      <c r="U5" s="1443"/>
      <c r="V5" s="1443"/>
      <c r="W5" s="1443"/>
      <c r="X5" s="1443" t="s">
        <v>4</v>
      </c>
      <c r="Y5" s="1443"/>
      <c r="Z5" s="1443"/>
      <c r="AA5" s="1443"/>
      <c r="AB5" s="1443"/>
      <c r="AC5" s="1443"/>
      <c r="AD5" s="1443"/>
      <c r="AE5" s="1443"/>
      <c r="AF5" s="1443"/>
      <c r="AG5" s="1443"/>
      <c r="AH5" s="1443"/>
    </row>
    <row r="6" spans="1:45" ht="60" customHeight="1" x14ac:dyDescent="0.2">
      <c r="A6" s="1442"/>
      <c r="B6" s="1442"/>
      <c r="C6" s="1443"/>
      <c r="D6" s="1444" t="s">
        <v>68</v>
      </c>
      <c r="E6" s="1444" t="s">
        <v>69</v>
      </c>
      <c r="F6" s="1444" t="s">
        <v>89</v>
      </c>
      <c r="G6" s="1444" t="s">
        <v>1</v>
      </c>
      <c r="H6" s="1444" t="s">
        <v>2</v>
      </c>
      <c r="I6" s="1444" t="s">
        <v>70</v>
      </c>
      <c r="J6" s="1444" t="s">
        <v>61</v>
      </c>
      <c r="K6" s="1444" t="s">
        <v>27</v>
      </c>
      <c r="L6" s="1446" t="s">
        <v>65</v>
      </c>
      <c r="M6" s="1446" t="s">
        <v>86</v>
      </c>
      <c r="N6" s="1447" t="s">
        <v>90</v>
      </c>
      <c r="O6" s="1447"/>
      <c r="P6" s="1447" t="s">
        <v>88</v>
      </c>
      <c r="Q6" s="1446" t="s">
        <v>82</v>
      </c>
      <c r="R6" s="1444" t="s">
        <v>83</v>
      </c>
      <c r="S6" s="1446" t="s">
        <v>87</v>
      </c>
      <c r="T6" s="1444" t="s">
        <v>84</v>
      </c>
      <c r="U6" s="1444" t="s">
        <v>9</v>
      </c>
      <c r="V6" s="1444" t="s">
        <v>7</v>
      </c>
      <c r="W6" s="1444" t="s">
        <v>85</v>
      </c>
      <c r="X6" s="1443" t="s">
        <v>10</v>
      </c>
      <c r="Y6" s="1443"/>
      <c r="Z6" s="1443"/>
      <c r="AA6" s="1443" t="s">
        <v>11</v>
      </c>
      <c r="AB6" s="1443"/>
      <c r="AC6" s="1443"/>
      <c r="AD6" s="1443" t="s">
        <v>12</v>
      </c>
      <c r="AE6" s="1443"/>
      <c r="AF6" s="1443"/>
      <c r="AG6" s="1443" t="s">
        <v>13</v>
      </c>
      <c r="AH6" s="1443" t="s">
        <v>73</v>
      </c>
    </row>
    <row r="7" spans="1:45" ht="97.5" customHeight="1" x14ac:dyDescent="0.2">
      <c r="A7" s="1442"/>
      <c r="B7" s="1442"/>
      <c r="C7" s="1443"/>
      <c r="D7" s="1444"/>
      <c r="E7" s="1444"/>
      <c r="F7" s="1444"/>
      <c r="G7" s="1444"/>
      <c r="H7" s="1444"/>
      <c r="I7" s="1444"/>
      <c r="J7" s="1444"/>
      <c r="K7" s="1444"/>
      <c r="L7" s="1446" t="s">
        <v>66</v>
      </c>
      <c r="M7" s="1446"/>
      <c r="N7" s="104" t="s">
        <v>80</v>
      </c>
      <c r="O7" s="104" t="s">
        <v>81</v>
      </c>
      <c r="P7" s="1447"/>
      <c r="Q7" s="1446"/>
      <c r="R7" s="1444"/>
      <c r="S7" s="1446" t="s">
        <v>67</v>
      </c>
      <c r="T7" s="1444"/>
      <c r="U7" s="1444"/>
      <c r="V7" s="1444"/>
      <c r="W7" s="1444"/>
      <c r="X7" s="105" t="s">
        <v>5</v>
      </c>
      <c r="Y7" s="105" t="s">
        <v>6</v>
      </c>
      <c r="Z7" s="105" t="s">
        <v>74</v>
      </c>
      <c r="AA7" s="105" t="s">
        <v>5</v>
      </c>
      <c r="AB7" s="105" t="s">
        <v>6</v>
      </c>
      <c r="AC7" s="105" t="s">
        <v>75</v>
      </c>
      <c r="AD7" s="105" t="s">
        <v>5</v>
      </c>
      <c r="AE7" s="105" t="s">
        <v>6</v>
      </c>
      <c r="AF7" s="105" t="s">
        <v>76</v>
      </c>
      <c r="AG7" s="1443"/>
      <c r="AH7" s="1443"/>
      <c r="AK7" s="99" t="s">
        <v>64</v>
      </c>
      <c r="AL7" s="99" t="s">
        <v>62</v>
      </c>
      <c r="AM7" s="99" t="s">
        <v>63</v>
      </c>
    </row>
    <row r="8" spans="1:45" ht="18" customHeight="1" x14ac:dyDescent="0.2">
      <c r="A8" s="103">
        <v>1</v>
      </c>
      <c r="B8" s="103">
        <v>2</v>
      </c>
      <c r="C8" s="103">
        <v>3</v>
      </c>
      <c r="D8" s="103">
        <v>4</v>
      </c>
      <c r="E8" s="103">
        <v>5</v>
      </c>
      <c r="F8" s="103">
        <v>6</v>
      </c>
      <c r="G8" s="103">
        <v>7</v>
      </c>
      <c r="H8" s="103">
        <v>8</v>
      </c>
      <c r="I8" s="103">
        <v>9</v>
      </c>
      <c r="J8" s="103">
        <v>10</v>
      </c>
      <c r="K8" s="103">
        <v>11</v>
      </c>
      <c r="L8" s="103">
        <v>12</v>
      </c>
      <c r="M8" s="103">
        <v>13</v>
      </c>
      <c r="N8" s="103">
        <v>14</v>
      </c>
      <c r="O8" s="103">
        <v>15</v>
      </c>
      <c r="P8" s="103">
        <v>16</v>
      </c>
      <c r="Q8" s="103">
        <v>17</v>
      </c>
      <c r="R8" s="103">
        <v>18</v>
      </c>
      <c r="S8" s="103">
        <v>19</v>
      </c>
      <c r="T8" s="103">
        <v>20</v>
      </c>
      <c r="U8" s="103">
        <v>21</v>
      </c>
      <c r="V8" s="103">
        <v>22</v>
      </c>
      <c r="W8" s="103">
        <v>23</v>
      </c>
      <c r="X8" s="103">
        <v>24</v>
      </c>
      <c r="Y8" s="103">
        <v>25</v>
      </c>
      <c r="Z8" s="103">
        <v>26</v>
      </c>
      <c r="AA8" s="103">
        <v>27</v>
      </c>
      <c r="AB8" s="103">
        <v>28</v>
      </c>
      <c r="AC8" s="103">
        <v>29</v>
      </c>
      <c r="AD8" s="103">
        <v>30</v>
      </c>
      <c r="AE8" s="103">
        <v>31</v>
      </c>
      <c r="AF8" s="103">
        <v>32</v>
      </c>
      <c r="AG8" s="103">
        <v>33</v>
      </c>
      <c r="AH8" s="103">
        <v>34</v>
      </c>
      <c r="AN8" s="212" t="s">
        <v>116</v>
      </c>
      <c r="AO8" s="212" t="s">
        <v>117</v>
      </c>
      <c r="AP8" s="212" t="s">
        <v>118</v>
      </c>
      <c r="AQ8" s="212" t="s">
        <v>119</v>
      </c>
    </row>
    <row r="9" spans="1:45" ht="16.5" customHeight="1" x14ac:dyDescent="0.2">
      <c r="A9" s="103">
        <v>1</v>
      </c>
      <c r="B9" s="236" t="s">
        <v>14</v>
      </c>
      <c r="C9" s="259">
        <v>1</v>
      </c>
      <c r="D9" s="237">
        <v>25.873000000000001</v>
      </c>
      <c r="E9" s="260">
        <f t="shared" ref="E9:E27" si="0">C9*D9</f>
        <v>25.87</v>
      </c>
      <c r="F9" s="185">
        <f t="shared" ref="F9:F27" si="1">E9*12</f>
        <v>310.39999999999998</v>
      </c>
      <c r="G9" s="95"/>
      <c r="H9" s="95"/>
      <c r="I9" s="95"/>
      <c r="J9" s="95"/>
      <c r="K9" s="95"/>
      <c r="L9" s="95">
        <f>F9*$L$4</f>
        <v>84.5</v>
      </c>
      <c r="M9" s="95">
        <f t="shared" ref="M9:M27" si="2">F9+G9+H9+I9+J9+K9+L9</f>
        <v>394.9</v>
      </c>
      <c r="N9" s="111">
        <v>0.47</v>
      </c>
      <c r="O9" s="95">
        <f t="shared" ref="O9:O27" si="3">M9*N9</f>
        <v>185.6</v>
      </c>
      <c r="P9" s="95">
        <f t="shared" ref="P9:P27" si="4">M9+O9</f>
        <v>580.5</v>
      </c>
      <c r="Q9" s="95">
        <f t="shared" ref="Q9:Q27" si="5">P9*0.8</f>
        <v>464.4</v>
      </c>
      <c r="R9" s="95">
        <f t="shared" ref="R9:R27" si="6">P9*0.8</f>
        <v>464.4</v>
      </c>
      <c r="S9" s="95">
        <f t="shared" ref="S9:S27" si="7">(P9+Q9+R9)*0.032</f>
        <v>48.3</v>
      </c>
      <c r="T9" s="95">
        <f t="shared" ref="T9:T27" si="8">P9+Q9+R9+S9</f>
        <v>1557.6</v>
      </c>
      <c r="U9" s="1826">
        <v>1</v>
      </c>
      <c r="V9" s="95">
        <f t="shared" ref="V9:V26" si="9">T9*$U$9</f>
        <v>1557.6</v>
      </c>
      <c r="W9" s="95">
        <f>AQ9</f>
        <v>401.5</v>
      </c>
      <c r="X9" s="103">
        <v>1</v>
      </c>
      <c r="Y9" s="112">
        <v>30</v>
      </c>
      <c r="Z9" s="113">
        <f t="shared" ref="Z9:Z27" si="10">X9*Y9</f>
        <v>30</v>
      </c>
      <c r="AA9" s="103"/>
      <c r="AB9" s="112">
        <v>15</v>
      </c>
      <c r="AC9" s="113">
        <f t="shared" ref="AC9:AC27" si="11">AA9*AB9</f>
        <v>0</v>
      </c>
      <c r="AD9" s="103"/>
      <c r="AE9" s="112">
        <v>30</v>
      </c>
      <c r="AF9" s="113">
        <f t="shared" ref="AF9:AF27" si="12">AD9*AE9</f>
        <v>0</v>
      </c>
      <c r="AG9" s="113">
        <f t="shared" ref="AG9:AG27" si="13">(Z9+AC9+AF9)*1%*30</f>
        <v>9</v>
      </c>
      <c r="AH9" s="113">
        <f t="shared" ref="AH9:AH27" si="14">Z9+AC9+AF9+AG9</f>
        <v>39</v>
      </c>
      <c r="AI9" s="131">
        <f t="shared" ref="AI9:AI23" si="15">V9/12/C9*1000</f>
        <v>129800</v>
      </c>
      <c r="AK9" s="114">
        <f t="shared" ref="AK9:AK23" si="16">V9/C9</f>
        <v>1557.6</v>
      </c>
      <c r="AL9" s="114">
        <f>((979*0.302)+((AK9-979)*0.182))</f>
        <v>401</v>
      </c>
      <c r="AM9" s="115">
        <f>AL9/AK9</f>
        <v>0.25700000000000001</v>
      </c>
      <c r="AN9" s="50">
        <f>1150*0.22+(AK9-1150)*0.1</f>
        <v>293.8</v>
      </c>
      <c r="AO9" s="50">
        <f>865*0.029</f>
        <v>25.1</v>
      </c>
      <c r="AP9" s="50">
        <f>AK9*0.053</f>
        <v>82.6</v>
      </c>
      <c r="AQ9" s="50">
        <f>SUM(AN9:AP9)*C9</f>
        <v>401.5</v>
      </c>
      <c r="AS9" s="99">
        <f t="shared" ref="AS9:AS27" si="17">D9*1.5</f>
        <v>38.8095</v>
      </c>
    </row>
    <row r="10" spans="1:45" x14ac:dyDescent="0.2">
      <c r="A10" s="103">
        <v>2</v>
      </c>
      <c r="B10" s="236" t="s">
        <v>127</v>
      </c>
      <c r="C10" s="259">
        <v>2</v>
      </c>
      <c r="D10" s="237">
        <v>18.111000000000001</v>
      </c>
      <c r="E10" s="260">
        <f t="shared" si="0"/>
        <v>36.22</v>
      </c>
      <c r="F10" s="185">
        <f t="shared" si="1"/>
        <v>434.6</v>
      </c>
      <c r="G10" s="95"/>
      <c r="H10" s="95">
        <f>7.062+7.945</f>
        <v>15</v>
      </c>
      <c r="I10" s="95"/>
      <c r="J10" s="95"/>
      <c r="K10" s="95">
        <f>(D10*0.4+D10*0.2)*12</f>
        <v>130.4</v>
      </c>
      <c r="L10" s="95">
        <f t="shared" ref="L10:L25" si="18">F10*$L$4</f>
        <v>118.2</v>
      </c>
      <c r="M10" s="95">
        <f t="shared" si="2"/>
        <v>698.2</v>
      </c>
      <c r="N10" s="111">
        <v>0.47</v>
      </c>
      <c r="O10" s="95">
        <f t="shared" si="3"/>
        <v>328.2</v>
      </c>
      <c r="P10" s="95">
        <f t="shared" si="4"/>
        <v>1026.4000000000001</v>
      </c>
      <c r="Q10" s="95">
        <f t="shared" si="5"/>
        <v>821.1</v>
      </c>
      <c r="R10" s="95">
        <f t="shared" si="6"/>
        <v>821.1</v>
      </c>
      <c r="S10" s="95">
        <f t="shared" si="7"/>
        <v>85.4</v>
      </c>
      <c r="T10" s="95">
        <f t="shared" si="8"/>
        <v>2754</v>
      </c>
      <c r="U10" s="1827"/>
      <c r="V10" s="95">
        <f t="shared" si="9"/>
        <v>2754</v>
      </c>
      <c r="W10" s="95">
        <f>AQ10</f>
        <v>747.6</v>
      </c>
      <c r="X10" s="103"/>
      <c r="Y10" s="112">
        <v>30</v>
      </c>
      <c r="Z10" s="113">
        <f t="shared" si="10"/>
        <v>0</v>
      </c>
      <c r="AA10" s="103"/>
      <c r="AB10" s="112">
        <v>15</v>
      </c>
      <c r="AC10" s="113">
        <f t="shared" si="11"/>
        <v>0</v>
      </c>
      <c r="AD10" s="103"/>
      <c r="AE10" s="112">
        <v>30</v>
      </c>
      <c r="AF10" s="113">
        <f t="shared" si="12"/>
        <v>0</v>
      </c>
      <c r="AG10" s="113">
        <f t="shared" si="13"/>
        <v>0</v>
      </c>
      <c r="AH10" s="113">
        <f t="shared" si="14"/>
        <v>0</v>
      </c>
      <c r="AI10" s="131">
        <f t="shared" si="15"/>
        <v>114750</v>
      </c>
      <c r="AK10" s="114">
        <f t="shared" si="16"/>
        <v>1377</v>
      </c>
      <c r="AL10" s="114">
        <f t="shared" ref="AL10:AL27" si="19">((979*0.302)+((AK10-979)*0.182))</f>
        <v>368.1</v>
      </c>
      <c r="AM10" s="115">
        <f>AL10/AK10</f>
        <v>0.26700000000000002</v>
      </c>
      <c r="AN10" s="50">
        <f>1150*0.22+(AK10-1150)*0.1</f>
        <v>275.7</v>
      </c>
      <c r="AO10" s="50">
        <f>865*0.029</f>
        <v>25.1</v>
      </c>
      <c r="AP10" s="50">
        <f>AK10*0.053</f>
        <v>73</v>
      </c>
      <c r="AQ10" s="50">
        <f>SUM(AN10:AP10)*C10</f>
        <v>747.6</v>
      </c>
      <c r="AS10" s="99">
        <f t="shared" si="17"/>
        <v>27.166499999999999</v>
      </c>
    </row>
    <row r="11" spans="1:45" ht="15.75" customHeight="1" x14ac:dyDescent="0.2">
      <c r="A11" s="103">
        <v>3</v>
      </c>
      <c r="B11" s="261" t="s">
        <v>23</v>
      </c>
      <c r="C11" s="262">
        <v>4</v>
      </c>
      <c r="D11" s="237">
        <v>11.061999999999999</v>
      </c>
      <c r="E11" s="111">
        <f t="shared" si="0"/>
        <v>44.25</v>
      </c>
      <c r="F11" s="95">
        <f t="shared" si="1"/>
        <v>531</v>
      </c>
      <c r="G11" s="95"/>
      <c r="H11" s="95">
        <f>2.757+7.01+7.01+7.789</f>
        <v>24.6</v>
      </c>
      <c r="I11" s="95"/>
      <c r="J11" s="95"/>
      <c r="K11" s="95">
        <f>(D11*0.4*3+D11*0.25)*12</f>
        <v>192.5</v>
      </c>
      <c r="L11" s="95">
        <f t="shared" si="18"/>
        <v>144.5</v>
      </c>
      <c r="M11" s="95">
        <f t="shared" si="2"/>
        <v>892.6</v>
      </c>
      <c r="N11" s="111">
        <v>0.43</v>
      </c>
      <c r="O11" s="95">
        <f t="shared" si="3"/>
        <v>383.8</v>
      </c>
      <c r="P11" s="95">
        <f t="shared" si="4"/>
        <v>1276.4000000000001</v>
      </c>
      <c r="Q11" s="95">
        <f t="shared" si="5"/>
        <v>1021.1</v>
      </c>
      <c r="R11" s="95">
        <f t="shared" si="6"/>
        <v>1021.1</v>
      </c>
      <c r="S11" s="95">
        <f t="shared" si="7"/>
        <v>106.2</v>
      </c>
      <c r="T11" s="95">
        <f t="shared" si="8"/>
        <v>3424.8</v>
      </c>
      <c r="U11" s="1827"/>
      <c r="V11" s="95">
        <f>T11*$U$9</f>
        <v>3424.8</v>
      </c>
      <c r="W11" s="95">
        <f>V11*0.302</f>
        <v>1034.3</v>
      </c>
      <c r="X11" s="239">
        <v>2</v>
      </c>
      <c r="Y11" s="240">
        <v>30</v>
      </c>
      <c r="Z11" s="241">
        <f t="shared" si="10"/>
        <v>60</v>
      </c>
      <c r="AA11" s="239"/>
      <c r="AB11" s="240">
        <v>15</v>
      </c>
      <c r="AC11" s="241">
        <f t="shared" si="11"/>
        <v>0</v>
      </c>
      <c r="AD11" s="239">
        <v>2</v>
      </c>
      <c r="AE11" s="240">
        <v>30</v>
      </c>
      <c r="AF11" s="241">
        <f t="shared" si="12"/>
        <v>60</v>
      </c>
      <c r="AG11" s="241">
        <f t="shared" si="13"/>
        <v>36</v>
      </c>
      <c r="AH11" s="241">
        <f t="shared" si="14"/>
        <v>156</v>
      </c>
      <c r="AI11" s="131">
        <f t="shared" si="15"/>
        <v>71350</v>
      </c>
      <c r="AK11" s="114">
        <f t="shared" si="16"/>
        <v>856.2</v>
      </c>
      <c r="AL11" s="114">
        <f t="shared" si="19"/>
        <v>273.3</v>
      </c>
      <c r="AM11" s="115">
        <v>0.30199999999999999</v>
      </c>
      <c r="AN11" s="50"/>
      <c r="AO11" s="50"/>
      <c r="AP11" s="50"/>
      <c r="AQ11" s="50"/>
      <c r="AS11" s="99">
        <f t="shared" si="17"/>
        <v>16.593</v>
      </c>
    </row>
    <row r="12" spans="1:45" x14ac:dyDescent="0.2">
      <c r="A12" s="103">
        <v>4</v>
      </c>
      <c r="B12" s="261" t="s">
        <v>47</v>
      </c>
      <c r="C12" s="262">
        <v>1</v>
      </c>
      <c r="D12" s="237">
        <v>6.2859999999999996</v>
      </c>
      <c r="E12" s="111">
        <f t="shared" si="0"/>
        <v>6.29</v>
      </c>
      <c r="F12" s="95">
        <f t="shared" si="1"/>
        <v>75.5</v>
      </c>
      <c r="G12" s="95"/>
      <c r="H12" s="95">
        <f>3064.3/1000</f>
        <v>3.1</v>
      </c>
      <c r="I12" s="95"/>
      <c r="J12" s="95"/>
      <c r="K12" s="95">
        <f>F12*0.25</f>
        <v>18.899999999999999</v>
      </c>
      <c r="L12" s="95">
        <f t="shared" si="18"/>
        <v>20.5</v>
      </c>
      <c r="M12" s="95">
        <f t="shared" si="2"/>
        <v>118</v>
      </c>
      <c r="N12" s="111">
        <v>0.45</v>
      </c>
      <c r="O12" s="95">
        <f t="shared" si="3"/>
        <v>53.1</v>
      </c>
      <c r="P12" s="95">
        <f t="shared" si="4"/>
        <v>171.1</v>
      </c>
      <c r="Q12" s="95">
        <f t="shared" si="5"/>
        <v>136.9</v>
      </c>
      <c r="R12" s="95">
        <f t="shared" si="6"/>
        <v>136.9</v>
      </c>
      <c r="S12" s="95">
        <f t="shared" si="7"/>
        <v>14.2</v>
      </c>
      <c r="T12" s="95">
        <f t="shared" si="8"/>
        <v>459.1</v>
      </c>
      <c r="U12" s="1827"/>
      <c r="V12" s="95">
        <f t="shared" si="9"/>
        <v>459.1</v>
      </c>
      <c r="W12" s="95">
        <f t="shared" ref="W12:W27" si="20">V12*0.302</f>
        <v>138.6</v>
      </c>
      <c r="X12" s="239">
        <v>1</v>
      </c>
      <c r="Y12" s="240">
        <v>30</v>
      </c>
      <c r="Z12" s="241">
        <f t="shared" si="10"/>
        <v>30</v>
      </c>
      <c r="AA12" s="239"/>
      <c r="AB12" s="240">
        <v>15</v>
      </c>
      <c r="AC12" s="241">
        <f t="shared" si="11"/>
        <v>0</v>
      </c>
      <c r="AD12" s="239"/>
      <c r="AE12" s="240">
        <v>30</v>
      </c>
      <c r="AF12" s="241">
        <f t="shared" si="12"/>
        <v>0</v>
      </c>
      <c r="AG12" s="241">
        <f t="shared" si="13"/>
        <v>9</v>
      </c>
      <c r="AH12" s="241">
        <f t="shared" si="14"/>
        <v>39</v>
      </c>
      <c r="AI12" s="131">
        <f t="shared" si="15"/>
        <v>38258.33</v>
      </c>
      <c r="AK12" s="114">
        <f t="shared" si="16"/>
        <v>459.1</v>
      </c>
      <c r="AL12" s="114">
        <f t="shared" si="19"/>
        <v>201</v>
      </c>
      <c r="AM12" s="115">
        <v>0.30199999999999999</v>
      </c>
      <c r="AO12" s="50"/>
      <c r="AP12" s="50"/>
      <c r="AQ12" s="50"/>
      <c r="AS12" s="99">
        <f t="shared" si="17"/>
        <v>9.4290000000000003</v>
      </c>
    </row>
    <row r="13" spans="1:45" x14ac:dyDescent="0.2">
      <c r="A13" s="103">
        <v>5</v>
      </c>
      <c r="B13" s="236" t="s">
        <v>15</v>
      </c>
      <c r="C13" s="262">
        <v>1</v>
      </c>
      <c r="D13" s="237">
        <v>11.061999999999999</v>
      </c>
      <c r="E13" s="111">
        <f t="shared" si="0"/>
        <v>11.06</v>
      </c>
      <c r="F13" s="95">
        <f t="shared" si="1"/>
        <v>132.69999999999999</v>
      </c>
      <c r="G13" s="95"/>
      <c r="H13" s="95"/>
      <c r="I13" s="95"/>
      <c r="J13" s="95"/>
      <c r="K13" s="95">
        <f>D11*0.25*4.6+D11*0.3*7.4</f>
        <v>37.299999999999997</v>
      </c>
      <c r="L13" s="95">
        <f t="shared" si="18"/>
        <v>36.1</v>
      </c>
      <c r="M13" s="95">
        <f t="shared" si="2"/>
        <v>206.1</v>
      </c>
      <c r="N13" s="111">
        <v>0.43</v>
      </c>
      <c r="O13" s="95">
        <f t="shared" si="3"/>
        <v>88.6</v>
      </c>
      <c r="P13" s="95">
        <f t="shared" si="4"/>
        <v>294.7</v>
      </c>
      <c r="Q13" s="95">
        <f t="shared" si="5"/>
        <v>235.8</v>
      </c>
      <c r="R13" s="95">
        <f t="shared" si="6"/>
        <v>235.8</v>
      </c>
      <c r="S13" s="95">
        <f t="shared" si="7"/>
        <v>24.5</v>
      </c>
      <c r="T13" s="95">
        <f t="shared" si="8"/>
        <v>790.8</v>
      </c>
      <c r="U13" s="1827"/>
      <c r="V13" s="95">
        <f t="shared" si="9"/>
        <v>790.8</v>
      </c>
      <c r="W13" s="95">
        <f t="shared" si="20"/>
        <v>238.8</v>
      </c>
      <c r="X13" s="239"/>
      <c r="Y13" s="240">
        <v>30</v>
      </c>
      <c r="Z13" s="241">
        <f t="shared" si="10"/>
        <v>0</v>
      </c>
      <c r="AA13" s="239"/>
      <c r="AB13" s="240">
        <v>15</v>
      </c>
      <c r="AC13" s="241">
        <f t="shared" si="11"/>
        <v>0</v>
      </c>
      <c r="AD13" s="239"/>
      <c r="AE13" s="240">
        <v>30</v>
      </c>
      <c r="AF13" s="241">
        <f t="shared" si="12"/>
        <v>0</v>
      </c>
      <c r="AG13" s="241">
        <f t="shared" si="13"/>
        <v>0</v>
      </c>
      <c r="AH13" s="241">
        <f t="shared" si="14"/>
        <v>0</v>
      </c>
      <c r="AI13" s="131">
        <f t="shared" si="15"/>
        <v>65900</v>
      </c>
      <c r="AK13" s="114">
        <f t="shared" si="16"/>
        <v>790.8</v>
      </c>
      <c r="AL13" s="114">
        <f t="shared" si="19"/>
        <v>261.39999999999998</v>
      </c>
      <c r="AM13" s="115">
        <v>0.30199999999999999</v>
      </c>
      <c r="AN13" s="50"/>
      <c r="AO13" s="50"/>
      <c r="AP13" s="50"/>
      <c r="AQ13" s="50"/>
      <c r="AS13" s="99">
        <f t="shared" si="17"/>
        <v>16.593</v>
      </c>
    </row>
    <row r="14" spans="1:45" s="245" customFormat="1" x14ac:dyDescent="0.2">
      <c r="A14" s="103">
        <v>6</v>
      </c>
      <c r="B14" s="261" t="s">
        <v>48</v>
      </c>
      <c r="C14" s="262">
        <v>1</v>
      </c>
      <c r="D14" s="237">
        <v>11.061999999999999</v>
      </c>
      <c r="E14" s="249">
        <f t="shared" si="0"/>
        <v>11.06</v>
      </c>
      <c r="F14" s="248">
        <f t="shared" si="1"/>
        <v>132.69999999999999</v>
      </c>
      <c r="G14" s="248"/>
      <c r="H14" s="248">
        <v>7</v>
      </c>
      <c r="I14" s="248"/>
      <c r="J14" s="248"/>
      <c r="K14" s="248">
        <f>F14*0.4</f>
        <v>53.1</v>
      </c>
      <c r="L14" s="95">
        <f t="shared" si="18"/>
        <v>36.1</v>
      </c>
      <c r="M14" s="248">
        <f t="shared" si="2"/>
        <v>228.9</v>
      </c>
      <c r="N14" s="111">
        <v>0.47</v>
      </c>
      <c r="O14" s="248">
        <f t="shared" si="3"/>
        <v>107.6</v>
      </c>
      <c r="P14" s="248">
        <f t="shared" si="4"/>
        <v>336.5</v>
      </c>
      <c r="Q14" s="248">
        <f t="shared" si="5"/>
        <v>269.2</v>
      </c>
      <c r="R14" s="248">
        <f t="shared" si="6"/>
        <v>269.2</v>
      </c>
      <c r="S14" s="248">
        <f t="shared" si="7"/>
        <v>28</v>
      </c>
      <c r="T14" s="248">
        <f t="shared" si="8"/>
        <v>902.9</v>
      </c>
      <c r="U14" s="1827"/>
      <c r="V14" s="248">
        <f t="shared" si="9"/>
        <v>902.9</v>
      </c>
      <c r="W14" s="95">
        <f>AQ14</f>
        <v>271.60000000000002</v>
      </c>
      <c r="X14" s="239"/>
      <c r="Y14" s="240">
        <v>30</v>
      </c>
      <c r="Z14" s="241">
        <f t="shared" si="10"/>
        <v>0</v>
      </c>
      <c r="AA14" s="239"/>
      <c r="AB14" s="240">
        <v>15</v>
      </c>
      <c r="AC14" s="241">
        <f t="shared" si="11"/>
        <v>0</v>
      </c>
      <c r="AD14" s="239"/>
      <c r="AE14" s="240">
        <v>30</v>
      </c>
      <c r="AF14" s="241">
        <f t="shared" si="12"/>
        <v>0</v>
      </c>
      <c r="AG14" s="241">
        <f t="shared" si="13"/>
        <v>0</v>
      </c>
      <c r="AH14" s="241">
        <f t="shared" si="14"/>
        <v>0</v>
      </c>
      <c r="AI14" s="131">
        <f t="shared" si="15"/>
        <v>75241.67</v>
      </c>
      <c r="AK14" s="114">
        <f t="shared" si="16"/>
        <v>902.9</v>
      </c>
      <c r="AL14" s="114">
        <f t="shared" si="19"/>
        <v>281.8</v>
      </c>
      <c r="AM14" s="115">
        <v>0.30199999999999999</v>
      </c>
      <c r="AN14" s="50">
        <f>AK14*0.22</f>
        <v>198.6</v>
      </c>
      <c r="AO14" s="50">
        <f>865*0.029</f>
        <v>25.1</v>
      </c>
      <c r="AP14" s="50">
        <f>AK14*0.053</f>
        <v>47.9</v>
      </c>
      <c r="AQ14" s="50">
        <f>SUM(AN14:AP14)*C14</f>
        <v>271.60000000000002</v>
      </c>
      <c r="AS14" s="99">
        <f t="shared" si="17"/>
        <v>16.593</v>
      </c>
    </row>
    <row r="15" spans="1:45" x14ac:dyDescent="0.2">
      <c r="A15" s="103">
        <v>7</v>
      </c>
      <c r="B15" s="236" t="s">
        <v>49</v>
      </c>
      <c r="C15" s="259">
        <v>1</v>
      </c>
      <c r="D15" s="237">
        <v>8.4730000000000008</v>
      </c>
      <c r="E15" s="111">
        <f t="shared" si="0"/>
        <v>8.4700000000000006</v>
      </c>
      <c r="F15" s="95">
        <f t="shared" si="1"/>
        <v>101.6</v>
      </c>
      <c r="G15" s="95"/>
      <c r="H15" s="95">
        <v>6</v>
      </c>
      <c r="I15" s="95"/>
      <c r="J15" s="95"/>
      <c r="K15" s="95">
        <f>F15*0.2</f>
        <v>20.3</v>
      </c>
      <c r="L15" s="95">
        <f t="shared" si="18"/>
        <v>27.6</v>
      </c>
      <c r="M15" s="95">
        <f t="shared" si="2"/>
        <v>155.5</v>
      </c>
      <c r="N15" s="111">
        <v>0.41</v>
      </c>
      <c r="O15" s="95">
        <f t="shared" si="3"/>
        <v>63.8</v>
      </c>
      <c r="P15" s="95">
        <f t="shared" si="4"/>
        <v>219.3</v>
      </c>
      <c r="Q15" s="95">
        <f t="shared" si="5"/>
        <v>175.4</v>
      </c>
      <c r="R15" s="95">
        <f t="shared" si="6"/>
        <v>175.4</v>
      </c>
      <c r="S15" s="95">
        <f t="shared" si="7"/>
        <v>18.2</v>
      </c>
      <c r="T15" s="95">
        <f t="shared" si="8"/>
        <v>588.29999999999995</v>
      </c>
      <c r="U15" s="1827"/>
      <c r="V15" s="95">
        <f t="shared" si="9"/>
        <v>588.29999999999995</v>
      </c>
      <c r="W15" s="95">
        <f t="shared" si="20"/>
        <v>177.7</v>
      </c>
      <c r="X15" s="103"/>
      <c r="Y15" s="112">
        <v>30</v>
      </c>
      <c r="Z15" s="113">
        <f t="shared" si="10"/>
        <v>0</v>
      </c>
      <c r="AA15" s="127"/>
      <c r="AB15" s="112">
        <v>15</v>
      </c>
      <c r="AC15" s="113">
        <f t="shared" si="11"/>
        <v>0</v>
      </c>
      <c r="AD15" s="127"/>
      <c r="AE15" s="112">
        <v>30</v>
      </c>
      <c r="AF15" s="113">
        <f t="shared" si="12"/>
        <v>0</v>
      </c>
      <c r="AG15" s="113">
        <f t="shared" si="13"/>
        <v>0</v>
      </c>
      <c r="AH15" s="113">
        <f t="shared" si="14"/>
        <v>0</v>
      </c>
      <c r="AI15" s="131">
        <f t="shared" si="15"/>
        <v>49025</v>
      </c>
      <c r="AK15" s="114">
        <f t="shared" si="16"/>
        <v>588.29999999999995</v>
      </c>
      <c r="AL15" s="114">
        <f t="shared" si="19"/>
        <v>224.6</v>
      </c>
      <c r="AM15" s="115">
        <v>0.30199999999999999</v>
      </c>
      <c r="AO15" s="50"/>
      <c r="AP15" s="50"/>
      <c r="AQ15" s="50"/>
      <c r="AS15" s="99">
        <f t="shared" si="17"/>
        <v>12.7095</v>
      </c>
    </row>
    <row r="16" spans="1:45" x14ac:dyDescent="0.2">
      <c r="A16" s="103">
        <v>8</v>
      </c>
      <c r="B16" s="236" t="s">
        <v>59</v>
      </c>
      <c r="C16" s="259">
        <v>1</v>
      </c>
      <c r="D16" s="237">
        <v>8.4730000000000008</v>
      </c>
      <c r="E16" s="111">
        <f t="shared" si="0"/>
        <v>8.4700000000000006</v>
      </c>
      <c r="F16" s="95">
        <f t="shared" si="1"/>
        <v>101.6</v>
      </c>
      <c r="G16" s="95"/>
      <c r="H16" s="95">
        <v>5.4</v>
      </c>
      <c r="I16" s="95"/>
      <c r="J16" s="95"/>
      <c r="K16" s="95">
        <f>F16*0.4</f>
        <v>40.6</v>
      </c>
      <c r="L16" s="95">
        <f t="shared" si="18"/>
        <v>27.6</v>
      </c>
      <c r="M16" s="95">
        <f t="shared" si="2"/>
        <v>175.2</v>
      </c>
      <c r="N16" s="111">
        <v>0.41</v>
      </c>
      <c r="O16" s="95">
        <f t="shared" si="3"/>
        <v>71.8</v>
      </c>
      <c r="P16" s="95">
        <f t="shared" si="4"/>
        <v>247</v>
      </c>
      <c r="Q16" s="95">
        <f t="shared" si="5"/>
        <v>197.6</v>
      </c>
      <c r="R16" s="95">
        <f t="shared" si="6"/>
        <v>197.6</v>
      </c>
      <c r="S16" s="95">
        <f t="shared" si="7"/>
        <v>20.6</v>
      </c>
      <c r="T16" s="95">
        <f t="shared" si="8"/>
        <v>662.8</v>
      </c>
      <c r="U16" s="1827"/>
      <c r="V16" s="95">
        <f t="shared" si="9"/>
        <v>662.8</v>
      </c>
      <c r="W16" s="95">
        <f t="shared" si="20"/>
        <v>200.2</v>
      </c>
      <c r="X16" s="103"/>
      <c r="Y16" s="112">
        <v>30</v>
      </c>
      <c r="Z16" s="113">
        <f t="shared" si="10"/>
        <v>0</v>
      </c>
      <c r="AA16" s="127"/>
      <c r="AB16" s="112">
        <v>15</v>
      </c>
      <c r="AC16" s="113">
        <f t="shared" si="11"/>
        <v>0</v>
      </c>
      <c r="AD16" s="127"/>
      <c r="AE16" s="112">
        <v>30</v>
      </c>
      <c r="AF16" s="113">
        <f t="shared" si="12"/>
        <v>0</v>
      </c>
      <c r="AG16" s="113">
        <f t="shared" si="13"/>
        <v>0</v>
      </c>
      <c r="AH16" s="113">
        <f t="shared" si="14"/>
        <v>0</v>
      </c>
      <c r="AI16" s="131">
        <f t="shared" si="15"/>
        <v>55233.33</v>
      </c>
      <c r="AK16" s="114">
        <f t="shared" si="16"/>
        <v>662.8</v>
      </c>
      <c r="AL16" s="114">
        <f t="shared" si="19"/>
        <v>238.1</v>
      </c>
      <c r="AM16" s="115">
        <v>0.30199999999999999</v>
      </c>
      <c r="AN16" s="50"/>
      <c r="AO16" s="50"/>
      <c r="AP16" s="50"/>
      <c r="AQ16" s="50"/>
      <c r="AS16" s="99">
        <f t="shared" si="17"/>
        <v>12.7095</v>
      </c>
    </row>
    <row r="17" spans="1:45" x14ac:dyDescent="0.2">
      <c r="A17" s="103">
        <v>9</v>
      </c>
      <c r="B17" s="261" t="s">
        <v>40</v>
      </c>
      <c r="C17" s="259">
        <v>1</v>
      </c>
      <c r="D17" s="237">
        <v>11.061999999999999</v>
      </c>
      <c r="E17" s="111">
        <f t="shared" si="0"/>
        <v>11.06</v>
      </c>
      <c r="F17" s="95">
        <f t="shared" si="1"/>
        <v>132.69999999999999</v>
      </c>
      <c r="G17" s="95"/>
      <c r="H17" s="95">
        <f>5392.4/1000</f>
        <v>5.4</v>
      </c>
      <c r="I17" s="95"/>
      <c r="J17" s="95"/>
      <c r="K17" s="95"/>
      <c r="L17" s="95">
        <f t="shared" si="18"/>
        <v>36.1</v>
      </c>
      <c r="M17" s="95">
        <f t="shared" si="2"/>
        <v>174.2</v>
      </c>
      <c r="N17" s="111">
        <v>0.43</v>
      </c>
      <c r="O17" s="95">
        <f t="shared" si="3"/>
        <v>74.900000000000006</v>
      </c>
      <c r="P17" s="95">
        <f t="shared" si="4"/>
        <v>249.1</v>
      </c>
      <c r="Q17" s="95">
        <f t="shared" si="5"/>
        <v>199.3</v>
      </c>
      <c r="R17" s="95">
        <f t="shared" si="6"/>
        <v>199.3</v>
      </c>
      <c r="S17" s="95">
        <f t="shared" si="7"/>
        <v>20.7</v>
      </c>
      <c r="T17" s="95">
        <f t="shared" si="8"/>
        <v>668.4</v>
      </c>
      <c r="U17" s="1827"/>
      <c r="V17" s="95">
        <f t="shared" si="9"/>
        <v>668.4</v>
      </c>
      <c r="W17" s="95">
        <f t="shared" si="20"/>
        <v>201.9</v>
      </c>
      <c r="X17" s="103"/>
      <c r="Y17" s="112">
        <v>30</v>
      </c>
      <c r="Z17" s="113">
        <f t="shared" si="10"/>
        <v>0</v>
      </c>
      <c r="AA17" s="127"/>
      <c r="AB17" s="112">
        <v>15</v>
      </c>
      <c r="AC17" s="113">
        <f t="shared" si="11"/>
        <v>0</v>
      </c>
      <c r="AD17" s="127"/>
      <c r="AE17" s="112">
        <v>30</v>
      </c>
      <c r="AF17" s="113">
        <f t="shared" si="12"/>
        <v>0</v>
      </c>
      <c r="AG17" s="113">
        <f t="shared" si="13"/>
        <v>0</v>
      </c>
      <c r="AH17" s="113">
        <f t="shared" si="14"/>
        <v>0</v>
      </c>
      <c r="AI17" s="131">
        <f t="shared" si="15"/>
        <v>55700</v>
      </c>
      <c r="AK17" s="114">
        <f t="shared" si="16"/>
        <v>668.4</v>
      </c>
      <c r="AL17" s="114">
        <f t="shared" si="19"/>
        <v>239.1</v>
      </c>
      <c r="AM17" s="115">
        <v>0.30199999999999999</v>
      </c>
      <c r="AN17" s="50"/>
      <c r="AO17" s="50"/>
      <c r="AP17" s="50"/>
      <c r="AQ17" s="50"/>
      <c r="AS17" s="99">
        <f t="shared" si="17"/>
        <v>16.593</v>
      </c>
    </row>
    <row r="18" spans="1:45" x14ac:dyDescent="0.2">
      <c r="A18" s="103">
        <v>10</v>
      </c>
      <c r="B18" s="261" t="s">
        <v>29</v>
      </c>
      <c r="C18" s="259">
        <v>2</v>
      </c>
      <c r="D18" s="237">
        <v>8.4730000000000008</v>
      </c>
      <c r="E18" s="111">
        <f t="shared" si="0"/>
        <v>16.95</v>
      </c>
      <c r="F18" s="95">
        <f t="shared" si="1"/>
        <v>203.4</v>
      </c>
      <c r="G18" s="95"/>
      <c r="H18" s="95">
        <f>2065.2/1000</f>
        <v>2.1</v>
      </c>
      <c r="I18" s="95"/>
      <c r="J18" s="95"/>
      <c r="K18" s="95">
        <f>(D18*0.25+D18*0.3)*12</f>
        <v>55.9</v>
      </c>
      <c r="L18" s="95">
        <f t="shared" si="18"/>
        <v>55.3</v>
      </c>
      <c r="M18" s="95">
        <f t="shared" si="2"/>
        <v>316.7</v>
      </c>
      <c r="N18" s="111">
        <v>0.41</v>
      </c>
      <c r="O18" s="95">
        <f t="shared" si="3"/>
        <v>129.80000000000001</v>
      </c>
      <c r="P18" s="95">
        <f t="shared" si="4"/>
        <v>446.5</v>
      </c>
      <c r="Q18" s="95">
        <f t="shared" si="5"/>
        <v>357.2</v>
      </c>
      <c r="R18" s="95">
        <f t="shared" si="6"/>
        <v>357.2</v>
      </c>
      <c r="S18" s="95">
        <f t="shared" si="7"/>
        <v>37.1</v>
      </c>
      <c r="T18" s="95">
        <f t="shared" si="8"/>
        <v>1198</v>
      </c>
      <c r="U18" s="1827"/>
      <c r="V18" s="95">
        <f t="shared" si="9"/>
        <v>1198</v>
      </c>
      <c r="W18" s="95">
        <f t="shared" si="20"/>
        <v>361.8</v>
      </c>
      <c r="X18" s="103"/>
      <c r="Y18" s="112">
        <v>30</v>
      </c>
      <c r="Z18" s="113">
        <f t="shared" si="10"/>
        <v>0</v>
      </c>
      <c r="AA18" s="127"/>
      <c r="AB18" s="112">
        <v>15</v>
      </c>
      <c r="AC18" s="113">
        <f t="shared" si="11"/>
        <v>0</v>
      </c>
      <c r="AD18" s="127"/>
      <c r="AE18" s="112">
        <v>30</v>
      </c>
      <c r="AF18" s="113">
        <f t="shared" si="12"/>
        <v>0</v>
      </c>
      <c r="AG18" s="113">
        <f t="shared" si="13"/>
        <v>0</v>
      </c>
      <c r="AH18" s="113">
        <f t="shared" si="14"/>
        <v>0</v>
      </c>
      <c r="AI18" s="131">
        <f t="shared" si="15"/>
        <v>49916.67</v>
      </c>
      <c r="AK18" s="114">
        <f t="shared" si="16"/>
        <v>599</v>
      </c>
      <c r="AL18" s="114">
        <f t="shared" si="19"/>
        <v>226.5</v>
      </c>
      <c r="AM18" s="115">
        <v>0.30199999999999999</v>
      </c>
      <c r="AN18" s="263"/>
      <c r="AO18" s="263"/>
      <c r="AP18" s="263"/>
      <c r="AS18" s="99">
        <f t="shared" si="17"/>
        <v>12.7095</v>
      </c>
    </row>
    <row r="19" spans="1:45" x14ac:dyDescent="0.2">
      <c r="A19" s="103">
        <v>11</v>
      </c>
      <c r="B19" s="261" t="s">
        <v>58</v>
      </c>
      <c r="C19" s="259">
        <v>1</v>
      </c>
      <c r="D19" s="237">
        <v>11.061999999999999</v>
      </c>
      <c r="E19" s="111">
        <f t="shared" si="0"/>
        <v>11.06</v>
      </c>
      <c r="F19" s="95">
        <f t="shared" si="1"/>
        <v>132.69999999999999</v>
      </c>
      <c r="G19" s="95"/>
      <c r="H19" s="95">
        <f>5392.4/1000</f>
        <v>5.4</v>
      </c>
      <c r="I19" s="95"/>
      <c r="J19" s="95"/>
      <c r="K19" s="95">
        <f>F19*0.4</f>
        <v>53.1</v>
      </c>
      <c r="L19" s="95">
        <f t="shared" si="18"/>
        <v>36.1</v>
      </c>
      <c r="M19" s="95">
        <f t="shared" si="2"/>
        <v>227.3</v>
      </c>
      <c r="N19" s="111">
        <v>0.43</v>
      </c>
      <c r="O19" s="95">
        <f t="shared" si="3"/>
        <v>97.7</v>
      </c>
      <c r="P19" s="95">
        <f t="shared" si="4"/>
        <v>325</v>
      </c>
      <c r="Q19" s="95">
        <f t="shared" si="5"/>
        <v>260</v>
      </c>
      <c r="R19" s="95">
        <f t="shared" si="6"/>
        <v>260</v>
      </c>
      <c r="S19" s="95">
        <f t="shared" si="7"/>
        <v>27</v>
      </c>
      <c r="T19" s="95">
        <f t="shared" si="8"/>
        <v>872</v>
      </c>
      <c r="U19" s="1827"/>
      <c r="V19" s="95">
        <f t="shared" si="9"/>
        <v>872</v>
      </c>
      <c r="W19" s="95">
        <f t="shared" si="20"/>
        <v>263.3</v>
      </c>
      <c r="X19" s="103"/>
      <c r="Y19" s="112">
        <v>30</v>
      </c>
      <c r="Z19" s="113">
        <f t="shared" si="10"/>
        <v>0</v>
      </c>
      <c r="AA19" s="127"/>
      <c r="AB19" s="112">
        <v>15</v>
      </c>
      <c r="AC19" s="113">
        <f t="shared" si="11"/>
        <v>0</v>
      </c>
      <c r="AD19" s="127"/>
      <c r="AE19" s="112">
        <v>30</v>
      </c>
      <c r="AF19" s="113">
        <f t="shared" si="12"/>
        <v>0</v>
      </c>
      <c r="AG19" s="113">
        <f t="shared" si="13"/>
        <v>0</v>
      </c>
      <c r="AH19" s="113">
        <f t="shared" si="14"/>
        <v>0</v>
      </c>
      <c r="AI19" s="131">
        <f t="shared" si="15"/>
        <v>72666.67</v>
      </c>
      <c r="AK19" s="114">
        <f t="shared" si="16"/>
        <v>872</v>
      </c>
      <c r="AL19" s="114">
        <f t="shared" si="19"/>
        <v>276.2</v>
      </c>
      <c r="AM19" s="115">
        <v>0.30199999999999999</v>
      </c>
      <c r="AN19" s="50"/>
      <c r="AO19" s="50"/>
      <c r="AP19" s="50"/>
      <c r="AQ19" s="50"/>
      <c r="AS19" s="99">
        <f t="shared" si="17"/>
        <v>16.593</v>
      </c>
    </row>
    <row r="20" spans="1:45" x14ac:dyDescent="0.2">
      <c r="A20" s="103">
        <v>12</v>
      </c>
      <c r="B20" s="236" t="s">
        <v>42</v>
      </c>
      <c r="C20" s="259">
        <v>1</v>
      </c>
      <c r="D20" s="237">
        <v>11.061999999999999</v>
      </c>
      <c r="E20" s="111">
        <f t="shared" si="0"/>
        <v>11.06</v>
      </c>
      <c r="F20" s="95">
        <f t="shared" si="1"/>
        <v>132.69999999999999</v>
      </c>
      <c r="G20" s="95"/>
      <c r="H20" s="95">
        <v>7.8</v>
      </c>
      <c r="I20" s="95"/>
      <c r="J20" s="95"/>
      <c r="K20" s="95">
        <f>F20*0.2</f>
        <v>26.5</v>
      </c>
      <c r="L20" s="95">
        <f t="shared" si="18"/>
        <v>36.1</v>
      </c>
      <c r="M20" s="95">
        <f t="shared" si="2"/>
        <v>203.1</v>
      </c>
      <c r="N20" s="111">
        <v>0.43</v>
      </c>
      <c r="O20" s="95">
        <f t="shared" si="3"/>
        <v>87.3</v>
      </c>
      <c r="P20" s="95">
        <f t="shared" si="4"/>
        <v>290.39999999999998</v>
      </c>
      <c r="Q20" s="95">
        <f t="shared" si="5"/>
        <v>232.3</v>
      </c>
      <c r="R20" s="95">
        <f t="shared" si="6"/>
        <v>232.3</v>
      </c>
      <c r="S20" s="95">
        <f t="shared" si="7"/>
        <v>24.2</v>
      </c>
      <c r="T20" s="95">
        <f t="shared" si="8"/>
        <v>779.2</v>
      </c>
      <c r="U20" s="1827"/>
      <c r="V20" s="95">
        <f t="shared" si="9"/>
        <v>779.2</v>
      </c>
      <c r="W20" s="95">
        <f t="shared" si="20"/>
        <v>235.3</v>
      </c>
      <c r="X20" s="103"/>
      <c r="Y20" s="112">
        <v>30</v>
      </c>
      <c r="Z20" s="113">
        <f t="shared" si="10"/>
        <v>0</v>
      </c>
      <c r="AA20" s="127"/>
      <c r="AB20" s="112">
        <v>15</v>
      </c>
      <c r="AC20" s="113">
        <f t="shared" si="11"/>
        <v>0</v>
      </c>
      <c r="AD20" s="127"/>
      <c r="AE20" s="112">
        <v>30</v>
      </c>
      <c r="AF20" s="113">
        <f t="shared" si="12"/>
        <v>0</v>
      </c>
      <c r="AG20" s="113">
        <f t="shared" si="13"/>
        <v>0</v>
      </c>
      <c r="AH20" s="113">
        <f t="shared" si="14"/>
        <v>0</v>
      </c>
      <c r="AI20" s="131">
        <f t="shared" si="15"/>
        <v>64933.33</v>
      </c>
      <c r="AK20" s="114">
        <f t="shared" si="16"/>
        <v>779.2</v>
      </c>
      <c r="AL20" s="114">
        <f t="shared" si="19"/>
        <v>259.3</v>
      </c>
      <c r="AM20" s="115">
        <v>0.30199999999999999</v>
      </c>
      <c r="AN20" s="50"/>
      <c r="AO20" s="50"/>
      <c r="AP20" s="50"/>
      <c r="AQ20" s="50"/>
      <c r="AS20" s="99">
        <f t="shared" si="17"/>
        <v>16.593</v>
      </c>
    </row>
    <row r="21" spans="1:45" s="22" customFormat="1" ht="25.5" x14ac:dyDescent="0.2">
      <c r="A21" s="274">
        <v>13</v>
      </c>
      <c r="B21" s="52" t="s">
        <v>132</v>
      </c>
      <c r="C21" s="167">
        <v>1</v>
      </c>
      <c r="D21" s="177">
        <v>8.4730000000000008</v>
      </c>
      <c r="E21" s="171">
        <f>C21*D21</f>
        <v>8.4700000000000006</v>
      </c>
      <c r="F21" s="154">
        <f>E21*12</f>
        <v>101.6</v>
      </c>
      <c r="G21" s="154"/>
      <c r="H21" s="154">
        <f>4130.4/1000</f>
        <v>4.0999999999999996</v>
      </c>
      <c r="I21" s="154"/>
      <c r="J21" s="154"/>
      <c r="K21" s="154"/>
      <c r="L21" s="154">
        <f>F21*$L$4</f>
        <v>27.6</v>
      </c>
      <c r="M21" s="154">
        <f>F21+G21+H21+I21+J21+K21+L21</f>
        <v>133.30000000000001</v>
      </c>
      <c r="N21" s="171">
        <v>0.47</v>
      </c>
      <c r="O21" s="154">
        <f>M21*N21</f>
        <v>62.7</v>
      </c>
      <c r="P21" s="154">
        <f>M21+O21</f>
        <v>196</v>
      </c>
      <c r="Q21" s="154">
        <f>P21*0.8</f>
        <v>156.80000000000001</v>
      </c>
      <c r="R21" s="154">
        <f>P21*0.8</f>
        <v>156.80000000000001</v>
      </c>
      <c r="S21" s="154">
        <f>(P21+Q21+R21)*0.032</f>
        <v>16.3</v>
      </c>
      <c r="T21" s="154">
        <f>P21+Q21+R21+S21</f>
        <v>525.9</v>
      </c>
      <c r="U21" s="1827"/>
      <c r="V21" s="154">
        <f>T21*$U$9</f>
        <v>525.9</v>
      </c>
      <c r="W21" s="95">
        <f t="shared" si="20"/>
        <v>158.80000000000001</v>
      </c>
      <c r="X21" s="40"/>
      <c r="Y21" s="24">
        <v>30</v>
      </c>
      <c r="Z21" s="48">
        <f>X21*Y21</f>
        <v>0</v>
      </c>
      <c r="AA21" s="54"/>
      <c r="AB21" s="24">
        <v>15</v>
      </c>
      <c r="AC21" s="48">
        <f>AA21*AB21</f>
        <v>0</v>
      </c>
      <c r="AD21" s="54"/>
      <c r="AE21" s="24">
        <v>30</v>
      </c>
      <c r="AF21" s="48">
        <f>AD21*AE21</f>
        <v>0</v>
      </c>
      <c r="AG21" s="48">
        <f>(Z21+AC21+AF21)*1%*30</f>
        <v>0</v>
      </c>
      <c r="AH21" s="48">
        <f>Z21+AC21+AF21+AG21</f>
        <v>0</v>
      </c>
      <c r="AI21" s="39">
        <f t="shared" si="15"/>
        <v>43825</v>
      </c>
      <c r="AK21" s="34">
        <f t="shared" si="16"/>
        <v>525.9</v>
      </c>
      <c r="AL21" s="34">
        <f>((979*0.302)+((AK21-979)*0.182))</f>
        <v>213.2</v>
      </c>
      <c r="AM21" s="51">
        <v>0.30199999999999999</v>
      </c>
      <c r="AN21" s="211"/>
      <c r="AO21" s="211"/>
      <c r="AP21" s="211"/>
      <c r="AQ21" s="211"/>
      <c r="AS21" s="22">
        <f t="shared" si="17"/>
        <v>12.7095</v>
      </c>
    </row>
    <row r="22" spans="1:45" x14ac:dyDescent="0.2">
      <c r="A22" s="103">
        <v>14</v>
      </c>
      <c r="B22" s="261" t="s">
        <v>44</v>
      </c>
      <c r="C22" s="259">
        <v>1</v>
      </c>
      <c r="D22" s="237">
        <v>11.061999999999999</v>
      </c>
      <c r="E22" s="111">
        <f t="shared" si="0"/>
        <v>11.06</v>
      </c>
      <c r="F22" s="95">
        <f t="shared" si="1"/>
        <v>132.69999999999999</v>
      </c>
      <c r="G22" s="95"/>
      <c r="H22" s="95">
        <v>7</v>
      </c>
      <c r="I22" s="95"/>
      <c r="J22" s="95"/>
      <c r="K22" s="95">
        <f>F22*0.4</f>
        <v>53.1</v>
      </c>
      <c r="L22" s="95">
        <f t="shared" si="18"/>
        <v>36.1</v>
      </c>
      <c r="M22" s="95">
        <f t="shared" si="2"/>
        <v>228.9</v>
      </c>
      <c r="N22" s="111">
        <v>0.43</v>
      </c>
      <c r="O22" s="95">
        <f t="shared" si="3"/>
        <v>98.4</v>
      </c>
      <c r="P22" s="95">
        <f t="shared" si="4"/>
        <v>327.3</v>
      </c>
      <c r="Q22" s="95">
        <f t="shared" si="5"/>
        <v>261.8</v>
      </c>
      <c r="R22" s="95">
        <f t="shared" si="6"/>
        <v>261.8</v>
      </c>
      <c r="S22" s="95">
        <f t="shared" si="7"/>
        <v>27.2</v>
      </c>
      <c r="T22" s="95">
        <f t="shared" si="8"/>
        <v>878.1</v>
      </c>
      <c r="U22" s="1827"/>
      <c r="V22" s="95">
        <f t="shared" si="9"/>
        <v>878.1</v>
      </c>
      <c r="W22" s="95">
        <f t="shared" si="20"/>
        <v>265.2</v>
      </c>
      <c r="X22" s="103">
        <v>1</v>
      </c>
      <c r="Y22" s="112">
        <v>30</v>
      </c>
      <c r="Z22" s="113">
        <f t="shared" si="10"/>
        <v>30</v>
      </c>
      <c r="AA22" s="127">
        <v>1</v>
      </c>
      <c r="AB22" s="112">
        <v>15</v>
      </c>
      <c r="AC22" s="113">
        <f t="shared" si="11"/>
        <v>15</v>
      </c>
      <c r="AD22" s="127"/>
      <c r="AE22" s="112">
        <v>30</v>
      </c>
      <c r="AF22" s="113">
        <f t="shared" si="12"/>
        <v>0</v>
      </c>
      <c r="AG22" s="113">
        <f t="shared" si="13"/>
        <v>13.5</v>
      </c>
      <c r="AH22" s="113">
        <f t="shared" si="14"/>
        <v>58.5</v>
      </c>
      <c r="AI22" s="131">
        <f t="shared" si="15"/>
        <v>73175</v>
      </c>
      <c r="AK22" s="114">
        <f t="shared" si="16"/>
        <v>878.1</v>
      </c>
      <c r="AL22" s="114">
        <f t="shared" si="19"/>
        <v>277.3</v>
      </c>
      <c r="AM22" s="115">
        <v>0.30199999999999999</v>
      </c>
      <c r="AN22" s="50"/>
      <c r="AO22" s="50"/>
      <c r="AP22" s="50"/>
      <c r="AQ22" s="50"/>
      <c r="AS22" s="99">
        <f t="shared" si="17"/>
        <v>16.593</v>
      </c>
    </row>
    <row r="23" spans="1:45" x14ac:dyDescent="0.2">
      <c r="A23" s="103">
        <v>15</v>
      </c>
      <c r="B23" s="236" t="s">
        <v>33</v>
      </c>
      <c r="C23" s="174">
        <v>1</v>
      </c>
      <c r="D23" s="237">
        <v>8.4730000000000008</v>
      </c>
      <c r="E23" s="111">
        <f t="shared" si="0"/>
        <v>8.4700000000000006</v>
      </c>
      <c r="F23" s="95">
        <f t="shared" si="1"/>
        <v>101.6</v>
      </c>
      <c r="G23" s="95">
        <f>4015.6/1000</f>
        <v>4</v>
      </c>
      <c r="H23" s="95">
        <f>5782.5/1000</f>
        <v>5.8</v>
      </c>
      <c r="I23" s="95"/>
      <c r="J23" s="95"/>
      <c r="K23" s="95">
        <f>D23*0.2*7.6+D23*0.25*4.4</f>
        <v>22.2</v>
      </c>
      <c r="L23" s="95">
        <f t="shared" si="18"/>
        <v>27.6</v>
      </c>
      <c r="M23" s="95">
        <f t="shared" si="2"/>
        <v>161.19999999999999</v>
      </c>
      <c r="N23" s="111">
        <v>0.41</v>
      </c>
      <c r="O23" s="95">
        <f t="shared" si="3"/>
        <v>66.099999999999994</v>
      </c>
      <c r="P23" s="95">
        <f t="shared" si="4"/>
        <v>227.3</v>
      </c>
      <c r="Q23" s="95">
        <f t="shared" si="5"/>
        <v>181.8</v>
      </c>
      <c r="R23" s="95">
        <f t="shared" si="6"/>
        <v>181.8</v>
      </c>
      <c r="S23" s="95">
        <f t="shared" si="7"/>
        <v>18.899999999999999</v>
      </c>
      <c r="T23" s="95">
        <f t="shared" si="8"/>
        <v>609.79999999999995</v>
      </c>
      <c r="U23" s="1827"/>
      <c r="V23" s="95">
        <f t="shared" si="9"/>
        <v>609.79999999999995</v>
      </c>
      <c r="W23" s="95">
        <f t="shared" si="20"/>
        <v>184.2</v>
      </c>
      <c r="X23" s="238">
        <v>1</v>
      </c>
      <c r="Y23" s="240">
        <v>30</v>
      </c>
      <c r="Z23" s="241">
        <f t="shared" si="10"/>
        <v>30</v>
      </c>
      <c r="AA23" s="238"/>
      <c r="AB23" s="240">
        <v>15</v>
      </c>
      <c r="AC23" s="241">
        <f t="shared" si="11"/>
        <v>0</v>
      </c>
      <c r="AD23" s="238">
        <v>1</v>
      </c>
      <c r="AE23" s="240">
        <v>30</v>
      </c>
      <c r="AF23" s="241">
        <f t="shared" si="12"/>
        <v>30</v>
      </c>
      <c r="AG23" s="241">
        <f t="shared" si="13"/>
        <v>18</v>
      </c>
      <c r="AH23" s="241">
        <f t="shared" si="14"/>
        <v>78</v>
      </c>
      <c r="AI23" s="131">
        <f t="shared" si="15"/>
        <v>50816.67</v>
      </c>
      <c r="AK23" s="114">
        <f t="shared" si="16"/>
        <v>609.79999999999995</v>
      </c>
      <c r="AL23" s="114">
        <f t="shared" si="19"/>
        <v>228.5</v>
      </c>
      <c r="AM23" s="115">
        <v>0.30199999999999999</v>
      </c>
      <c r="AN23" s="263"/>
      <c r="AO23" s="263"/>
      <c r="AP23" s="263"/>
      <c r="AS23" s="99">
        <f t="shared" si="17"/>
        <v>12.7095</v>
      </c>
    </row>
    <row r="24" spans="1:45" ht="25.5" x14ac:dyDescent="0.2">
      <c r="A24" s="103">
        <v>16</v>
      </c>
      <c r="B24" s="236" t="s">
        <v>102</v>
      </c>
      <c r="C24" s="174">
        <v>0.5</v>
      </c>
      <c r="D24" s="237">
        <v>4.3769999999999998</v>
      </c>
      <c r="E24" s="111">
        <f t="shared" si="0"/>
        <v>2.19</v>
      </c>
      <c r="F24" s="95">
        <f t="shared" si="1"/>
        <v>26.3</v>
      </c>
      <c r="G24" s="95"/>
      <c r="H24" s="95"/>
      <c r="I24" s="95"/>
      <c r="J24" s="95"/>
      <c r="K24" s="95"/>
      <c r="L24" s="95">
        <f t="shared" si="18"/>
        <v>7.2</v>
      </c>
      <c r="M24" s="95">
        <f>F24+G24+H24+I24+J24+K24+L24</f>
        <v>33.5</v>
      </c>
      <c r="N24" s="111">
        <v>0.49</v>
      </c>
      <c r="O24" s="95">
        <f>M24*N24</f>
        <v>16.399999999999999</v>
      </c>
      <c r="P24" s="95">
        <f>M24+O24</f>
        <v>49.9</v>
      </c>
      <c r="Q24" s="95">
        <f>P24*0.8</f>
        <v>39.9</v>
      </c>
      <c r="R24" s="95">
        <f>P24*0.8</f>
        <v>39.9</v>
      </c>
      <c r="S24" s="95">
        <f>(P24+Q24+R24)*0.032</f>
        <v>4.2</v>
      </c>
      <c r="T24" s="95">
        <f>P24+Q24+R24+S24</f>
        <v>133.9</v>
      </c>
      <c r="U24" s="1827"/>
      <c r="V24" s="95">
        <f>T24*$U$9</f>
        <v>133.9</v>
      </c>
      <c r="W24" s="95">
        <f t="shared" si="20"/>
        <v>40.4</v>
      </c>
      <c r="X24" s="238"/>
      <c r="Y24" s="240"/>
      <c r="Z24" s="241"/>
      <c r="AA24" s="238"/>
      <c r="AB24" s="240"/>
      <c r="AC24" s="241"/>
      <c r="AD24" s="238"/>
      <c r="AE24" s="240"/>
      <c r="AF24" s="241"/>
      <c r="AG24" s="241"/>
      <c r="AH24" s="241"/>
      <c r="AI24" s="131"/>
      <c r="AK24" s="114"/>
      <c r="AL24" s="114"/>
      <c r="AM24" s="115"/>
      <c r="AN24" s="263"/>
      <c r="AO24" s="263"/>
      <c r="AP24" s="263"/>
      <c r="AS24" s="99">
        <f t="shared" si="17"/>
        <v>6.5655000000000001</v>
      </c>
    </row>
    <row r="25" spans="1:45" x14ac:dyDescent="0.2">
      <c r="A25" s="103">
        <v>17</v>
      </c>
      <c r="B25" s="236" t="s">
        <v>136</v>
      </c>
      <c r="C25" s="174">
        <v>0.5</v>
      </c>
      <c r="D25" s="237">
        <v>4.3769999999999998</v>
      </c>
      <c r="E25" s="111">
        <f t="shared" si="0"/>
        <v>2.19</v>
      </c>
      <c r="F25" s="95">
        <f t="shared" si="1"/>
        <v>26.3</v>
      </c>
      <c r="G25" s="95"/>
      <c r="H25" s="95"/>
      <c r="I25" s="95"/>
      <c r="J25" s="95"/>
      <c r="K25" s="95"/>
      <c r="L25" s="95">
        <f t="shared" si="18"/>
        <v>7.2</v>
      </c>
      <c r="M25" s="95">
        <f>F25+G25+H25+I25+J25+K25+L25</f>
        <v>33.5</v>
      </c>
      <c r="N25" s="111">
        <v>0.49</v>
      </c>
      <c r="O25" s="95">
        <f>M25*N25</f>
        <v>16.399999999999999</v>
      </c>
      <c r="P25" s="95">
        <f>M25+O25</f>
        <v>49.9</v>
      </c>
      <c r="Q25" s="95">
        <f>P25*0.8</f>
        <v>39.9</v>
      </c>
      <c r="R25" s="95">
        <f>P25*0.8</f>
        <v>39.9</v>
      </c>
      <c r="S25" s="95">
        <f>(P25+Q25+R25)*0.032</f>
        <v>4.2</v>
      </c>
      <c r="T25" s="95">
        <f>P25+Q25+R25+S25</f>
        <v>133.9</v>
      </c>
      <c r="U25" s="1827"/>
      <c r="V25" s="95">
        <f>T25*$U$9</f>
        <v>133.9</v>
      </c>
      <c r="W25" s="95">
        <f t="shared" si="20"/>
        <v>40.4</v>
      </c>
      <c r="X25" s="238"/>
      <c r="Y25" s="240"/>
      <c r="Z25" s="241"/>
      <c r="AA25" s="238"/>
      <c r="AB25" s="240"/>
      <c r="AC25" s="241"/>
      <c r="AD25" s="238"/>
      <c r="AE25" s="240"/>
      <c r="AF25" s="241"/>
      <c r="AG25" s="241"/>
      <c r="AH25" s="241"/>
      <c r="AI25" s="131"/>
      <c r="AK25" s="114"/>
      <c r="AL25" s="114"/>
      <c r="AM25" s="115"/>
      <c r="AN25" s="263"/>
      <c r="AO25" s="263"/>
      <c r="AP25" s="263"/>
      <c r="AS25" s="99">
        <f t="shared" si="17"/>
        <v>6.5655000000000001</v>
      </c>
    </row>
    <row r="26" spans="1:45" s="245" customFormat="1" x14ac:dyDescent="0.2">
      <c r="A26" s="103">
        <v>18</v>
      </c>
      <c r="B26" s="236" t="s">
        <v>60</v>
      </c>
      <c r="C26" s="262">
        <v>2</v>
      </c>
      <c r="D26" s="247">
        <v>4.3769999999999998</v>
      </c>
      <c r="E26" s="249">
        <f t="shared" si="0"/>
        <v>8.75</v>
      </c>
      <c r="F26" s="248">
        <f t="shared" si="1"/>
        <v>105</v>
      </c>
      <c r="G26" s="248">
        <f>12446.4/1000</f>
        <v>12.4</v>
      </c>
      <c r="H26" s="248">
        <f>5974.3/1000</f>
        <v>6</v>
      </c>
      <c r="I26" s="248"/>
      <c r="J26" s="248"/>
      <c r="K26" s="248"/>
      <c r="L26" s="95">
        <v>59</v>
      </c>
      <c r="M26" s="248">
        <f t="shared" si="2"/>
        <v>182.4</v>
      </c>
      <c r="N26" s="111">
        <v>0.49</v>
      </c>
      <c r="O26" s="248">
        <f t="shared" si="3"/>
        <v>89.4</v>
      </c>
      <c r="P26" s="248">
        <f t="shared" si="4"/>
        <v>271.8</v>
      </c>
      <c r="Q26" s="248">
        <f t="shared" si="5"/>
        <v>217.4</v>
      </c>
      <c r="R26" s="248">
        <f t="shared" si="6"/>
        <v>217.4</v>
      </c>
      <c r="S26" s="248">
        <f t="shared" si="7"/>
        <v>22.6</v>
      </c>
      <c r="T26" s="248">
        <f t="shared" si="8"/>
        <v>729.2</v>
      </c>
      <c r="U26" s="1827"/>
      <c r="V26" s="248">
        <f t="shared" si="9"/>
        <v>729.2</v>
      </c>
      <c r="W26" s="95">
        <f t="shared" si="20"/>
        <v>220.2</v>
      </c>
      <c r="X26" s="246">
        <v>1</v>
      </c>
      <c r="Y26" s="240">
        <v>30</v>
      </c>
      <c r="Z26" s="241">
        <f t="shared" si="10"/>
        <v>30</v>
      </c>
      <c r="AA26" s="246"/>
      <c r="AB26" s="240">
        <v>15</v>
      </c>
      <c r="AC26" s="241">
        <f t="shared" si="11"/>
        <v>0</v>
      </c>
      <c r="AD26" s="246"/>
      <c r="AE26" s="240">
        <v>30</v>
      </c>
      <c r="AF26" s="241">
        <f t="shared" si="12"/>
        <v>0</v>
      </c>
      <c r="AG26" s="241">
        <f t="shared" si="13"/>
        <v>9</v>
      </c>
      <c r="AH26" s="241">
        <f t="shared" si="14"/>
        <v>39</v>
      </c>
      <c r="AI26" s="131">
        <f>V26/12/C26*1000</f>
        <v>30383.33</v>
      </c>
      <c r="AK26" s="114">
        <f>V26/C26</f>
        <v>364.6</v>
      </c>
      <c r="AL26" s="114">
        <f t="shared" si="19"/>
        <v>183.8</v>
      </c>
      <c r="AM26" s="115">
        <v>0.30199999999999999</v>
      </c>
      <c r="AN26" s="211"/>
      <c r="AO26" s="211"/>
      <c r="AP26" s="211"/>
      <c r="AQ26" s="211"/>
      <c r="AS26" s="99">
        <f t="shared" si="17"/>
        <v>6.5655000000000001</v>
      </c>
    </row>
    <row r="27" spans="1:45" x14ac:dyDescent="0.2">
      <c r="A27" s="103">
        <v>19</v>
      </c>
      <c r="B27" s="261" t="s">
        <v>94</v>
      </c>
      <c r="C27" s="264">
        <v>2</v>
      </c>
      <c r="D27" s="237">
        <v>4.3769999999999998</v>
      </c>
      <c r="E27" s="111">
        <f t="shared" si="0"/>
        <v>8.75</v>
      </c>
      <c r="F27" s="95">
        <f t="shared" si="1"/>
        <v>105</v>
      </c>
      <c r="G27" s="95">
        <f>2074.4/1000</f>
        <v>2.1</v>
      </c>
      <c r="H27" s="95">
        <f>5.974</f>
        <v>6</v>
      </c>
      <c r="I27" s="95"/>
      <c r="J27" s="95"/>
      <c r="K27" s="95"/>
      <c r="L27" s="95">
        <v>70.8</v>
      </c>
      <c r="M27" s="95">
        <f t="shared" si="2"/>
        <v>183.9</v>
      </c>
      <c r="N27" s="111">
        <v>0.47</v>
      </c>
      <c r="O27" s="95">
        <f t="shared" si="3"/>
        <v>86.4</v>
      </c>
      <c r="P27" s="95">
        <f t="shared" si="4"/>
        <v>270.3</v>
      </c>
      <c r="Q27" s="95">
        <f t="shared" si="5"/>
        <v>216.2</v>
      </c>
      <c r="R27" s="95">
        <f t="shared" si="6"/>
        <v>216.2</v>
      </c>
      <c r="S27" s="95">
        <f t="shared" si="7"/>
        <v>22.5</v>
      </c>
      <c r="T27" s="95">
        <f t="shared" si="8"/>
        <v>725.2</v>
      </c>
      <c r="U27" s="1827"/>
      <c r="V27" s="95">
        <f>T27*$U$9+0.1</f>
        <v>725.3</v>
      </c>
      <c r="W27" s="95">
        <f t="shared" si="20"/>
        <v>219</v>
      </c>
      <c r="X27" s="103">
        <v>1</v>
      </c>
      <c r="Y27" s="112">
        <v>30</v>
      </c>
      <c r="Z27" s="113">
        <f t="shared" si="10"/>
        <v>30</v>
      </c>
      <c r="AA27" s="103"/>
      <c r="AB27" s="112">
        <v>15</v>
      </c>
      <c r="AC27" s="113">
        <f t="shared" si="11"/>
        <v>0</v>
      </c>
      <c r="AD27" s="103"/>
      <c r="AE27" s="112">
        <v>30</v>
      </c>
      <c r="AF27" s="113">
        <f t="shared" si="12"/>
        <v>0</v>
      </c>
      <c r="AG27" s="113">
        <f t="shared" si="13"/>
        <v>9</v>
      </c>
      <c r="AH27" s="113">
        <f t="shared" si="14"/>
        <v>39</v>
      </c>
      <c r="AI27" s="131">
        <f>V27/12/C27*1000</f>
        <v>30220.83</v>
      </c>
      <c r="AK27" s="114">
        <f>V27/C27</f>
        <v>362.7</v>
      </c>
      <c r="AL27" s="114">
        <f t="shared" si="19"/>
        <v>183.5</v>
      </c>
      <c r="AM27" s="115">
        <v>0.30199999999999999</v>
      </c>
      <c r="AS27" s="99">
        <f t="shared" si="17"/>
        <v>6.5655000000000001</v>
      </c>
    </row>
    <row r="28" spans="1:45" s="98" customFormat="1" ht="20.25" customHeight="1" x14ac:dyDescent="0.2">
      <c r="A28" s="1829" t="s">
        <v>8</v>
      </c>
      <c r="B28" s="1829"/>
      <c r="C28" s="265">
        <f>SUM(C9:C27)</f>
        <v>25</v>
      </c>
      <c r="D28" s="266">
        <f t="shared" ref="D28:T28" si="21">SUM(D9:D27)</f>
        <v>187.6</v>
      </c>
      <c r="E28" s="266">
        <f t="shared" si="21"/>
        <v>251.7</v>
      </c>
      <c r="F28" s="266">
        <f t="shared" si="21"/>
        <v>3020.1</v>
      </c>
      <c r="G28" s="266">
        <f t="shared" si="21"/>
        <v>18.5</v>
      </c>
      <c r="H28" s="266">
        <f t="shared" si="21"/>
        <v>110.7</v>
      </c>
      <c r="I28" s="266">
        <f t="shared" si="21"/>
        <v>0</v>
      </c>
      <c r="J28" s="266">
        <f t="shared" si="21"/>
        <v>0</v>
      </c>
      <c r="K28" s="266">
        <f t="shared" si="21"/>
        <v>703.9</v>
      </c>
      <c r="L28" s="266">
        <f t="shared" si="21"/>
        <v>894.2</v>
      </c>
      <c r="M28" s="266">
        <f t="shared" si="21"/>
        <v>4747.3999999999996</v>
      </c>
      <c r="N28" s="266">
        <f t="shared" si="21"/>
        <v>8.5</v>
      </c>
      <c r="O28" s="266">
        <f t="shared" si="21"/>
        <v>2108</v>
      </c>
      <c r="P28" s="266">
        <f t="shared" si="21"/>
        <v>6855.4</v>
      </c>
      <c r="Q28" s="266">
        <f t="shared" si="21"/>
        <v>5484.1</v>
      </c>
      <c r="R28" s="266">
        <f t="shared" si="21"/>
        <v>5484.1</v>
      </c>
      <c r="S28" s="266">
        <f t="shared" si="21"/>
        <v>570.29999999999995</v>
      </c>
      <c r="T28" s="266">
        <f t="shared" si="21"/>
        <v>18393.900000000001</v>
      </c>
      <c r="U28" s="266"/>
      <c r="V28" s="266">
        <f t="shared" ref="V28:AH28" si="22">SUM(V9:V27)</f>
        <v>18394</v>
      </c>
      <c r="W28" s="266">
        <f>SUM(W9:W27)</f>
        <v>5400.8</v>
      </c>
      <c r="X28" s="266">
        <f t="shared" si="22"/>
        <v>8</v>
      </c>
      <c r="Y28" s="266">
        <f t="shared" si="22"/>
        <v>510</v>
      </c>
      <c r="Z28" s="266">
        <f t="shared" si="22"/>
        <v>240</v>
      </c>
      <c r="AA28" s="266">
        <f t="shared" si="22"/>
        <v>1</v>
      </c>
      <c r="AB28" s="266">
        <f t="shared" si="22"/>
        <v>255</v>
      </c>
      <c r="AC28" s="266">
        <f t="shared" si="22"/>
        <v>15</v>
      </c>
      <c r="AD28" s="266">
        <f t="shared" si="22"/>
        <v>3</v>
      </c>
      <c r="AE28" s="266">
        <f t="shared" si="22"/>
        <v>510</v>
      </c>
      <c r="AF28" s="266">
        <f t="shared" si="22"/>
        <v>90</v>
      </c>
      <c r="AG28" s="266">
        <f t="shared" si="22"/>
        <v>103.5</v>
      </c>
      <c r="AH28" s="266">
        <f t="shared" si="22"/>
        <v>448.5</v>
      </c>
      <c r="AI28" s="131"/>
      <c r="AK28" s="114"/>
      <c r="AL28" s="114"/>
      <c r="AM28" s="115"/>
      <c r="AN28" s="211"/>
      <c r="AO28" s="211"/>
      <c r="AP28" s="211"/>
      <c r="AQ28" s="211"/>
      <c r="AS28" s="99"/>
    </row>
    <row r="29" spans="1:45" s="98" customFormat="1" ht="20.25" customHeight="1" x14ac:dyDescent="0.2">
      <c r="A29" s="267"/>
      <c r="B29" s="268"/>
      <c r="C29" s="269"/>
      <c r="D29" s="270"/>
      <c r="E29" s="270"/>
      <c r="F29" s="270"/>
      <c r="G29" s="270"/>
      <c r="H29" s="270"/>
      <c r="I29" s="270"/>
      <c r="J29" s="270"/>
      <c r="K29" s="270"/>
      <c r="L29" s="270"/>
      <c r="M29" s="270"/>
      <c r="N29" s="270"/>
      <c r="O29" s="270"/>
      <c r="P29" s="270"/>
      <c r="Q29" s="270"/>
      <c r="R29" s="270"/>
      <c r="S29" s="270"/>
      <c r="T29" s="270"/>
      <c r="U29" s="270"/>
      <c r="V29" s="270"/>
      <c r="W29" s="66"/>
      <c r="X29" s="270"/>
      <c r="Y29" s="270"/>
      <c r="Z29" s="270"/>
      <c r="AA29" s="270"/>
      <c r="AB29" s="270"/>
      <c r="AC29" s="270"/>
      <c r="AD29" s="270"/>
      <c r="AE29" s="270"/>
      <c r="AF29" s="270"/>
      <c r="AG29" s="270"/>
      <c r="AH29" s="270"/>
      <c r="AI29" s="131"/>
      <c r="AK29" s="114"/>
      <c r="AL29" s="114"/>
      <c r="AM29" s="115"/>
      <c r="AN29" s="211"/>
      <c r="AO29" s="211"/>
      <c r="AP29" s="211"/>
      <c r="AQ29" s="211"/>
    </row>
    <row r="30" spans="1:45" s="75" customFormat="1" x14ac:dyDescent="0.2">
      <c r="A30" s="70"/>
      <c r="B30" s="70"/>
      <c r="C30" s="71"/>
      <c r="D30" s="271"/>
      <c r="E30" s="72"/>
      <c r="F30" s="72"/>
      <c r="G30" s="72"/>
      <c r="H30" s="73"/>
      <c r="I30" s="73"/>
      <c r="J30" s="27"/>
      <c r="K30" s="27"/>
      <c r="L30" s="27"/>
      <c r="M30" s="27"/>
      <c r="N30" s="74"/>
      <c r="O30" s="27"/>
      <c r="P30" s="27"/>
      <c r="Q30" s="27"/>
      <c r="R30" s="27"/>
      <c r="S30" s="27"/>
      <c r="T30" s="27"/>
      <c r="U30" s="27"/>
      <c r="V30" s="27"/>
      <c r="W30" s="27"/>
      <c r="X30" s="27"/>
      <c r="Y30" s="27"/>
      <c r="Z30" s="27"/>
      <c r="AA30" s="27"/>
      <c r="AB30" s="27"/>
      <c r="AC30" s="27"/>
      <c r="AD30" s="27"/>
      <c r="AE30" s="27"/>
      <c r="AF30" s="27"/>
      <c r="AG30" s="27"/>
      <c r="AH30" s="27"/>
      <c r="AI30" s="27"/>
      <c r="AJ30" s="76"/>
      <c r="AN30" s="76"/>
      <c r="AO30" s="76"/>
      <c r="AP30" s="76"/>
      <c r="AQ30" s="76"/>
      <c r="AR30" s="76"/>
    </row>
    <row r="31" spans="1:45" s="75" customFormat="1" ht="58.5" customHeight="1" x14ac:dyDescent="0.2">
      <c r="A31" s="70"/>
      <c r="B31" s="70"/>
      <c r="C31" s="71"/>
      <c r="D31" s="77"/>
      <c r="E31" s="77"/>
      <c r="F31" s="27"/>
      <c r="G31" s="1438" t="s">
        <v>140</v>
      </c>
      <c r="H31" s="1438"/>
      <c r="I31" s="1438" t="s">
        <v>145</v>
      </c>
      <c r="J31" s="1438"/>
      <c r="K31" s="1438" t="s">
        <v>128</v>
      </c>
      <c r="L31" s="1438"/>
      <c r="Q31" s="27"/>
      <c r="R31" s="27"/>
      <c r="S31" s="27"/>
      <c r="T31" s="27"/>
      <c r="U31" s="27"/>
      <c r="V31" s="27"/>
      <c r="W31" s="27"/>
      <c r="X31" s="27"/>
      <c r="Y31" s="27"/>
      <c r="Z31" s="27"/>
      <c r="AA31" s="27"/>
      <c r="AB31" s="27"/>
      <c r="AC31" s="27"/>
      <c r="AD31" s="27"/>
      <c r="AE31" s="27"/>
      <c r="AF31" s="27"/>
      <c r="AG31" s="27"/>
      <c r="AH31" s="27"/>
      <c r="AI31" s="27"/>
      <c r="AJ31" s="76"/>
      <c r="AN31" s="76"/>
      <c r="AO31" s="76"/>
      <c r="AP31" s="76"/>
      <c r="AQ31" s="76"/>
      <c r="AR31" s="76"/>
    </row>
    <row r="32" spans="1:45" s="75" customFormat="1" x14ac:dyDescent="0.2">
      <c r="A32" s="70"/>
      <c r="B32" s="70"/>
      <c r="C32" s="71"/>
      <c r="D32" s="77"/>
      <c r="E32" s="77"/>
      <c r="F32" s="27"/>
      <c r="G32" s="78">
        <v>991</v>
      </c>
      <c r="H32" s="78">
        <v>992</v>
      </c>
      <c r="I32" s="78">
        <v>991</v>
      </c>
      <c r="J32" s="78">
        <v>992</v>
      </c>
      <c r="K32" s="78">
        <v>991</v>
      </c>
      <c r="L32" s="78">
        <v>992</v>
      </c>
      <c r="Q32" s="27"/>
      <c r="R32" s="27"/>
      <c r="S32" s="27"/>
      <c r="T32" s="27"/>
      <c r="U32" s="27"/>
      <c r="V32" s="27"/>
      <c r="W32" s="27"/>
      <c r="X32" s="27"/>
      <c r="Y32" s="27"/>
      <c r="Z32" s="27"/>
      <c r="AA32" s="27"/>
      <c r="AB32" s="27"/>
      <c r="AC32" s="27"/>
      <c r="AD32" s="27"/>
      <c r="AE32" s="27"/>
      <c r="AF32" s="27"/>
      <c r="AG32" s="27"/>
      <c r="AH32" s="27"/>
      <c r="AI32" s="27"/>
      <c r="AJ32" s="76"/>
      <c r="AN32" s="76"/>
      <c r="AO32" s="76"/>
      <c r="AP32" s="76"/>
      <c r="AQ32" s="76"/>
      <c r="AR32" s="76"/>
    </row>
    <row r="33" spans="1:44" s="75" customFormat="1" x14ac:dyDescent="0.2">
      <c r="A33" s="70"/>
      <c r="B33" s="70"/>
      <c r="C33" s="71"/>
      <c r="D33" s="77"/>
      <c r="E33" s="77"/>
      <c r="F33" s="27"/>
      <c r="G33" s="29">
        <v>18394</v>
      </c>
      <c r="H33" s="29">
        <v>5393.9</v>
      </c>
      <c r="I33" s="29">
        <f>V28</f>
        <v>18394</v>
      </c>
      <c r="J33" s="29">
        <f>W28</f>
        <v>5400.8</v>
      </c>
      <c r="K33" s="29">
        <f>G33-I33</f>
        <v>0</v>
      </c>
      <c r="L33" s="29">
        <f>H33-J33</f>
        <v>-6.9</v>
      </c>
      <c r="Q33" s="27"/>
      <c r="R33" s="27"/>
      <c r="S33" s="27"/>
      <c r="T33" s="27"/>
      <c r="U33" s="27"/>
      <c r="V33" s="27"/>
      <c r="W33" s="27"/>
      <c r="X33" s="27"/>
      <c r="Y33" s="27"/>
      <c r="Z33" s="27"/>
      <c r="AA33" s="27"/>
      <c r="AB33" s="27"/>
      <c r="AC33" s="27"/>
      <c r="AD33" s="27"/>
      <c r="AE33" s="27"/>
      <c r="AF33" s="27"/>
      <c r="AG33" s="27"/>
      <c r="AH33" s="27"/>
      <c r="AI33" s="27"/>
      <c r="AJ33" s="76"/>
      <c r="AN33" s="76"/>
      <c r="AO33" s="76"/>
      <c r="AP33" s="76"/>
      <c r="AQ33" s="76"/>
      <c r="AR33" s="76"/>
    </row>
    <row r="38" spans="1:44" s="35" customFormat="1" ht="20.25" x14ac:dyDescent="0.2">
      <c r="A38" s="81"/>
      <c r="B38" s="82" t="s">
        <v>138</v>
      </c>
      <c r="C38" s="83"/>
      <c r="D38" s="84"/>
      <c r="E38" s="84"/>
      <c r="F38" s="85"/>
      <c r="G38" s="85"/>
      <c r="H38" s="86"/>
      <c r="I38" s="86"/>
      <c r="J38" s="85"/>
      <c r="K38" s="30" t="s">
        <v>166</v>
      </c>
      <c r="L38" s="85"/>
      <c r="M38" s="85"/>
      <c r="N38" s="87"/>
      <c r="O38" s="85"/>
      <c r="P38" s="85"/>
      <c r="Q38" s="85"/>
      <c r="R38" s="85"/>
      <c r="S38" s="85"/>
      <c r="T38" s="85"/>
      <c r="U38" s="85"/>
      <c r="V38" s="85"/>
      <c r="W38" s="85"/>
      <c r="X38" s="85"/>
      <c r="Y38" s="85"/>
      <c r="Z38" s="85"/>
      <c r="AA38" s="85"/>
      <c r="AB38" s="85"/>
      <c r="AC38" s="85"/>
      <c r="AD38" s="85"/>
      <c r="AE38" s="85"/>
      <c r="AF38" s="85"/>
      <c r="AG38" s="85"/>
      <c r="AH38" s="85"/>
      <c r="AI38" s="85"/>
      <c r="AK38" s="88"/>
      <c r="AL38" s="88"/>
      <c r="AM38" s="88"/>
      <c r="AN38" s="88"/>
      <c r="AO38" s="88"/>
    </row>
    <row r="39" spans="1:44" s="143" customFormat="1" x14ac:dyDescent="0.2">
      <c r="A39" s="136"/>
      <c r="B39" s="136"/>
      <c r="C39" s="137"/>
      <c r="D39" s="144"/>
      <c r="E39" s="144"/>
      <c r="F39" s="140"/>
      <c r="G39" s="140"/>
      <c r="H39" s="139"/>
      <c r="I39" s="139"/>
      <c r="J39" s="140"/>
      <c r="K39" s="140"/>
      <c r="L39" s="140"/>
      <c r="M39" s="140"/>
      <c r="N39" s="141"/>
      <c r="O39" s="140"/>
      <c r="P39" s="140"/>
      <c r="Q39" s="140"/>
      <c r="R39" s="140"/>
      <c r="S39" s="140"/>
      <c r="T39" s="140"/>
      <c r="U39" s="140"/>
      <c r="V39" s="140"/>
      <c r="W39" s="140"/>
      <c r="X39" s="140"/>
      <c r="Y39" s="140"/>
      <c r="Z39" s="140"/>
      <c r="AA39" s="140"/>
      <c r="AB39" s="140"/>
      <c r="AC39" s="140"/>
      <c r="AD39" s="140"/>
      <c r="AE39" s="140"/>
      <c r="AF39" s="142"/>
      <c r="AK39" s="142"/>
      <c r="AL39" s="142"/>
      <c r="AM39" s="142"/>
      <c r="AN39" s="76"/>
      <c r="AO39" s="76"/>
      <c r="AP39" s="76"/>
      <c r="AQ39" s="76"/>
      <c r="AR39" s="99"/>
    </row>
    <row r="40" spans="1:44" s="143" customFormat="1" x14ac:dyDescent="0.2">
      <c r="A40" s="136"/>
      <c r="B40" s="136"/>
      <c r="C40" s="137"/>
      <c r="D40" s="144"/>
      <c r="E40" s="144"/>
      <c r="F40" s="140"/>
      <c r="G40" s="140"/>
      <c r="H40" s="139"/>
      <c r="I40" s="139"/>
      <c r="J40" s="140"/>
      <c r="K40" s="140"/>
      <c r="L40" s="140"/>
      <c r="M40" s="140"/>
      <c r="N40" s="202"/>
      <c r="O40" s="203"/>
      <c r="P40" s="140"/>
      <c r="Q40" s="140"/>
      <c r="R40" s="140"/>
      <c r="S40" s="140"/>
      <c r="T40" s="140"/>
      <c r="U40" s="140"/>
      <c r="V40" s="140"/>
      <c r="W40" s="140"/>
      <c r="X40" s="140"/>
      <c r="Y40" s="140"/>
      <c r="Z40" s="140"/>
      <c r="AA40" s="140"/>
      <c r="AB40" s="140"/>
      <c r="AC40" s="140"/>
      <c r="AD40" s="140"/>
      <c r="AE40" s="140"/>
      <c r="AF40" s="142"/>
      <c r="AK40" s="142"/>
      <c r="AL40" s="142"/>
      <c r="AM40" s="142"/>
      <c r="AN40" s="76"/>
      <c r="AO40" s="76"/>
      <c r="AP40" s="76"/>
      <c r="AQ40" s="76"/>
      <c r="AR40" s="252"/>
    </row>
    <row r="41" spans="1:44" s="143" customFormat="1" ht="20.25" customHeight="1" x14ac:dyDescent="0.2">
      <c r="A41" s="145" t="s">
        <v>96</v>
      </c>
      <c r="B41" s="145"/>
      <c r="C41" s="146"/>
      <c r="D41" s="146"/>
      <c r="E41" s="146"/>
      <c r="F41" s="146"/>
      <c r="G41" s="146"/>
      <c r="H41" s="146"/>
      <c r="I41" s="146"/>
      <c r="J41" s="146"/>
      <c r="K41" s="146"/>
      <c r="L41" s="147"/>
      <c r="M41" s="147"/>
      <c r="N41" s="202"/>
      <c r="O41" s="203"/>
      <c r="P41" s="147"/>
      <c r="Q41" s="147"/>
      <c r="R41" s="147"/>
      <c r="S41" s="147"/>
      <c r="T41" s="147"/>
      <c r="U41" s="147"/>
      <c r="V41" s="147"/>
      <c r="W41" s="147"/>
      <c r="X41" s="147"/>
      <c r="Y41" s="147"/>
      <c r="Z41" s="147"/>
      <c r="AA41" s="147"/>
      <c r="AB41" s="147"/>
      <c r="AC41" s="147"/>
      <c r="AD41" s="147"/>
      <c r="AE41" s="147"/>
      <c r="AF41" s="142"/>
      <c r="AK41" s="142"/>
      <c r="AL41" s="142"/>
      <c r="AM41" s="142"/>
      <c r="AN41" s="76"/>
      <c r="AO41" s="76"/>
      <c r="AP41" s="76"/>
      <c r="AQ41" s="76"/>
      <c r="AR41" s="99"/>
    </row>
    <row r="42" spans="1:44" s="143" customFormat="1" ht="20.25" customHeight="1" x14ac:dyDescent="0.2">
      <c r="A42" s="145" t="s">
        <v>139</v>
      </c>
      <c r="B42" s="149"/>
      <c r="C42" s="150"/>
      <c r="D42" s="150"/>
      <c r="E42" s="151"/>
      <c r="F42" s="151"/>
      <c r="G42" s="151"/>
      <c r="H42" s="151"/>
      <c r="I42" s="151"/>
      <c r="J42" s="151"/>
      <c r="K42" s="151"/>
      <c r="L42" s="147"/>
      <c r="M42" s="147"/>
      <c r="N42" s="202"/>
      <c r="O42" s="203"/>
      <c r="P42" s="147"/>
      <c r="Q42" s="147"/>
      <c r="R42" s="147"/>
      <c r="S42" s="147"/>
      <c r="T42" s="147"/>
      <c r="U42" s="147"/>
      <c r="V42" s="147"/>
      <c r="W42" s="147"/>
      <c r="X42" s="147"/>
      <c r="Y42" s="147"/>
      <c r="Z42" s="147"/>
      <c r="AA42" s="147"/>
      <c r="AB42" s="147"/>
      <c r="AC42" s="147"/>
      <c r="AD42" s="147"/>
      <c r="AE42" s="147"/>
      <c r="AF42" s="142"/>
      <c r="AK42" s="142"/>
      <c r="AL42" s="142"/>
      <c r="AM42" s="142"/>
      <c r="AN42" s="76"/>
      <c r="AO42" s="76"/>
      <c r="AP42" s="76"/>
      <c r="AQ42" s="76"/>
      <c r="AR42" s="252"/>
    </row>
    <row r="44" spans="1:44" x14ac:dyDescent="0.2">
      <c r="E44" s="115"/>
    </row>
    <row r="45" spans="1:44" x14ac:dyDescent="0.2">
      <c r="E45" s="115"/>
    </row>
    <row r="46" spans="1:44" x14ac:dyDescent="0.2">
      <c r="E46" s="115"/>
      <c r="Y46" s="99" t="s">
        <v>124</v>
      </c>
    </row>
    <row r="47" spans="1:44" x14ac:dyDescent="0.2">
      <c r="E47" s="115"/>
    </row>
    <row r="48" spans="1:44" x14ac:dyDescent="0.2">
      <c r="E48" s="115"/>
    </row>
    <row r="49" spans="5:5" x14ac:dyDescent="0.2">
      <c r="E49" s="115"/>
    </row>
    <row r="50" spans="5:5" x14ac:dyDescent="0.2">
      <c r="E50" s="115"/>
    </row>
    <row r="51" spans="5:5" x14ac:dyDescent="0.2">
      <c r="E51" s="115"/>
    </row>
    <row r="52" spans="5:5" x14ac:dyDescent="0.2">
      <c r="E52" s="115"/>
    </row>
    <row r="53" spans="5:5" x14ac:dyDescent="0.2">
      <c r="E53" s="115"/>
    </row>
    <row r="54" spans="5:5" x14ac:dyDescent="0.2">
      <c r="E54" s="115"/>
    </row>
    <row r="55" spans="5:5" x14ac:dyDescent="0.2">
      <c r="E55" s="115"/>
    </row>
    <row r="56" spans="5:5" x14ac:dyDescent="0.2">
      <c r="E56" s="115"/>
    </row>
    <row r="57" spans="5:5" x14ac:dyDescent="0.2">
      <c r="E57" s="115"/>
    </row>
    <row r="58" spans="5:5" x14ac:dyDescent="0.2">
      <c r="E58" s="115"/>
    </row>
    <row r="59" spans="5:5" x14ac:dyDescent="0.2">
      <c r="E59" s="115"/>
    </row>
    <row r="60" spans="5:5" x14ac:dyDescent="0.2">
      <c r="E60" s="115"/>
    </row>
    <row r="61" spans="5:5" x14ac:dyDescent="0.2">
      <c r="E61" s="115"/>
    </row>
    <row r="62" spans="5:5" x14ac:dyDescent="0.2">
      <c r="E62" s="115"/>
    </row>
    <row r="63" spans="5:5" x14ac:dyDescent="0.2">
      <c r="E63" s="115"/>
    </row>
    <row r="64" spans="5:5" x14ac:dyDescent="0.2">
      <c r="E64" s="115"/>
    </row>
    <row r="65" spans="5:5" x14ac:dyDescent="0.2">
      <c r="E65" s="115"/>
    </row>
    <row r="66" spans="5:5" x14ac:dyDescent="0.2">
      <c r="E66" s="115"/>
    </row>
    <row r="67" spans="5:5" x14ac:dyDescent="0.2">
      <c r="E67" s="115"/>
    </row>
    <row r="68" spans="5:5" x14ac:dyDescent="0.2">
      <c r="E68" s="115"/>
    </row>
  </sheetData>
  <autoFilter ref="A8:AS28"/>
  <mergeCells count="37">
    <mergeCell ref="G31:H31"/>
    <mergeCell ref="AA6:AC6"/>
    <mergeCell ref="AD6:AF6"/>
    <mergeCell ref="K6:K7"/>
    <mergeCell ref="AH6:AH7"/>
    <mergeCell ref="U9:U27"/>
    <mergeCell ref="W6:W7"/>
    <mergeCell ref="X6:Z6"/>
    <mergeCell ref="I31:J31"/>
    <mergeCell ref="K31:L31"/>
    <mergeCell ref="AG6:AG7"/>
    <mergeCell ref="A28:B28"/>
    <mergeCell ref="S6:S7"/>
    <mergeCell ref="T6:T7"/>
    <mergeCell ref="U6:U7"/>
    <mergeCell ref="V6:V7"/>
    <mergeCell ref="L6:L7"/>
    <mergeCell ref="M6:M7"/>
    <mergeCell ref="N6:O6"/>
    <mergeCell ref="P6:P7"/>
    <mergeCell ref="Q6:Q7"/>
    <mergeCell ref="G6:G7"/>
    <mergeCell ref="H6:H7"/>
    <mergeCell ref="I6:I7"/>
    <mergeCell ref="J6:J7"/>
    <mergeCell ref="X5:AH5"/>
    <mergeCell ref="R6:R7"/>
    <mergeCell ref="AE1:AH1"/>
    <mergeCell ref="A2:AH2"/>
    <mergeCell ref="A3:AH3"/>
    <mergeCell ref="A5:A7"/>
    <mergeCell ref="B5:B7"/>
    <mergeCell ref="C5:C7"/>
    <mergeCell ref="D5:W5"/>
    <mergeCell ref="D6:D7"/>
    <mergeCell ref="E6:E7"/>
    <mergeCell ref="F6:F7"/>
  </mergeCells>
  <printOptions horizontalCentered="1"/>
  <pageMargins left="0" right="0" top="0" bottom="0" header="0.31496062992125984" footer="0.31496062992125984"/>
  <pageSetup paperSize="9" scale="37" orientation="landscape"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P74"/>
  <sheetViews>
    <sheetView view="pageBreakPreview" zoomScale="70" zoomScaleNormal="80" zoomScaleSheetLayoutView="70" workbookViewId="0">
      <pane xSplit="3" ySplit="8" topLeftCell="V9"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2.75" x14ac:dyDescent="0.2"/>
  <cols>
    <col min="1" max="1" width="8" style="33" customWidth="1"/>
    <col min="2" max="2" width="30.83203125" style="22" customWidth="1"/>
    <col min="3" max="3" width="13.83203125" style="22" customWidth="1"/>
    <col min="4" max="4" width="13.1640625" style="22" customWidth="1"/>
    <col min="5" max="5" width="13" style="22" customWidth="1"/>
    <col min="6" max="6" width="14.6640625" style="22" customWidth="1"/>
    <col min="7" max="7" width="13.1640625" style="22" customWidth="1"/>
    <col min="8" max="8" width="15.6640625" style="22" customWidth="1"/>
    <col min="9" max="9" width="13.5" style="22" customWidth="1"/>
    <col min="10" max="10" width="20.33203125" style="22" customWidth="1"/>
    <col min="11" max="11" width="13" style="22" customWidth="1"/>
    <col min="12" max="16" width="14.83203125" style="22" customWidth="1"/>
    <col min="17" max="17" width="12.33203125" style="22" customWidth="1"/>
    <col min="18" max="18" width="13" style="22" customWidth="1"/>
    <col min="19" max="19" width="18.1640625" style="22" customWidth="1"/>
    <col min="20" max="20" width="14.83203125" style="22" customWidth="1"/>
    <col min="21" max="21" width="14" style="22" customWidth="1"/>
    <col min="22" max="22" width="15.6640625" style="22" customWidth="1"/>
    <col min="23" max="23" width="14.5" style="22" customWidth="1"/>
    <col min="24" max="24" width="11.33203125" style="22" customWidth="1"/>
    <col min="25" max="25" width="11" style="22" customWidth="1"/>
    <col min="26" max="26" width="11.5" style="22" customWidth="1"/>
    <col min="27" max="28" width="9.33203125" style="22" customWidth="1"/>
    <col min="29" max="29" width="10.1640625" style="22" customWidth="1"/>
    <col min="30" max="30" width="8.5" style="22" customWidth="1"/>
    <col min="31" max="31" width="10.83203125" style="22" customWidth="1"/>
    <col min="32" max="32" width="10.33203125" style="22" customWidth="1"/>
    <col min="33" max="33" width="11.5" style="22" customWidth="1"/>
    <col min="34" max="34" width="13.83203125" style="22" customWidth="1"/>
    <col min="35" max="35" width="12" style="34" customWidth="1"/>
    <col min="36" max="36" width="17.83203125" style="22" customWidth="1"/>
    <col min="37" max="37" width="14" style="22" bestFit="1" customWidth="1"/>
    <col min="38" max="39" width="9.5" style="22" bestFit="1" customWidth="1"/>
    <col min="40" max="40" width="11.5" style="22" bestFit="1" customWidth="1"/>
    <col min="41" max="41" width="9.33203125" style="22"/>
    <col min="42" max="42" width="9.5" style="22" bestFit="1" customWidth="1"/>
    <col min="43" max="16384" width="9.33203125" style="22"/>
  </cols>
  <sheetData>
    <row r="1" spans="1:42" ht="21.75" customHeight="1" x14ac:dyDescent="0.2">
      <c r="AE1" s="1427"/>
      <c r="AF1" s="1427"/>
      <c r="AG1" s="1427"/>
      <c r="AH1" s="1427"/>
    </row>
    <row r="2" spans="1:42" ht="33" customHeight="1" x14ac:dyDescent="0.2">
      <c r="A2" s="1428" t="s">
        <v>153</v>
      </c>
      <c r="B2" s="1428"/>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8"/>
      <c r="AA2" s="1428"/>
      <c r="AB2" s="1428"/>
      <c r="AC2" s="1428"/>
      <c r="AD2" s="1428"/>
      <c r="AE2" s="1428"/>
      <c r="AF2" s="1428"/>
      <c r="AG2" s="1428"/>
      <c r="AH2" s="1428"/>
      <c r="AI2" s="36"/>
    </row>
    <row r="3" spans="1:42" ht="24.75" customHeight="1" x14ac:dyDescent="0.2">
      <c r="A3" s="1429"/>
      <c r="B3" s="1429"/>
      <c r="C3" s="1429"/>
      <c r="D3" s="1429"/>
      <c r="E3" s="1429"/>
      <c r="F3" s="1429"/>
      <c r="G3" s="1429"/>
      <c r="H3" s="1429"/>
      <c r="I3" s="1429"/>
      <c r="J3" s="1429"/>
      <c r="K3" s="1429"/>
      <c r="L3" s="1429"/>
      <c r="M3" s="1429"/>
      <c r="N3" s="1429"/>
      <c r="O3" s="1429"/>
      <c r="P3" s="1429"/>
      <c r="Q3" s="1429"/>
      <c r="R3" s="1429"/>
      <c r="S3" s="1429"/>
      <c r="T3" s="1429"/>
      <c r="U3" s="1429"/>
      <c r="V3" s="1429"/>
      <c r="W3" s="1429"/>
      <c r="X3" s="1429"/>
      <c r="Y3" s="1429"/>
      <c r="Z3" s="1429"/>
      <c r="AA3" s="1429"/>
      <c r="AB3" s="1429"/>
      <c r="AC3" s="1429"/>
      <c r="AD3" s="1429"/>
      <c r="AE3" s="1429"/>
      <c r="AF3" s="1429"/>
      <c r="AG3" s="1429"/>
      <c r="AH3" s="1429"/>
      <c r="AI3" s="283"/>
    </row>
    <row r="4" spans="1:42" x14ac:dyDescent="0.2">
      <c r="L4" s="22">
        <v>0.32216</v>
      </c>
      <c r="O4" s="39"/>
      <c r="P4" s="39"/>
    </row>
    <row r="5" spans="1:42" ht="38.25" customHeight="1" x14ac:dyDescent="0.2">
      <c r="A5" s="1430" t="s">
        <v>78</v>
      </c>
      <c r="B5" s="1430" t="s">
        <v>77</v>
      </c>
      <c r="C5" s="1431" t="s">
        <v>0</v>
      </c>
      <c r="D5" s="1431" t="s">
        <v>3</v>
      </c>
      <c r="E5" s="1431"/>
      <c r="F5" s="1431"/>
      <c r="G5" s="1431"/>
      <c r="H5" s="1431"/>
      <c r="I5" s="1431"/>
      <c r="J5" s="1431"/>
      <c r="K5" s="1431"/>
      <c r="L5" s="1431"/>
      <c r="M5" s="1431"/>
      <c r="N5" s="1431"/>
      <c r="O5" s="1431"/>
      <c r="P5" s="1431"/>
      <c r="Q5" s="1431"/>
      <c r="R5" s="1431"/>
      <c r="S5" s="1431"/>
      <c r="T5" s="1431"/>
      <c r="U5" s="1431"/>
      <c r="V5" s="1431"/>
      <c r="W5" s="1431"/>
      <c r="X5" s="1431" t="s">
        <v>4</v>
      </c>
      <c r="Y5" s="1431"/>
      <c r="Z5" s="1431"/>
      <c r="AA5" s="1431"/>
      <c r="AB5" s="1431"/>
      <c r="AC5" s="1431"/>
      <c r="AD5" s="1431"/>
      <c r="AE5" s="1431"/>
      <c r="AF5" s="1431"/>
      <c r="AG5" s="1431"/>
      <c r="AH5" s="1431"/>
    </row>
    <row r="6" spans="1:42" ht="60" customHeight="1" x14ac:dyDescent="0.2">
      <c r="A6" s="1430"/>
      <c r="B6" s="1430"/>
      <c r="C6" s="1431"/>
      <c r="D6" s="1423" t="s">
        <v>79</v>
      </c>
      <c r="E6" s="1423" t="s">
        <v>69</v>
      </c>
      <c r="F6" s="1423" t="s">
        <v>89</v>
      </c>
      <c r="G6" s="1423" t="s">
        <v>1</v>
      </c>
      <c r="H6" s="1423" t="s">
        <v>2</v>
      </c>
      <c r="I6" s="1423" t="s">
        <v>70</v>
      </c>
      <c r="J6" s="1423" t="s">
        <v>61</v>
      </c>
      <c r="K6" s="1423" t="s">
        <v>27</v>
      </c>
      <c r="L6" s="1426" t="s">
        <v>65</v>
      </c>
      <c r="M6" s="1426" t="s">
        <v>86</v>
      </c>
      <c r="N6" s="1432" t="s">
        <v>90</v>
      </c>
      <c r="O6" s="1432"/>
      <c r="P6" s="1432" t="s">
        <v>88</v>
      </c>
      <c r="Q6" s="1426" t="s">
        <v>82</v>
      </c>
      <c r="R6" s="1423" t="s">
        <v>83</v>
      </c>
      <c r="S6" s="1426" t="s">
        <v>87</v>
      </c>
      <c r="T6" s="1423" t="s">
        <v>84</v>
      </c>
      <c r="U6" s="1423" t="s">
        <v>9</v>
      </c>
      <c r="V6" s="1423" t="s">
        <v>7</v>
      </c>
      <c r="W6" s="1423" t="s">
        <v>85</v>
      </c>
      <c r="X6" s="1431" t="s">
        <v>10</v>
      </c>
      <c r="Y6" s="1431"/>
      <c r="Z6" s="1431"/>
      <c r="AA6" s="1431" t="s">
        <v>11</v>
      </c>
      <c r="AB6" s="1431"/>
      <c r="AC6" s="1431"/>
      <c r="AD6" s="1431" t="s">
        <v>12</v>
      </c>
      <c r="AE6" s="1431"/>
      <c r="AF6" s="1431"/>
      <c r="AG6" s="1431" t="s">
        <v>13</v>
      </c>
      <c r="AH6" s="1431" t="s">
        <v>73</v>
      </c>
    </row>
    <row r="7" spans="1:42" ht="57" customHeight="1" x14ac:dyDescent="0.2">
      <c r="A7" s="1430"/>
      <c r="B7" s="1430"/>
      <c r="C7" s="1431"/>
      <c r="D7" s="1423"/>
      <c r="E7" s="1423"/>
      <c r="F7" s="1423"/>
      <c r="G7" s="1423"/>
      <c r="H7" s="1423"/>
      <c r="I7" s="1423"/>
      <c r="J7" s="1423"/>
      <c r="K7" s="1423"/>
      <c r="L7" s="1426" t="s">
        <v>66</v>
      </c>
      <c r="M7" s="1426"/>
      <c r="N7" s="281" t="s">
        <v>80</v>
      </c>
      <c r="O7" s="281" t="s">
        <v>81</v>
      </c>
      <c r="P7" s="1432"/>
      <c r="Q7" s="1426"/>
      <c r="R7" s="1423"/>
      <c r="S7" s="1426" t="s">
        <v>67</v>
      </c>
      <c r="T7" s="1423"/>
      <c r="U7" s="1423"/>
      <c r="V7" s="1423"/>
      <c r="W7" s="1423"/>
      <c r="X7" s="280" t="s">
        <v>5</v>
      </c>
      <c r="Y7" s="280" t="s">
        <v>6</v>
      </c>
      <c r="Z7" s="280" t="s">
        <v>74</v>
      </c>
      <c r="AA7" s="280" t="s">
        <v>5</v>
      </c>
      <c r="AB7" s="280" t="s">
        <v>6</v>
      </c>
      <c r="AC7" s="280" t="s">
        <v>75</v>
      </c>
      <c r="AD7" s="280" t="s">
        <v>5</v>
      </c>
      <c r="AE7" s="280" t="s">
        <v>6</v>
      </c>
      <c r="AF7" s="280" t="s">
        <v>76</v>
      </c>
      <c r="AG7" s="1431"/>
      <c r="AH7" s="1431"/>
      <c r="AJ7" s="33" t="s">
        <v>64</v>
      </c>
    </row>
    <row r="8" spans="1:42" ht="12.75" customHeight="1" x14ac:dyDescent="0.2">
      <c r="A8" s="278">
        <v>1</v>
      </c>
      <c r="B8" s="278">
        <v>2</v>
      </c>
      <c r="C8" s="278">
        <v>3</v>
      </c>
      <c r="D8" s="278">
        <v>4</v>
      </c>
      <c r="E8" s="278">
        <v>5</v>
      </c>
      <c r="F8" s="278">
        <v>6</v>
      </c>
      <c r="G8" s="278">
        <v>7</v>
      </c>
      <c r="H8" s="278">
        <v>8</v>
      </c>
      <c r="I8" s="278">
        <v>9</v>
      </c>
      <c r="J8" s="278">
        <v>10</v>
      </c>
      <c r="K8" s="278">
        <v>11</v>
      </c>
      <c r="L8" s="278">
        <v>12</v>
      </c>
      <c r="M8" s="278">
        <v>13</v>
      </c>
      <c r="N8" s="278">
        <v>14</v>
      </c>
      <c r="O8" s="278">
        <v>15</v>
      </c>
      <c r="P8" s="278">
        <v>16</v>
      </c>
      <c r="Q8" s="278">
        <v>17</v>
      </c>
      <c r="R8" s="278">
        <v>18</v>
      </c>
      <c r="S8" s="278">
        <v>19</v>
      </c>
      <c r="T8" s="278">
        <v>20</v>
      </c>
      <c r="U8" s="278">
        <v>21</v>
      </c>
      <c r="V8" s="278">
        <v>22</v>
      </c>
      <c r="W8" s="278">
        <v>23</v>
      </c>
      <c r="X8" s="278">
        <v>24</v>
      </c>
      <c r="Y8" s="278">
        <v>25</v>
      </c>
      <c r="Z8" s="278">
        <v>26</v>
      </c>
      <c r="AA8" s="278">
        <v>27</v>
      </c>
      <c r="AB8" s="278">
        <v>28</v>
      </c>
      <c r="AC8" s="278">
        <v>29</v>
      </c>
      <c r="AD8" s="278">
        <v>30</v>
      </c>
      <c r="AE8" s="278">
        <v>31</v>
      </c>
      <c r="AF8" s="278">
        <v>32</v>
      </c>
      <c r="AG8" s="278">
        <v>33</v>
      </c>
      <c r="AH8" s="278">
        <v>34</v>
      </c>
      <c r="AK8" s="43" t="s">
        <v>116</v>
      </c>
      <c r="AL8" s="43" t="s">
        <v>117</v>
      </c>
      <c r="AM8" s="43" t="s">
        <v>118</v>
      </c>
      <c r="AN8" s="43" t="s">
        <v>119</v>
      </c>
    </row>
    <row r="9" spans="1:42" ht="27" customHeight="1" x14ac:dyDescent="0.2">
      <c r="A9" s="278">
        <v>1</v>
      </c>
      <c r="B9" s="44" t="s">
        <v>21</v>
      </c>
      <c r="C9" s="278">
        <v>1</v>
      </c>
      <c r="D9" s="45">
        <v>21.991</v>
      </c>
      <c r="E9" s="46">
        <f>C9*D9</f>
        <v>21.99</v>
      </c>
      <c r="F9" s="47">
        <f>E9*12</f>
        <v>263.89999999999998</v>
      </c>
      <c r="G9" s="24"/>
      <c r="H9" s="24"/>
      <c r="I9" s="24"/>
      <c r="J9" s="24"/>
      <c r="K9" s="24">
        <f>D9*0.3*12+0.05*9</f>
        <v>79.599999999999994</v>
      </c>
      <c r="L9" s="24">
        <f>F9*$L$4</f>
        <v>85</v>
      </c>
      <c r="M9" s="24">
        <f t="shared" ref="M9:M27" si="0">F9+G9+H9+I9+J9+K9+L9</f>
        <v>428.5</v>
      </c>
      <c r="N9" s="48">
        <v>1.1100000000000001</v>
      </c>
      <c r="O9" s="24">
        <f t="shared" ref="O9:O27" si="1">M9*N9</f>
        <v>475.6</v>
      </c>
      <c r="P9" s="24">
        <f>M9+O9</f>
        <v>904.1</v>
      </c>
      <c r="Q9" s="24">
        <f>P9*0.8</f>
        <v>723.3</v>
      </c>
      <c r="R9" s="24">
        <f t="shared" ref="R9:R27" si="2">P9*0.8</f>
        <v>723.3</v>
      </c>
      <c r="S9" s="24">
        <f>(P9+Q9+R9)*0.032</f>
        <v>75.2</v>
      </c>
      <c r="T9" s="49">
        <f t="shared" ref="T9:T27" si="3">P9+Q9+R9+S9</f>
        <v>2425.9</v>
      </c>
      <c r="U9" s="1424">
        <v>1</v>
      </c>
      <c r="V9" s="49">
        <f>T9*$U$9</f>
        <v>2425.9</v>
      </c>
      <c r="W9" s="49">
        <f>AN9</f>
        <v>534.29999999999995</v>
      </c>
      <c r="X9" s="278">
        <v>1</v>
      </c>
      <c r="Y9" s="24">
        <v>30</v>
      </c>
      <c r="Z9" s="48">
        <f t="shared" ref="Z9:Z25" si="4">X9*Y9</f>
        <v>30</v>
      </c>
      <c r="AA9" s="278"/>
      <c r="AB9" s="24">
        <v>15</v>
      </c>
      <c r="AC9" s="48">
        <f t="shared" ref="AC9:AC25" si="5">AA9*AB9</f>
        <v>0</v>
      </c>
      <c r="AD9" s="278"/>
      <c r="AE9" s="24">
        <v>30</v>
      </c>
      <c r="AF9" s="48">
        <f t="shared" ref="AF9:AF25" si="6">AD9*AE9</f>
        <v>0</v>
      </c>
      <c r="AG9" s="48">
        <f t="shared" ref="AG9:AG25" si="7">(Z9+AC9+AF9)*1%*30</f>
        <v>9</v>
      </c>
      <c r="AH9" s="48">
        <f t="shared" ref="AH9:AH25" si="8">Z9+AC9+AF9+AG9</f>
        <v>39</v>
      </c>
      <c r="AI9" s="34">
        <f t="shared" ref="AI9:AI27" si="9">V9/12/C9*1000</f>
        <v>202158.3</v>
      </c>
      <c r="AJ9" s="34">
        <f t="shared" ref="AJ9:AJ27" si="10">V9/C9</f>
        <v>2425.9</v>
      </c>
      <c r="AK9" s="50">
        <f>1150*0.22*C9+(V9-1150*C9)*0.1</f>
        <v>380.6</v>
      </c>
      <c r="AL9" s="50">
        <f>865*0.029*C9</f>
        <v>25.1</v>
      </c>
      <c r="AM9" s="50">
        <f t="shared" ref="AM9:AM27" si="11">V9*0.053</f>
        <v>128.6</v>
      </c>
      <c r="AN9" s="50">
        <f>SUM(AK9:AM9)</f>
        <v>534.29999999999995</v>
      </c>
      <c r="AP9" s="51"/>
    </row>
    <row r="10" spans="1:42" ht="27" customHeight="1" x14ac:dyDescent="0.2">
      <c r="A10" s="278">
        <v>2</v>
      </c>
      <c r="B10" s="44" t="s">
        <v>125</v>
      </c>
      <c r="C10" s="278">
        <v>3</v>
      </c>
      <c r="D10" s="45">
        <v>15.394</v>
      </c>
      <c r="E10" s="46">
        <f>C10*D10</f>
        <v>46.18</v>
      </c>
      <c r="F10" s="47">
        <f>E10*12</f>
        <v>554.20000000000005</v>
      </c>
      <c r="G10" s="24"/>
      <c r="H10" s="24"/>
      <c r="I10" s="24"/>
      <c r="J10" s="24"/>
      <c r="K10" s="24">
        <f>D10*0.2*2*12+D10*0.4*12+D10*0.05*3</f>
        <v>150.1</v>
      </c>
      <c r="L10" s="24">
        <f t="shared" ref="L10:L25" si="12">F10*$L$4</f>
        <v>178.5</v>
      </c>
      <c r="M10" s="24">
        <f>F10+G10+H10+I10+J10+K10+L10</f>
        <v>882.8</v>
      </c>
      <c r="N10" s="48">
        <v>0.47</v>
      </c>
      <c r="O10" s="24">
        <f>M10*N10</f>
        <v>414.9</v>
      </c>
      <c r="P10" s="24">
        <f>M10+O10</f>
        <v>1297.7</v>
      </c>
      <c r="Q10" s="24">
        <f>P10*0.8</f>
        <v>1038.2</v>
      </c>
      <c r="R10" s="24">
        <f>P10*0.8</f>
        <v>1038.2</v>
      </c>
      <c r="S10" s="24">
        <f>(P10+Q10+R10)*0.032</f>
        <v>108</v>
      </c>
      <c r="T10" s="49">
        <f>P10+Q10+R10+S10</f>
        <v>3482.1</v>
      </c>
      <c r="U10" s="1425"/>
      <c r="V10" s="49">
        <f>T10*$U$9</f>
        <v>3482.1</v>
      </c>
      <c r="W10" s="49">
        <f>AN10</f>
        <v>1022.1</v>
      </c>
      <c r="X10" s="278">
        <v>2</v>
      </c>
      <c r="Y10" s="24">
        <v>30</v>
      </c>
      <c r="Z10" s="48">
        <f>X10*Y10</f>
        <v>60</v>
      </c>
      <c r="AA10" s="278">
        <v>1</v>
      </c>
      <c r="AB10" s="24">
        <v>15</v>
      </c>
      <c r="AC10" s="48">
        <f>AA10*AB10</f>
        <v>15</v>
      </c>
      <c r="AD10" s="278">
        <v>3</v>
      </c>
      <c r="AE10" s="24">
        <v>30</v>
      </c>
      <c r="AF10" s="48">
        <f>AD10*AE10</f>
        <v>90</v>
      </c>
      <c r="AG10" s="48">
        <f>(Z10+AC10+AF10)*1%*30</f>
        <v>49.5</v>
      </c>
      <c r="AH10" s="48">
        <f>Z10+AC10+AF10+AG10</f>
        <v>214.5</v>
      </c>
      <c r="AI10" s="34">
        <f t="shared" si="9"/>
        <v>96725</v>
      </c>
      <c r="AJ10" s="34">
        <f t="shared" si="10"/>
        <v>1160.7</v>
      </c>
      <c r="AK10" s="50">
        <f>1150*0.22*C10+(V10-1150*C10)*0.1</f>
        <v>762.2</v>
      </c>
      <c r="AL10" s="50">
        <f>865*0.029*C10</f>
        <v>75.3</v>
      </c>
      <c r="AM10" s="50">
        <f t="shared" si="11"/>
        <v>184.6</v>
      </c>
      <c r="AN10" s="50">
        <f>SUM(AK10:AM10)</f>
        <v>1022.1</v>
      </c>
      <c r="AP10" s="51"/>
    </row>
    <row r="11" spans="1:42" ht="27" customHeight="1" x14ac:dyDescent="0.2">
      <c r="A11" s="278">
        <v>3</v>
      </c>
      <c r="B11" s="52" t="s">
        <v>23</v>
      </c>
      <c r="C11" s="278">
        <v>7</v>
      </c>
      <c r="D11" s="53">
        <v>11.061999999999999</v>
      </c>
      <c r="E11" s="46">
        <f t="shared" ref="E11:E27" si="13">C11*D11</f>
        <v>77.430000000000007</v>
      </c>
      <c r="F11" s="47">
        <f t="shared" ref="F11:F27" si="14">E11*12</f>
        <v>929.2</v>
      </c>
      <c r="G11" s="24"/>
      <c r="H11" s="24">
        <f>(6470.9+1198.32)/1000</f>
        <v>7.7</v>
      </c>
      <c r="I11" s="24"/>
      <c r="J11" s="24"/>
      <c r="K11" s="24">
        <f>D11*0.25*12+D11*0.35*12+D11*0.4*4*12</f>
        <v>292</v>
      </c>
      <c r="L11" s="24">
        <f t="shared" si="12"/>
        <v>299.39999999999998</v>
      </c>
      <c r="M11" s="24">
        <f t="shared" si="0"/>
        <v>1528.3</v>
      </c>
      <c r="N11" s="48">
        <v>0.43</v>
      </c>
      <c r="O11" s="24">
        <f t="shared" si="1"/>
        <v>657.2</v>
      </c>
      <c r="P11" s="24">
        <f t="shared" ref="P11:P27" si="15">M11+O11</f>
        <v>2185.5</v>
      </c>
      <c r="Q11" s="24">
        <f t="shared" ref="Q11:Q27" si="16">P11*0.8</f>
        <v>1748.4</v>
      </c>
      <c r="R11" s="24">
        <f t="shared" si="2"/>
        <v>1748.4</v>
      </c>
      <c r="S11" s="24">
        <f t="shared" ref="S11:S27" si="17">(P11+Q11+R11)*0.032</f>
        <v>181.8</v>
      </c>
      <c r="T11" s="49">
        <f t="shared" si="3"/>
        <v>5864.1</v>
      </c>
      <c r="U11" s="1425"/>
      <c r="V11" s="49">
        <f t="shared" ref="V11:V25" si="18">T11*$U$9</f>
        <v>5864.1</v>
      </c>
      <c r="W11" s="49">
        <f>V11*0.302</f>
        <v>1771</v>
      </c>
      <c r="X11" s="278">
        <v>2</v>
      </c>
      <c r="Y11" s="24">
        <v>30</v>
      </c>
      <c r="Z11" s="48">
        <f t="shared" si="4"/>
        <v>60</v>
      </c>
      <c r="AA11" s="278">
        <v>3</v>
      </c>
      <c r="AB11" s="24">
        <v>15</v>
      </c>
      <c r="AC11" s="48">
        <f t="shared" si="5"/>
        <v>45</v>
      </c>
      <c r="AD11" s="278"/>
      <c r="AE11" s="24">
        <v>30</v>
      </c>
      <c r="AF11" s="48">
        <f t="shared" si="6"/>
        <v>0</v>
      </c>
      <c r="AG11" s="48">
        <f>(Z11+AC11+AF11)*1%*30</f>
        <v>31.5</v>
      </c>
      <c r="AH11" s="48">
        <f t="shared" si="8"/>
        <v>136.5</v>
      </c>
      <c r="AI11" s="34">
        <f t="shared" si="9"/>
        <v>69810.7</v>
      </c>
      <c r="AJ11" s="34">
        <f t="shared" si="10"/>
        <v>837.7</v>
      </c>
      <c r="AK11" s="50">
        <f t="shared" ref="AK11:AK27" si="19">V11*0.22</f>
        <v>1290.0999999999999</v>
      </c>
      <c r="AL11" s="50">
        <f>865*0.029*C11</f>
        <v>175.6</v>
      </c>
      <c r="AM11" s="50">
        <f t="shared" si="11"/>
        <v>310.8</v>
      </c>
      <c r="AN11" s="50">
        <f t="shared" ref="AN11:AN27" si="20">SUM(AK11:AM11)</f>
        <v>1776.5</v>
      </c>
      <c r="AP11" s="51"/>
    </row>
    <row r="12" spans="1:42" ht="27" customHeight="1" x14ac:dyDescent="0.2">
      <c r="A12" s="278">
        <v>4</v>
      </c>
      <c r="B12" s="52" t="s">
        <v>134</v>
      </c>
      <c r="C12" s="278">
        <v>1</v>
      </c>
      <c r="D12" s="53">
        <v>11.061999999999999</v>
      </c>
      <c r="E12" s="46">
        <f t="shared" si="13"/>
        <v>11.06</v>
      </c>
      <c r="F12" s="47">
        <f t="shared" si="14"/>
        <v>132.69999999999999</v>
      </c>
      <c r="G12" s="24"/>
      <c r="H12" s="24">
        <f>1078.5/1000</f>
        <v>1.1000000000000001</v>
      </c>
      <c r="I12" s="24"/>
      <c r="J12" s="24"/>
      <c r="K12" s="24"/>
      <c r="L12" s="24">
        <f t="shared" si="12"/>
        <v>42.8</v>
      </c>
      <c r="M12" s="24">
        <f t="shared" si="0"/>
        <v>176.6</v>
      </c>
      <c r="N12" s="48">
        <v>0.43</v>
      </c>
      <c r="O12" s="24">
        <f t="shared" si="1"/>
        <v>75.900000000000006</v>
      </c>
      <c r="P12" s="24">
        <f t="shared" si="15"/>
        <v>252.5</v>
      </c>
      <c r="Q12" s="24">
        <f t="shared" si="16"/>
        <v>202</v>
      </c>
      <c r="R12" s="24">
        <f t="shared" si="2"/>
        <v>202</v>
      </c>
      <c r="S12" s="24">
        <f t="shared" si="17"/>
        <v>21</v>
      </c>
      <c r="T12" s="49">
        <f t="shared" si="3"/>
        <v>677.5</v>
      </c>
      <c r="U12" s="1425"/>
      <c r="V12" s="49">
        <f t="shared" si="18"/>
        <v>677.5</v>
      </c>
      <c r="W12" s="49">
        <f t="shared" ref="W12:W26" si="21">V12*0.302</f>
        <v>204.6</v>
      </c>
      <c r="X12" s="278"/>
      <c r="Y12" s="24">
        <v>30</v>
      </c>
      <c r="Z12" s="48">
        <f t="shared" si="4"/>
        <v>0</v>
      </c>
      <c r="AA12" s="278"/>
      <c r="AB12" s="24">
        <v>15</v>
      </c>
      <c r="AC12" s="48">
        <f t="shared" si="5"/>
        <v>0</v>
      </c>
      <c r="AD12" s="278"/>
      <c r="AE12" s="24">
        <v>30</v>
      </c>
      <c r="AF12" s="48">
        <f t="shared" si="6"/>
        <v>0</v>
      </c>
      <c r="AG12" s="48">
        <f>(Z12+AC12+AF12)*1%*30</f>
        <v>0</v>
      </c>
      <c r="AH12" s="48">
        <f t="shared" si="8"/>
        <v>0</v>
      </c>
      <c r="AI12" s="34">
        <f t="shared" si="9"/>
        <v>56458.3</v>
      </c>
      <c r="AJ12" s="34">
        <f t="shared" si="10"/>
        <v>677.5</v>
      </c>
      <c r="AK12" s="50">
        <f t="shared" si="19"/>
        <v>149.1</v>
      </c>
      <c r="AL12" s="50">
        <f t="shared" ref="AL12:AL27" si="22">912*0.029*C12</f>
        <v>26.4</v>
      </c>
      <c r="AM12" s="50">
        <f t="shared" si="11"/>
        <v>35.9</v>
      </c>
      <c r="AN12" s="50">
        <f t="shared" si="20"/>
        <v>211.4</v>
      </c>
      <c r="AP12" s="51"/>
    </row>
    <row r="13" spans="1:42" ht="27" customHeight="1" x14ac:dyDescent="0.2">
      <c r="A13" s="278">
        <v>5</v>
      </c>
      <c r="B13" s="52" t="s">
        <v>17</v>
      </c>
      <c r="C13" s="278">
        <v>1</v>
      </c>
      <c r="D13" s="53">
        <v>12.335000000000001</v>
      </c>
      <c r="E13" s="46">
        <f t="shared" si="13"/>
        <v>12.34</v>
      </c>
      <c r="F13" s="47">
        <f t="shared" si="14"/>
        <v>148.1</v>
      </c>
      <c r="G13" s="24"/>
      <c r="H13" s="24">
        <f>1202.6/1000</f>
        <v>1.2</v>
      </c>
      <c r="I13" s="24"/>
      <c r="J13" s="24"/>
      <c r="K13" s="24">
        <f>F13*0.4</f>
        <v>59.2</v>
      </c>
      <c r="L13" s="24">
        <f t="shared" si="12"/>
        <v>47.7</v>
      </c>
      <c r="M13" s="24">
        <f t="shared" si="0"/>
        <v>256.2</v>
      </c>
      <c r="N13" s="48">
        <v>0.47</v>
      </c>
      <c r="O13" s="24">
        <f t="shared" si="1"/>
        <v>120.4</v>
      </c>
      <c r="P13" s="24">
        <f t="shared" si="15"/>
        <v>376.6</v>
      </c>
      <c r="Q13" s="24">
        <f t="shared" si="16"/>
        <v>301.3</v>
      </c>
      <c r="R13" s="24">
        <f t="shared" si="2"/>
        <v>301.3</v>
      </c>
      <c r="S13" s="24">
        <f t="shared" si="17"/>
        <v>31.3</v>
      </c>
      <c r="T13" s="49">
        <f t="shared" si="3"/>
        <v>1010.5</v>
      </c>
      <c r="U13" s="1425"/>
      <c r="V13" s="49">
        <f t="shared" si="18"/>
        <v>1010.5</v>
      </c>
      <c r="W13" s="49">
        <f>AN13</f>
        <v>301</v>
      </c>
      <c r="X13" s="278">
        <v>1</v>
      </c>
      <c r="Y13" s="24">
        <v>30</v>
      </c>
      <c r="Z13" s="48">
        <f t="shared" si="4"/>
        <v>30</v>
      </c>
      <c r="AA13" s="278">
        <v>1</v>
      </c>
      <c r="AB13" s="24">
        <v>15</v>
      </c>
      <c r="AC13" s="48">
        <f t="shared" si="5"/>
        <v>15</v>
      </c>
      <c r="AD13" s="278">
        <v>1</v>
      </c>
      <c r="AE13" s="24">
        <v>30</v>
      </c>
      <c r="AF13" s="48">
        <f t="shared" si="6"/>
        <v>30</v>
      </c>
      <c r="AG13" s="48">
        <f t="shared" si="7"/>
        <v>22.5</v>
      </c>
      <c r="AH13" s="48">
        <f t="shared" si="8"/>
        <v>97.5</v>
      </c>
      <c r="AI13" s="34">
        <f t="shared" si="9"/>
        <v>84208.3</v>
      </c>
      <c r="AJ13" s="34">
        <f t="shared" si="10"/>
        <v>1010.5</v>
      </c>
      <c r="AK13" s="50">
        <f t="shared" si="19"/>
        <v>222.3</v>
      </c>
      <c r="AL13" s="50">
        <f>865*0.029*C13</f>
        <v>25.1</v>
      </c>
      <c r="AM13" s="50">
        <f t="shared" si="11"/>
        <v>53.6</v>
      </c>
      <c r="AN13" s="50">
        <f>SUM(AK13:AM13)</f>
        <v>301</v>
      </c>
      <c r="AP13" s="51"/>
    </row>
    <row r="14" spans="1:42" ht="34.5" customHeight="1" x14ac:dyDescent="0.2">
      <c r="A14" s="278">
        <v>6</v>
      </c>
      <c r="B14" s="52" t="s">
        <v>129</v>
      </c>
      <c r="C14" s="54">
        <v>1</v>
      </c>
      <c r="D14" s="53">
        <v>8.4730000000000008</v>
      </c>
      <c r="E14" s="46">
        <f>C14*D14</f>
        <v>8.4700000000000006</v>
      </c>
      <c r="F14" s="47">
        <f>E14*11</f>
        <v>93.2</v>
      </c>
      <c r="G14" s="24"/>
      <c r="H14" s="24">
        <f>826.1/1000</f>
        <v>0.8</v>
      </c>
      <c r="I14" s="24"/>
      <c r="J14" s="24"/>
      <c r="K14" s="24">
        <f>F14*0.2</f>
        <v>18.600000000000001</v>
      </c>
      <c r="L14" s="24">
        <f t="shared" si="12"/>
        <v>30</v>
      </c>
      <c r="M14" s="24">
        <f t="shared" si="0"/>
        <v>142.6</v>
      </c>
      <c r="N14" s="48">
        <v>0.41</v>
      </c>
      <c r="O14" s="24">
        <f t="shared" si="1"/>
        <v>58.5</v>
      </c>
      <c r="P14" s="24">
        <f t="shared" si="15"/>
        <v>201.1</v>
      </c>
      <c r="Q14" s="24">
        <f t="shared" si="16"/>
        <v>160.9</v>
      </c>
      <c r="R14" s="24">
        <f t="shared" si="2"/>
        <v>160.9</v>
      </c>
      <c r="S14" s="24">
        <f t="shared" si="17"/>
        <v>16.7</v>
      </c>
      <c r="T14" s="49">
        <f t="shared" si="3"/>
        <v>539.6</v>
      </c>
      <c r="U14" s="1425"/>
      <c r="V14" s="49">
        <f>T14*$U$9</f>
        <v>539.6</v>
      </c>
      <c r="W14" s="49">
        <f t="shared" si="21"/>
        <v>163</v>
      </c>
      <c r="X14" s="278">
        <v>1</v>
      </c>
      <c r="Y14" s="24">
        <v>30</v>
      </c>
      <c r="Z14" s="48">
        <f t="shared" si="4"/>
        <v>30</v>
      </c>
      <c r="AA14" s="278">
        <v>1</v>
      </c>
      <c r="AB14" s="24">
        <v>15</v>
      </c>
      <c r="AC14" s="48">
        <f t="shared" si="5"/>
        <v>15</v>
      </c>
      <c r="AD14" s="278">
        <v>1</v>
      </c>
      <c r="AE14" s="24">
        <v>30</v>
      </c>
      <c r="AF14" s="48">
        <f t="shared" si="6"/>
        <v>30</v>
      </c>
      <c r="AG14" s="48">
        <f t="shared" si="7"/>
        <v>22.5</v>
      </c>
      <c r="AH14" s="48">
        <f t="shared" si="8"/>
        <v>97.5</v>
      </c>
      <c r="AI14" s="34">
        <f t="shared" si="9"/>
        <v>44966.7</v>
      </c>
      <c r="AJ14" s="34">
        <f t="shared" si="10"/>
        <v>539.6</v>
      </c>
      <c r="AK14" s="50">
        <f t="shared" si="19"/>
        <v>118.7</v>
      </c>
      <c r="AL14" s="50">
        <f t="shared" si="22"/>
        <v>26.4</v>
      </c>
      <c r="AM14" s="50">
        <f t="shared" si="11"/>
        <v>28.6</v>
      </c>
      <c r="AN14" s="50">
        <f t="shared" si="20"/>
        <v>173.7</v>
      </c>
      <c r="AP14" s="51"/>
    </row>
    <row r="15" spans="1:42" ht="27" customHeight="1" x14ac:dyDescent="0.2">
      <c r="A15" s="278">
        <v>7</v>
      </c>
      <c r="B15" s="52" t="s">
        <v>22</v>
      </c>
      <c r="C15" s="278">
        <v>1</v>
      </c>
      <c r="D15" s="53">
        <v>11.061999999999999</v>
      </c>
      <c r="E15" s="46">
        <f>C15*D15</f>
        <v>11.06</v>
      </c>
      <c r="F15" s="47">
        <f>E15*12</f>
        <v>132.69999999999999</v>
      </c>
      <c r="G15" s="24"/>
      <c r="H15" s="24">
        <f>1078.5/1000</f>
        <v>1.1000000000000001</v>
      </c>
      <c r="I15" s="24"/>
      <c r="J15" s="24"/>
      <c r="K15" s="24">
        <f>F15*0.4</f>
        <v>53.1</v>
      </c>
      <c r="L15" s="24">
        <f t="shared" si="12"/>
        <v>42.8</v>
      </c>
      <c r="M15" s="24">
        <f>F15+G15+H15+I15+J15+K15+L15</f>
        <v>229.7</v>
      </c>
      <c r="N15" s="48">
        <v>0.43</v>
      </c>
      <c r="O15" s="24">
        <f>M15*N15</f>
        <v>98.8</v>
      </c>
      <c r="P15" s="24">
        <f>M15+O15</f>
        <v>328.5</v>
      </c>
      <c r="Q15" s="24">
        <f>P15*0.8</f>
        <v>262.8</v>
      </c>
      <c r="R15" s="24">
        <f>P15*0.8</f>
        <v>262.8</v>
      </c>
      <c r="S15" s="24">
        <f>(P15+Q15+R15)*0.032</f>
        <v>27.3</v>
      </c>
      <c r="T15" s="49">
        <f>P15+Q15+R15+S15</f>
        <v>881.4</v>
      </c>
      <c r="U15" s="1425"/>
      <c r="V15" s="49">
        <f>T15*$U$9</f>
        <v>881.4</v>
      </c>
      <c r="W15" s="49">
        <f>AN15</f>
        <v>265.7</v>
      </c>
      <c r="X15" s="278">
        <v>1</v>
      </c>
      <c r="Y15" s="24">
        <v>30</v>
      </c>
      <c r="Z15" s="48">
        <f>X15*Y15</f>
        <v>30</v>
      </c>
      <c r="AA15" s="278"/>
      <c r="AB15" s="24">
        <v>15</v>
      </c>
      <c r="AC15" s="48">
        <f>AA15*AB15</f>
        <v>0</v>
      </c>
      <c r="AD15" s="278"/>
      <c r="AE15" s="24">
        <v>30</v>
      </c>
      <c r="AF15" s="48">
        <f>AD15*AE15</f>
        <v>0</v>
      </c>
      <c r="AG15" s="48">
        <f>(Z15+AC15+AF15)*1%*30</f>
        <v>9</v>
      </c>
      <c r="AH15" s="48">
        <f>Z15+AC15+AF15+AG15</f>
        <v>39</v>
      </c>
      <c r="AI15" s="34">
        <f t="shared" si="9"/>
        <v>73450</v>
      </c>
      <c r="AJ15" s="34">
        <f t="shared" si="10"/>
        <v>881.4</v>
      </c>
      <c r="AK15" s="50">
        <f t="shared" si="19"/>
        <v>193.9</v>
      </c>
      <c r="AL15" s="50">
        <f>865*0.029*C15</f>
        <v>25.1</v>
      </c>
      <c r="AM15" s="50">
        <f t="shared" si="11"/>
        <v>46.7</v>
      </c>
      <c r="AN15" s="50">
        <f>SUM(AK15:AM15)</f>
        <v>265.7</v>
      </c>
      <c r="AP15" s="51"/>
    </row>
    <row r="16" spans="1:42" ht="27" customHeight="1" x14ac:dyDescent="0.2">
      <c r="A16" s="278">
        <v>8</v>
      </c>
      <c r="B16" s="52" t="s">
        <v>28</v>
      </c>
      <c r="C16" s="54">
        <v>5</v>
      </c>
      <c r="D16" s="53">
        <v>9.593</v>
      </c>
      <c r="E16" s="46">
        <f t="shared" si="13"/>
        <v>47.97</v>
      </c>
      <c r="F16" s="47">
        <f t="shared" si="14"/>
        <v>575.6</v>
      </c>
      <c r="G16" s="24"/>
      <c r="H16" s="24">
        <f>4.78</f>
        <v>4.8</v>
      </c>
      <c r="I16" s="24"/>
      <c r="J16" s="24"/>
      <c r="K16" s="24">
        <f>D16*0.2*2*12+D16*0.05*5.5+D16*0.2*7.5</f>
        <v>63.1</v>
      </c>
      <c r="L16" s="24">
        <f t="shared" si="12"/>
        <v>185.4</v>
      </c>
      <c r="M16" s="24">
        <f t="shared" si="0"/>
        <v>828.9</v>
      </c>
      <c r="N16" s="48">
        <v>0.43</v>
      </c>
      <c r="O16" s="24">
        <f t="shared" si="1"/>
        <v>356.4</v>
      </c>
      <c r="P16" s="24">
        <f t="shared" si="15"/>
        <v>1185.3</v>
      </c>
      <c r="Q16" s="24">
        <f t="shared" si="16"/>
        <v>948.2</v>
      </c>
      <c r="R16" s="24">
        <f t="shared" si="2"/>
        <v>948.2</v>
      </c>
      <c r="S16" s="24">
        <f t="shared" si="17"/>
        <v>98.6</v>
      </c>
      <c r="T16" s="49">
        <f t="shared" si="3"/>
        <v>3180.3</v>
      </c>
      <c r="U16" s="1425"/>
      <c r="V16" s="49">
        <f>T16*$U$9</f>
        <v>3180.3</v>
      </c>
      <c r="W16" s="49">
        <f t="shared" si="21"/>
        <v>960.5</v>
      </c>
      <c r="X16" s="278"/>
      <c r="Y16" s="24">
        <v>30</v>
      </c>
      <c r="Z16" s="48">
        <f t="shared" si="4"/>
        <v>0</v>
      </c>
      <c r="AA16" s="278"/>
      <c r="AB16" s="24">
        <v>15</v>
      </c>
      <c r="AC16" s="48">
        <f t="shared" si="5"/>
        <v>0</v>
      </c>
      <c r="AD16" s="278"/>
      <c r="AE16" s="24">
        <v>30</v>
      </c>
      <c r="AF16" s="48">
        <f t="shared" si="6"/>
        <v>0</v>
      </c>
      <c r="AG16" s="48">
        <f t="shared" si="7"/>
        <v>0</v>
      </c>
      <c r="AH16" s="48">
        <f t="shared" si="8"/>
        <v>0</v>
      </c>
      <c r="AI16" s="34">
        <f t="shared" si="9"/>
        <v>53005</v>
      </c>
      <c r="AJ16" s="34">
        <f t="shared" si="10"/>
        <v>636.1</v>
      </c>
      <c r="AK16" s="50">
        <f t="shared" si="19"/>
        <v>699.7</v>
      </c>
      <c r="AL16" s="50">
        <f t="shared" si="22"/>
        <v>132.19999999999999</v>
      </c>
      <c r="AM16" s="50">
        <f t="shared" si="11"/>
        <v>168.6</v>
      </c>
      <c r="AN16" s="50">
        <f t="shared" si="20"/>
        <v>1000.5</v>
      </c>
      <c r="AP16" s="51"/>
    </row>
    <row r="17" spans="1:42" ht="27" customHeight="1" x14ac:dyDescent="0.2">
      <c r="A17" s="278">
        <v>9</v>
      </c>
      <c r="B17" s="52" t="s">
        <v>24</v>
      </c>
      <c r="C17" s="54">
        <v>15</v>
      </c>
      <c r="D17" s="53">
        <v>8.5419999999999998</v>
      </c>
      <c r="E17" s="46">
        <f t="shared" si="13"/>
        <v>128.13</v>
      </c>
      <c r="F17" s="47">
        <f t="shared" si="14"/>
        <v>1537.6</v>
      </c>
      <c r="G17" s="24"/>
      <c r="H17" s="24">
        <f>14.25</f>
        <v>14.3</v>
      </c>
      <c r="I17" s="24"/>
      <c r="J17" s="24"/>
      <c r="K17" s="24">
        <f>D17*0.2*8*12+D17*0.25*12+D17*0.05*12+D17*0.3*12</f>
        <v>225.5</v>
      </c>
      <c r="L17" s="24">
        <f t="shared" si="12"/>
        <v>495.4</v>
      </c>
      <c r="M17" s="24">
        <f t="shared" si="0"/>
        <v>2272.8000000000002</v>
      </c>
      <c r="N17" s="48">
        <v>0.4</v>
      </c>
      <c r="O17" s="24">
        <f t="shared" si="1"/>
        <v>909.1</v>
      </c>
      <c r="P17" s="24">
        <f t="shared" si="15"/>
        <v>3181.9</v>
      </c>
      <c r="Q17" s="24">
        <f t="shared" si="16"/>
        <v>2545.5</v>
      </c>
      <c r="R17" s="24">
        <f t="shared" si="2"/>
        <v>2545.5</v>
      </c>
      <c r="S17" s="24">
        <f t="shared" si="17"/>
        <v>264.7</v>
      </c>
      <c r="T17" s="49">
        <f t="shared" si="3"/>
        <v>8537.6</v>
      </c>
      <c r="U17" s="1425"/>
      <c r="V17" s="49">
        <f t="shared" si="18"/>
        <v>8537.6</v>
      </c>
      <c r="W17" s="49">
        <f t="shared" si="21"/>
        <v>2578.4</v>
      </c>
      <c r="X17" s="278">
        <v>10</v>
      </c>
      <c r="Y17" s="24">
        <v>30</v>
      </c>
      <c r="Z17" s="48">
        <f t="shared" si="4"/>
        <v>300</v>
      </c>
      <c r="AA17" s="278">
        <v>3</v>
      </c>
      <c r="AB17" s="24">
        <v>15</v>
      </c>
      <c r="AC17" s="48">
        <f t="shared" si="5"/>
        <v>45</v>
      </c>
      <c r="AD17" s="278">
        <v>2</v>
      </c>
      <c r="AE17" s="24">
        <v>30</v>
      </c>
      <c r="AF17" s="48">
        <f t="shared" si="6"/>
        <v>60</v>
      </c>
      <c r="AG17" s="48">
        <f>(Z17+AC17+AF17)*1%*30</f>
        <v>121.5</v>
      </c>
      <c r="AH17" s="48">
        <f t="shared" si="8"/>
        <v>526.5</v>
      </c>
      <c r="AI17" s="34">
        <f t="shared" si="9"/>
        <v>47431.1</v>
      </c>
      <c r="AJ17" s="34">
        <f t="shared" si="10"/>
        <v>569.20000000000005</v>
      </c>
      <c r="AK17" s="50">
        <f t="shared" si="19"/>
        <v>1878.3</v>
      </c>
      <c r="AL17" s="50">
        <f t="shared" si="22"/>
        <v>396.7</v>
      </c>
      <c r="AM17" s="50">
        <f t="shared" si="11"/>
        <v>452.5</v>
      </c>
      <c r="AN17" s="50">
        <f t="shared" si="20"/>
        <v>2727.5</v>
      </c>
      <c r="AP17" s="51"/>
    </row>
    <row r="18" spans="1:42" ht="27" customHeight="1" x14ac:dyDescent="0.2">
      <c r="A18" s="278">
        <v>10</v>
      </c>
      <c r="B18" s="55" t="s">
        <v>26</v>
      </c>
      <c r="C18" s="56">
        <v>16</v>
      </c>
      <c r="D18" s="53">
        <v>4.3109999999999999</v>
      </c>
      <c r="E18" s="46">
        <f>C18*D18</f>
        <v>68.98</v>
      </c>
      <c r="F18" s="47">
        <f>E18*12</f>
        <v>827.8</v>
      </c>
      <c r="G18" s="24"/>
      <c r="H18" s="24">
        <f>27739.8/1000</f>
        <v>27.7</v>
      </c>
      <c r="I18" s="24"/>
      <c r="J18" s="24"/>
      <c r="K18" s="24"/>
      <c r="L18" s="24">
        <v>390</v>
      </c>
      <c r="M18" s="24">
        <f>F18+G18+H18+I18+J18+K18+L18</f>
        <v>1245.5</v>
      </c>
      <c r="N18" s="48">
        <v>0.75</v>
      </c>
      <c r="O18" s="24">
        <f>M18*N18</f>
        <v>934.1</v>
      </c>
      <c r="P18" s="24">
        <f>M18+O18</f>
        <v>2179.6</v>
      </c>
      <c r="Q18" s="24">
        <f>P18*0.8</f>
        <v>1743.7</v>
      </c>
      <c r="R18" s="24">
        <f>P18*0.8</f>
        <v>1743.7</v>
      </c>
      <c r="S18" s="24">
        <f>(P18+Q18+R18)*0.032</f>
        <v>181.3</v>
      </c>
      <c r="T18" s="49">
        <f>P18+Q18+R18+S18</f>
        <v>5848.3</v>
      </c>
      <c r="U18" s="1425"/>
      <c r="V18" s="49">
        <f>T18*$U$9</f>
        <v>5848.3</v>
      </c>
      <c r="W18" s="49">
        <f t="shared" si="21"/>
        <v>1766.2</v>
      </c>
      <c r="X18" s="278">
        <v>7</v>
      </c>
      <c r="Y18" s="24">
        <v>30</v>
      </c>
      <c r="Z18" s="48">
        <f>X18*Y18</f>
        <v>210</v>
      </c>
      <c r="AA18" s="278">
        <v>2</v>
      </c>
      <c r="AB18" s="24">
        <v>15</v>
      </c>
      <c r="AC18" s="48">
        <f>AA18*AB18</f>
        <v>30</v>
      </c>
      <c r="AD18" s="278">
        <v>1</v>
      </c>
      <c r="AE18" s="24">
        <v>30</v>
      </c>
      <c r="AF18" s="48">
        <f>AD18*AE18</f>
        <v>30</v>
      </c>
      <c r="AG18" s="48">
        <f>(Z18+AC18+AF18)*1%*30</f>
        <v>81</v>
      </c>
      <c r="AH18" s="48">
        <f>Z18+AC18+AF18+AG18</f>
        <v>351</v>
      </c>
      <c r="AI18" s="34">
        <f t="shared" si="9"/>
        <v>30459.9</v>
      </c>
      <c r="AJ18" s="34">
        <f t="shared" si="10"/>
        <v>365.5</v>
      </c>
      <c r="AK18" s="50">
        <f t="shared" si="19"/>
        <v>1286.5999999999999</v>
      </c>
      <c r="AL18" s="50">
        <f t="shared" si="22"/>
        <v>423.2</v>
      </c>
      <c r="AM18" s="50">
        <f t="shared" si="11"/>
        <v>310</v>
      </c>
      <c r="AN18" s="50">
        <f t="shared" si="20"/>
        <v>2019.8</v>
      </c>
      <c r="AP18" s="51"/>
    </row>
    <row r="19" spans="1:42" ht="27" customHeight="1" x14ac:dyDescent="0.2">
      <c r="A19" s="278">
        <v>11</v>
      </c>
      <c r="B19" s="55" t="s">
        <v>50</v>
      </c>
      <c r="C19" s="57">
        <v>2</v>
      </c>
      <c r="D19" s="53">
        <v>8.4730000000000008</v>
      </c>
      <c r="E19" s="46">
        <f t="shared" si="13"/>
        <v>16.95</v>
      </c>
      <c r="F19" s="47">
        <f t="shared" si="14"/>
        <v>203.4</v>
      </c>
      <c r="G19" s="24"/>
      <c r="H19" s="24">
        <f>1652.1/1000</f>
        <v>1.7</v>
      </c>
      <c r="I19" s="24"/>
      <c r="J19" s="24"/>
      <c r="K19" s="24">
        <f>D19*0.25*12+D19*0.2*12</f>
        <v>45.8</v>
      </c>
      <c r="L19" s="24">
        <f t="shared" si="12"/>
        <v>65.5</v>
      </c>
      <c r="M19" s="24">
        <f t="shared" si="0"/>
        <v>316.39999999999998</v>
      </c>
      <c r="N19" s="48">
        <v>0.41</v>
      </c>
      <c r="O19" s="24">
        <f t="shared" si="1"/>
        <v>129.69999999999999</v>
      </c>
      <c r="P19" s="24">
        <f t="shared" si="15"/>
        <v>446.1</v>
      </c>
      <c r="Q19" s="24">
        <f t="shared" si="16"/>
        <v>356.9</v>
      </c>
      <c r="R19" s="24">
        <f t="shared" si="2"/>
        <v>356.9</v>
      </c>
      <c r="S19" s="24">
        <f t="shared" si="17"/>
        <v>37.1</v>
      </c>
      <c r="T19" s="49">
        <f t="shared" si="3"/>
        <v>1197</v>
      </c>
      <c r="U19" s="1425"/>
      <c r="V19" s="49">
        <f t="shared" si="18"/>
        <v>1197</v>
      </c>
      <c r="W19" s="49">
        <f t="shared" si="21"/>
        <v>361.5</v>
      </c>
      <c r="X19" s="278">
        <v>2</v>
      </c>
      <c r="Y19" s="24">
        <v>30</v>
      </c>
      <c r="Z19" s="48">
        <f t="shared" si="4"/>
        <v>60</v>
      </c>
      <c r="AA19" s="278"/>
      <c r="AB19" s="24">
        <v>15</v>
      </c>
      <c r="AC19" s="48">
        <f t="shared" si="5"/>
        <v>0</v>
      </c>
      <c r="AD19" s="278"/>
      <c r="AE19" s="24">
        <v>30</v>
      </c>
      <c r="AF19" s="48">
        <f t="shared" si="6"/>
        <v>0</v>
      </c>
      <c r="AG19" s="48">
        <f t="shared" si="7"/>
        <v>18</v>
      </c>
      <c r="AH19" s="48">
        <f t="shared" si="8"/>
        <v>78</v>
      </c>
      <c r="AI19" s="34">
        <f t="shared" si="9"/>
        <v>49875</v>
      </c>
      <c r="AJ19" s="34">
        <f t="shared" si="10"/>
        <v>598.5</v>
      </c>
      <c r="AK19" s="50">
        <f t="shared" si="19"/>
        <v>263.3</v>
      </c>
      <c r="AL19" s="50">
        <f t="shared" si="22"/>
        <v>52.9</v>
      </c>
      <c r="AM19" s="50">
        <f t="shared" si="11"/>
        <v>63.4</v>
      </c>
      <c r="AN19" s="50">
        <f t="shared" si="20"/>
        <v>379.6</v>
      </c>
      <c r="AP19" s="51"/>
    </row>
    <row r="20" spans="1:42" ht="27" customHeight="1" x14ac:dyDescent="0.2">
      <c r="A20" s="278">
        <v>12</v>
      </c>
      <c r="B20" s="52" t="s">
        <v>18</v>
      </c>
      <c r="C20" s="47">
        <v>1</v>
      </c>
      <c r="D20" s="53">
        <v>8.4730000000000008</v>
      </c>
      <c r="E20" s="46">
        <f t="shared" si="13"/>
        <v>8.4700000000000006</v>
      </c>
      <c r="F20" s="47">
        <f t="shared" si="14"/>
        <v>101.6</v>
      </c>
      <c r="G20" s="24"/>
      <c r="H20" s="24">
        <f>826.1/1000</f>
        <v>0.8</v>
      </c>
      <c r="I20" s="24"/>
      <c r="J20" s="24"/>
      <c r="K20" s="24">
        <f>D20*0.35*12+D20*0.05*9</f>
        <v>39.4</v>
      </c>
      <c r="L20" s="24">
        <f t="shared" si="12"/>
        <v>32.700000000000003</v>
      </c>
      <c r="M20" s="24">
        <f t="shared" si="0"/>
        <v>174.5</v>
      </c>
      <c r="N20" s="48">
        <v>0.41</v>
      </c>
      <c r="O20" s="24">
        <f t="shared" si="1"/>
        <v>71.5</v>
      </c>
      <c r="P20" s="24">
        <f t="shared" si="15"/>
        <v>246</v>
      </c>
      <c r="Q20" s="24">
        <f t="shared" si="16"/>
        <v>196.8</v>
      </c>
      <c r="R20" s="24">
        <f t="shared" si="2"/>
        <v>196.8</v>
      </c>
      <c r="S20" s="24">
        <f t="shared" si="17"/>
        <v>20.5</v>
      </c>
      <c r="T20" s="49">
        <f t="shared" si="3"/>
        <v>660.1</v>
      </c>
      <c r="U20" s="1425"/>
      <c r="V20" s="49">
        <f t="shared" si="18"/>
        <v>660.1</v>
      </c>
      <c r="W20" s="49">
        <f t="shared" si="21"/>
        <v>199.4</v>
      </c>
      <c r="X20" s="278"/>
      <c r="Y20" s="24">
        <v>30</v>
      </c>
      <c r="Z20" s="48">
        <f t="shared" si="4"/>
        <v>0</v>
      </c>
      <c r="AA20" s="278"/>
      <c r="AB20" s="24">
        <v>15</v>
      </c>
      <c r="AC20" s="48">
        <f t="shared" si="5"/>
        <v>0</v>
      </c>
      <c r="AD20" s="278"/>
      <c r="AE20" s="24">
        <v>30</v>
      </c>
      <c r="AF20" s="48">
        <f t="shared" si="6"/>
        <v>0</v>
      </c>
      <c r="AG20" s="48">
        <f t="shared" si="7"/>
        <v>0</v>
      </c>
      <c r="AH20" s="48">
        <f t="shared" si="8"/>
        <v>0</v>
      </c>
      <c r="AI20" s="34">
        <f t="shared" si="9"/>
        <v>55008.3</v>
      </c>
      <c r="AJ20" s="34">
        <f t="shared" si="10"/>
        <v>660.1</v>
      </c>
      <c r="AK20" s="50">
        <f t="shared" si="19"/>
        <v>145.19999999999999</v>
      </c>
      <c r="AL20" s="50">
        <f t="shared" si="22"/>
        <v>26.4</v>
      </c>
      <c r="AM20" s="50">
        <f t="shared" si="11"/>
        <v>35</v>
      </c>
      <c r="AN20" s="50">
        <f t="shared" si="20"/>
        <v>206.6</v>
      </c>
      <c r="AP20" s="51"/>
    </row>
    <row r="21" spans="1:42" ht="27" customHeight="1" x14ac:dyDescent="0.2">
      <c r="A21" s="278">
        <v>13</v>
      </c>
      <c r="B21" s="52" t="s">
        <v>106</v>
      </c>
      <c r="C21" s="47">
        <v>1</v>
      </c>
      <c r="D21" s="53">
        <v>8.4730000000000008</v>
      </c>
      <c r="E21" s="46">
        <f t="shared" si="13"/>
        <v>8.4700000000000006</v>
      </c>
      <c r="F21" s="47">
        <f t="shared" si="14"/>
        <v>101.6</v>
      </c>
      <c r="G21" s="24"/>
      <c r="H21" s="24">
        <f>917.9/1000</f>
        <v>0.9</v>
      </c>
      <c r="I21" s="24"/>
      <c r="J21" s="24"/>
      <c r="K21" s="24"/>
      <c r="L21" s="24">
        <f t="shared" si="12"/>
        <v>32.700000000000003</v>
      </c>
      <c r="M21" s="24">
        <f t="shared" si="0"/>
        <v>135.19999999999999</v>
      </c>
      <c r="N21" s="48">
        <v>0.47</v>
      </c>
      <c r="O21" s="24">
        <f t="shared" si="1"/>
        <v>63.5</v>
      </c>
      <c r="P21" s="24">
        <f t="shared" si="15"/>
        <v>198.7</v>
      </c>
      <c r="Q21" s="24">
        <f t="shared" si="16"/>
        <v>159</v>
      </c>
      <c r="R21" s="24">
        <f t="shared" si="2"/>
        <v>159</v>
      </c>
      <c r="S21" s="24">
        <f t="shared" si="17"/>
        <v>16.5</v>
      </c>
      <c r="T21" s="49">
        <f t="shared" si="3"/>
        <v>533.20000000000005</v>
      </c>
      <c r="U21" s="1425"/>
      <c r="V21" s="49">
        <f t="shared" si="18"/>
        <v>533.20000000000005</v>
      </c>
      <c r="W21" s="49">
        <f t="shared" si="21"/>
        <v>161</v>
      </c>
      <c r="X21" s="278"/>
      <c r="Y21" s="24">
        <v>30</v>
      </c>
      <c r="Z21" s="48">
        <f t="shared" si="4"/>
        <v>0</v>
      </c>
      <c r="AA21" s="278"/>
      <c r="AB21" s="24">
        <v>15</v>
      </c>
      <c r="AC21" s="48">
        <f t="shared" si="5"/>
        <v>0</v>
      </c>
      <c r="AD21" s="278"/>
      <c r="AE21" s="24">
        <v>30</v>
      </c>
      <c r="AF21" s="48">
        <f t="shared" si="6"/>
        <v>0</v>
      </c>
      <c r="AG21" s="48">
        <f t="shared" si="7"/>
        <v>0</v>
      </c>
      <c r="AH21" s="48">
        <f t="shared" si="8"/>
        <v>0</v>
      </c>
      <c r="AI21" s="34">
        <f t="shared" si="9"/>
        <v>44433.3</v>
      </c>
      <c r="AJ21" s="34">
        <f t="shared" si="10"/>
        <v>533.20000000000005</v>
      </c>
      <c r="AK21" s="50">
        <f t="shared" si="19"/>
        <v>117.3</v>
      </c>
      <c r="AL21" s="50">
        <f t="shared" si="22"/>
        <v>26.4</v>
      </c>
      <c r="AM21" s="50">
        <f t="shared" si="11"/>
        <v>28.3</v>
      </c>
      <c r="AN21" s="50">
        <f t="shared" si="20"/>
        <v>172</v>
      </c>
      <c r="AP21" s="51"/>
    </row>
    <row r="22" spans="1:42" ht="23.25" customHeight="1" x14ac:dyDescent="0.2">
      <c r="A22" s="278">
        <v>14</v>
      </c>
      <c r="B22" s="52" t="s">
        <v>29</v>
      </c>
      <c r="C22" s="57">
        <v>1</v>
      </c>
      <c r="D22" s="53">
        <v>8.4730000000000008</v>
      </c>
      <c r="E22" s="46">
        <f>C22*D22</f>
        <v>8.4700000000000006</v>
      </c>
      <c r="F22" s="47">
        <f>E22*12</f>
        <v>101.6</v>
      </c>
      <c r="G22" s="24"/>
      <c r="H22" s="24">
        <f>1239.1/1000</f>
        <v>1.2</v>
      </c>
      <c r="I22" s="24"/>
      <c r="J22" s="24"/>
      <c r="K22" s="24">
        <f>D22*0.4*12</f>
        <v>40.700000000000003</v>
      </c>
      <c r="L22" s="24">
        <f t="shared" si="12"/>
        <v>32.700000000000003</v>
      </c>
      <c r="M22" s="24">
        <f>F22+G22+H22+I22+J22+K22+L22</f>
        <v>176.2</v>
      </c>
      <c r="N22" s="48">
        <v>0.41</v>
      </c>
      <c r="O22" s="24">
        <f t="shared" si="1"/>
        <v>72.2</v>
      </c>
      <c r="P22" s="24">
        <f t="shared" si="15"/>
        <v>248.4</v>
      </c>
      <c r="Q22" s="24">
        <f t="shared" si="16"/>
        <v>198.7</v>
      </c>
      <c r="R22" s="24">
        <f t="shared" si="2"/>
        <v>198.7</v>
      </c>
      <c r="S22" s="24">
        <f t="shared" si="17"/>
        <v>20.7</v>
      </c>
      <c r="T22" s="49">
        <f t="shared" si="3"/>
        <v>666.5</v>
      </c>
      <c r="U22" s="1425"/>
      <c r="V22" s="49">
        <f t="shared" si="18"/>
        <v>666.5</v>
      </c>
      <c r="W22" s="49">
        <f t="shared" si="21"/>
        <v>201.3</v>
      </c>
      <c r="X22" s="278">
        <v>2</v>
      </c>
      <c r="Y22" s="24">
        <v>30</v>
      </c>
      <c r="Z22" s="48">
        <f t="shared" si="4"/>
        <v>60</v>
      </c>
      <c r="AA22" s="278">
        <v>1</v>
      </c>
      <c r="AB22" s="24">
        <v>15</v>
      </c>
      <c r="AC22" s="48">
        <f t="shared" si="5"/>
        <v>15</v>
      </c>
      <c r="AD22" s="278"/>
      <c r="AE22" s="24">
        <v>30</v>
      </c>
      <c r="AF22" s="48">
        <f t="shared" si="6"/>
        <v>0</v>
      </c>
      <c r="AG22" s="48">
        <f t="shared" si="7"/>
        <v>22.5</v>
      </c>
      <c r="AH22" s="48">
        <f t="shared" si="8"/>
        <v>97.5</v>
      </c>
      <c r="AI22" s="34">
        <f t="shared" si="9"/>
        <v>55541.7</v>
      </c>
      <c r="AJ22" s="34">
        <f t="shared" si="10"/>
        <v>666.5</v>
      </c>
      <c r="AK22" s="50">
        <f t="shared" si="19"/>
        <v>146.6</v>
      </c>
      <c r="AL22" s="50">
        <f t="shared" si="22"/>
        <v>26.4</v>
      </c>
      <c r="AM22" s="50">
        <f t="shared" si="11"/>
        <v>35.299999999999997</v>
      </c>
      <c r="AN22" s="50">
        <f t="shared" si="20"/>
        <v>208.3</v>
      </c>
      <c r="AP22" s="51"/>
    </row>
    <row r="23" spans="1:42" ht="23.25" customHeight="1" x14ac:dyDescent="0.2">
      <c r="A23" s="278">
        <v>15</v>
      </c>
      <c r="B23" s="52" t="s">
        <v>20</v>
      </c>
      <c r="C23" s="47">
        <v>0.5</v>
      </c>
      <c r="D23" s="53">
        <v>8.4730000000000008</v>
      </c>
      <c r="E23" s="46">
        <f>C23*D23</f>
        <v>4.24</v>
      </c>
      <c r="F23" s="47">
        <f>E23*12</f>
        <v>50.9</v>
      </c>
      <c r="G23" s="24"/>
      <c r="H23" s="24"/>
      <c r="I23" s="24"/>
      <c r="J23" s="24"/>
      <c r="K23" s="24"/>
      <c r="L23" s="24">
        <f t="shared" si="12"/>
        <v>16.399999999999999</v>
      </c>
      <c r="M23" s="24">
        <f>F23+G23+H23+I23+J23+K23+L23</f>
        <v>67.3</v>
      </c>
      <c r="N23" s="48">
        <v>0.41</v>
      </c>
      <c r="O23" s="24">
        <f t="shared" si="1"/>
        <v>27.6</v>
      </c>
      <c r="P23" s="24">
        <f t="shared" si="15"/>
        <v>94.9</v>
      </c>
      <c r="Q23" s="24">
        <f t="shared" si="16"/>
        <v>75.900000000000006</v>
      </c>
      <c r="R23" s="24">
        <f t="shared" si="2"/>
        <v>75.900000000000006</v>
      </c>
      <c r="S23" s="24">
        <f t="shared" si="17"/>
        <v>7.9</v>
      </c>
      <c r="T23" s="49">
        <f t="shared" si="3"/>
        <v>254.6</v>
      </c>
      <c r="U23" s="1425"/>
      <c r="V23" s="49">
        <f t="shared" si="18"/>
        <v>254.6</v>
      </c>
      <c r="W23" s="49">
        <f t="shared" si="21"/>
        <v>76.900000000000006</v>
      </c>
      <c r="X23" s="278"/>
      <c r="Y23" s="24">
        <v>30</v>
      </c>
      <c r="Z23" s="48">
        <f t="shared" si="4"/>
        <v>0</v>
      </c>
      <c r="AA23" s="278"/>
      <c r="AB23" s="24">
        <v>15</v>
      </c>
      <c r="AC23" s="48">
        <f t="shared" si="5"/>
        <v>0</v>
      </c>
      <c r="AD23" s="278"/>
      <c r="AE23" s="24">
        <v>30</v>
      </c>
      <c r="AF23" s="48">
        <f t="shared" si="6"/>
        <v>0</v>
      </c>
      <c r="AG23" s="48">
        <f t="shared" si="7"/>
        <v>0</v>
      </c>
      <c r="AH23" s="48">
        <f t="shared" si="8"/>
        <v>0</v>
      </c>
      <c r="AI23" s="34">
        <f t="shared" si="9"/>
        <v>42433.3</v>
      </c>
      <c r="AJ23" s="34">
        <f t="shared" si="10"/>
        <v>509.2</v>
      </c>
      <c r="AK23" s="50">
        <f t="shared" si="19"/>
        <v>56</v>
      </c>
      <c r="AL23" s="50">
        <f t="shared" si="22"/>
        <v>13.2</v>
      </c>
      <c r="AM23" s="50">
        <f t="shared" si="11"/>
        <v>13.5</v>
      </c>
      <c r="AN23" s="50">
        <f t="shared" si="20"/>
        <v>82.7</v>
      </c>
      <c r="AP23" s="51"/>
    </row>
    <row r="24" spans="1:42" ht="23.25" customHeight="1" x14ac:dyDescent="0.2">
      <c r="A24" s="278">
        <v>16</v>
      </c>
      <c r="B24" s="52" t="s">
        <v>30</v>
      </c>
      <c r="C24" s="57">
        <v>2</v>
      </c>
      <c r="D24" s="53">
        <v>8.4730000000000008</v>
      </c>
      <c r="E24" s="46">
        <f>C24*D24</f>
        <v>16.95</v>
      </c>
      <c r="F24" s="47">
        <f>E24*12</f>
        <v>203.4</v>
      </c>
      <c r="G24" s="24"/>
      <c r="H24" s="24">
        <f>1652.1/1000</f>
        <v>1.7</v>
      </c>
      <c r="I24" s="24"/>
      <c r="J24" s="24"/>
      <c r="K24" s="24">
        <f>D24*0.3*12+D24*0.25*12+D24*0.05*1</f>
        <v>56.3</v>
      </c>
      <c r="L24" s="24">
        <f t="shared" si="12"/>
        <v>65.5</v>
      </c>
      <c r="M24" s="24">
        <f>F24+G24+H24+I24+J24+K24+L24</f>
        <v>326.89999999999998</v>
      </c>
      <c r="N24" s="48">
        <v>0.41</v>
      </c>
      <c r="O24" s="24">
        <f t="shared" si="1"/>
        <v>134</v>
      </c>
      <c r="P24" s="24">
        <f t="shared" si="15"/>
        <v>460.9</v>
      </c>
      <c r="Q24" s="24">
        <f t="shared" si="16"/>
        <v>368.7</v>
      </c>
      <c r="R24" s="24">
        <f t="shared" si="2"/>
        <v>368.7</v>
      </c>
      <c r="S24" s="24">
        <f t="shared" si="17"/>
        <v>38.299999999999997</v>
      </c>
      <c r="T24" s="49">
        <f t="shared" si="3"/>
        <v>1236.5999999999999</v>
      </c>
      <c r="U24" s="1425"/>
      <c r="V24" s="49">
        <f t="shared" si="18"/>
        <v>1236.5999999999999</v>
      </c>
      <c r="W24" s="49">
        <f t="shared" si="21"/>
        <v>373.5</v>
      </c>
      <c r="X24" s="278"/>
      <c r="Y24" s="24">
        <v>30</v>
      </c>
      <c r="Z24" s="48">
        <f t="shared" si="4"/>
        <v>0</v>
      </c>
      <c r="AA24" s="278"/>
      <c r="AB24" s="24">
        <v>15</v>
      </c>
      <c r="AC24" s="48">
        <f t="shared" si="5"/>
        <v>0</v>
      </c>
      <c r="AD24" s="278"/>
      <c r="AE24" s="24">
        <v>30</v>
      </c>
      <c r="AF24" s="48">
        <f t="shared" si="6"/>
        <v>0</v>
      </c>
      <c r="AG24" s="48">
        <f t="shared" si="7"/>
        <v>0</v>
      </c>
      <c r="AH24" s="48">
        <f t="shared" si="8"/>
        <v>0</v>
      </c>
      <c r="AI24" s="34">
        <f t="shared" si="9"/>
        <v>51525</v>
      </c>
      <c r="AJ24" s="34">
        <f t="shared" si="10"/>
        <v>618.29999999999995</v>
      </c>
      <c r="AK24" s="50">
        <f t="shared" si="19"/>
        <v>272.10000000000002</v>
      </c>
      <c r="AL24" s="50">
        <f t="shared" si="22"/>
        <v>52.9</v>
      </c>
      <c r="AM24" s="50">
        <f t="shared" si="11"/>
        <v>65.5</v>
      </c>
      <c r="AN24" s="50">
        <f t="shared" si="20"/>
        <v>390.5</v>
      </c>
      <c r="AP24" s="51"/>
    </row>
    <row r="25" spans="1:42" ht="27" customHeight="1" x14ac:dyDescent="0.2">
      <c r="A25" s="278">
        <v>17</v>
      </c>
      <c r="B25" s="52" t="s">
        <v>33</v>
      </c>
      <c r="C25" s="57">
        <v>1</v>
      </c>
      <c r="D25" s="53">
        <v>8.4730000000000008</v>
      </c>
      <c r="E25" s="46">
        <f t="shared" si="13"/>
        <v>8.4700000000000006</v>
      </c>
      <c r="F25" s="47">
        <f t="shared" si="14"/>
        <v>101.6</v>
      </c>
      <c r="G25" s="24"/>
      <c r="H25" s="24">
        <f>826.1/1000</f>
        <v>0.8</v>
      </c>
      <c r="I25" s="24"/>
      <c r="J25" s="24"/>
      <c r="K25" s="24">
        <f>F25*0.2</f>
        <v>20.3</v>
      </c>
      <c r="L25" s="24">
        <f t="shared" si="12"/>
        <v>32.700000000000003</v>
      </c>
      <c r="M25" s="24">
        <f>F25+G25+H25+I25+J25+K25+L25</f>
        <v>155.4</v>
      </c>
      <c r="N25" s="48">
        <v>0.41</v>
      </c>
      <c r="O25" s="24">
        <f t="shared" si="1"/>
        <v>63.7</v>
      </c>
      <c r="P25" s="24">
        <f t="shared" si="15"/>
        <v>219.1</v>
      </c>
      <c r="Q25" s="24">
        <f t="shared" si="16"/>
        <v>175.3</v>
      </c>
      <c r="R25" s="24">
        <f t="shared" si="2"/>
        <v>175.3</v>
      </c>
      <c r="S25" s="24">
        <f t="shared" si="17"/>
        <v>18.2</v>
      </c>
      <c r="T25" s="49">
        <f t="shared" si="3"/>
        <v>587.9</v>
      </c>
      <c r="U25" s="1425"/>
      <c r="V25" s="49">
        <f t="shared" si="18"/>
        <v>587.9</v>
      </c>
      <c r="W25" s="49">
        <f t="shared" si="21"/>
        <v>177.5</v>
      </c>
      <c r="X25" s="278"/>
      <c r="Y25" s="24">
        <v>30</v>
      </c>
      <c r="Z25" s="48">
        <f t="shared" si="4"/>
        <v>0</v>
      </c>
      <c r="AA25" s="278"/>
      <c r="AB25" s="24">
        <v>15</v>
      </c>
      <c r="AC25" s="48">
        <f t="shared" si="5"/>
        <v>0</v>
      </c>
      <c r="AD25" s="278"/>
      <c r="AE25" s="24">
        <v>30</v>
      </c>
      <c r="AF25" s="48">
        <f t="shared" si="6"/>
        <v>0</v>
      </c>
      <c r="AG25" s="48">
        <f t="shared" si="7"/>
        <v>0</v>
      </c>
      <c r="AH25" s="48">
        <f t="shared" si="8"/>
        <v>0</v>
      </c>
      <c r="AI25" s="34">
        <f t="shared" si="9"/>
        <v>48991.7</v>
      </c>
      <c r="AJ25" s="34">
        <f t="shared" si="10"/>
        <v>587.9</v>
      </c>
      <c r="AK25" s="50">
        <f t="shared" si="19"/>
        <v>129.30000000000001</v>
      </c>
      <c r="AL25" s="50">
        <f t="shared" si="22"/>
        <v>26.4</v>
      </c>
      <c r="AM25" s="50">
        <f t="shared" si="11"/>
        <v>31.2</v>
      </c>
      <c r="AN25" s="50">
        <f t="shared" si="20"/>
        <v>186.9</v>
      </c>
      <c r="AP25" s="51"/>
    </row>
    <row r="26" spans="1:42" ht="27" customHeight="1" x14ac:dyDescent="0.2">
      <c r="A26" s="278">
        <v>18</v>
      </c>
      <c r="B26" s="55" t="s">
        <v>92</v>
      </c>
      <c r="C26" s="56">
        <v>3</v>
      </c>
      <c r="D26" s="53">
        <v>4.3769999999999998</v>
      </c>
      <c r="E26" s="46">
        <f t="shared" si="13"/>
        <v>13.13</v>
      </c>
      <c r="F26" s="47">
        <f t="shared" si="14"/>
        <v>157.6</v>
      </c>
      <c r="G26" s="24"/>
      <c r="H26" s="24">
        <f>7681.2/1000</f>
        <v>7.7</v>
      </c>
      <c r="I26" s="24"/>
      <c r="J26" s="24"/>
      <c r="K26" s="24"/>
      <c r="L26" s="24">
        <v>105</v>
      </c>
      <c r="M26" s="24">
        <f t="shared" si="0"/>
        <v>270.3</v>
      </c>
      <c r="N26" s="48">
        <v>0.47</v>
      </c>
      <c r="O26" s="24">
        <f t="shared" si="1"/>
        <v>127</v>
      </c>
      <c r="P26" s="24">
        <f t="shared" si="15"/>
        <v>397.3</v>
      </c>
      <c r="Q26" s="24">
        <f t="shared" si="16"/>
        <v>317.8</v>
      </c>
      <c r="R26" s="24">
        <f t="shared" si="2"/>
        <v>317.8</v>
      </c>
      <c r="S26" s="24">
        <f t="shared" si="17"/>
        <v>33.1</v>
      </c>
      <c r="T26" s="49">
        <f t="shared" si="3"/>
        <v>1066</v>
      </c>
      <c r="U26" s="1425"/>
      <c r="V26" s="49">
        <f>T26*$U$9</f>
        <v>1066</v>
      </c>
      <c r="W26" s="49">
        <f t="shared" si="21"/>
        <v>321.89999999999998</v>
      </c>
      <c r="X26" s="278"/>
      <c r="Y26" s="24">
        <v>30</v>
      </c>
      <c r="Z26" s="48">
        <f>X26*Y26</f>
        <v>0</v>
      </c>
      <c r="AA26" s="278"/>
      <c r="AB26" s="24">
        <v>15</v>
      </c>
      <c r="AC26" s="48">
        <f>AA26*AB26</f>
        <v>0</v>
      </c>
      <c r="AD26" s="278"/>
      <c r="AE26" s="24">
        <v>30</v>
      </c>
      <c r="AF26" s="48">
        <f>AD26*AE26</f>
        <v>0</v>
      </c>
      <c r="AG26" s="48">
        <f>(Z26+AC26+AF26)*1%*30</f>
        <v>0</v>
      </c>
      <c r="AH26" s="48">
        <f>Z26+AC26+AF26+AG26</f>
        <v>0</v>
      </c>
      <c r="AI26" s="34">
        <f t="shared" si="9"/>
        <v>29611.1</v>
      </c>
      <c r="AJ26" s="34">
        <f t="shared" si="10"/>
        <v>355.3</v>
      </c>
      <c r="AK26" s="50">
        <f t="shared" si="19"/>
        <v>234.5</v>
      </c>
      <c r="AL26" s="50">
        <f t="shared" si="22"/>
        <v>79.3</v>
      </c>
      <c r="AM26" s="50">
        <f t="shared" si="11"/>
        <v>56.5</v>
      </c>
      <c r="AN26" s="50">
        <f t="shared" si="20"/>
        <v>370.3</v>
      </c>
      <c r="AP26" s="51"/>
    </row>
    <row r="27" spans="1:42" ht="27" customHeight="1" x14ac:dyDescent="0.2">
      <c r="A27" s="278">
        <v>19</v>
      </c>
      <c r="B27" s="44" t="s">
        <v>102</v>
      </c>
      <c r="C27" s="58">
        <v>2</v>
      </c>
      <c r="D27" s="53">
        <v>4.3769999999999998</v>
      </c>
      <c r="E27" s="46">
        <f t="shared" si="13"/>
        <v>8.75</v>
      </c>
      <c r="F27" s="47">
        <f t="shared" si="14"/>
        <v>105</v>
      </c>
      <c r="G27" s="24"/>
      <c r="H27" s="24">
        <f>948.3/1000</f>
        <v>0.9</v>
      </c>
      <c r="I27" s="24"/>
      <c r="J27" s="24"/>
      <c r="K27" s="24"/>
      <c r="L27" s="24">
        <v>72</v>
      </c>
      <c r="M27" s="24">
        <f t="shared" si="0"/>
        <v>177.9</v>
      </c>
      <c r="N27" s="48">
        <v>0.49</v>
      </c>
      <c r="O27" s="24">
        <f t="shared" si="1"/>
        <v>87.2</v>
      </c>
      <c r="P27" s="24">
        <f t="shared" si="15"/>
        <v>265.10000000000002</v>
      </c>
      <c r="Q27" s="24">
        <f t="shared" si="16"/>
        <v>212.1</v>
      </c>
      <c r="R27" s="24">
        <f t="shared" si="2"/>
        <v>212.1</v>
      </c>
      <c r="S27" s="24">
        <f t="shared" si="17"/>
        <v>22.1</v>
      </c>
      <c r="T27" s="49">
        <f t="shared" si="3"/>
        <v>711.4</v>
      </c>
      <c r="U27" s="1425"/>
      <c r="V27" s="49">
        <f>T27*$U$9-0.2</f>
        <v>711.2</v>
      </c>
      <c r="W27" s="49">
        <f>V27*0.302</f>
        <v>214.8</v>
      </c>
      <c r="X27" s="278"/>
      <c r="Y27" s="24">
        <v>30</v>
      </c>
      <c r="Z27" s="48">
        <f>X27*Y27</f>
        <v>0</v>
      </c>
      <c r="AA27" s="278"/>
      <c r="AB27" s="24">
        <v>15</v>
      </c>
      <c r="AC27" s="48">
        <f>AA27*AB27</f>
        <v>0</v>
      </c>
      <c r="AD27" s="278"/>
      <c r="AE27" s="24">
        <v>30</v>
      </c>
      <c r="AF27" s="48">
        <f>AD27*AE27</f>
        <v>0</v>
      </c>
      <c r="AG27" s="48">
        <f>(Z27+AC27+AF27)*1%*30</f>
        <v>0</v>
      </c>
      <c r="AH27" s="48">
        <f>Z27+AC27+AF27+AG27</f>
        <v>0</v>
      </c>
      <c r="AI27" s="34">
        <f t="shared" si="9"/>
        <v>29633.3</v>
      </c>
      <c r="AJ27" s="34">
        <f t="shared" si="10"/>
        <v>355.6</v>
      </c>
      <c r="AK27" s="50">
        <f t="shared" si="19"/>
        <v>156.5</v>
      </c>
      <c r="AL27" s="50">
        <f t="shared" si="22"/>
        <v>52.9</v>
      </c>
      <c r="AM27" s="50">
        <f t="shared" si="11"/>
        <v>37.700000000000003</v>
      </c>
      <c r="AN27" s="50">
        <f t="shared" si="20"/>
        <v>247.1</v>
      </c>
      <c r="AP27" s="51"/>
    </row>
    <row r="28" spans="1:42" s="62" customFormat="1" ht="20.25" customHeight="1" x14ac:dyDescent="0.2">
      <c r="A28" s="1435" t="s">
        <v>97</v>
      </c>
      <c r="B28" s="1436"/>
      <c r="C28" s="59">
        <f t="shared" ref="C28:AH28" si="23">SUM(C9:C27)</f>
        <v>64.5</v>
      </c>
      <c r="D28" s="25">
        <f t="shared" si="23"/>
        <v>181.9</v>
      </c>
      <c r="E28" s="25">
        <f t="shared" si="23"/>
        <v>527.5</v>
      </c>
      <c r="F28" s="25">
        <f t="shared" si="23"/>
        <v>6321.7</v>
      </c>
      <c r="G28" s="25">
        <f t="shared" si="23"/>
        <v>0</v>
      </c>
      <c r="H28" s="25">
        <f>SUM(H9:H27)</f>
        <v>74.400000000000006</v>
      </c>
      <c r="I28" s="25">
        <f t="shared" si="23"/>
        <v>0</v>
      </c>
      <c r="J28" s="25">
        <f t="shared" si="23"/>
        <v>0</v>
      </c>
      <c r="K28" s="25">
        <f t="shared" si="23"/>
        <v>1143.7</v>
      </c>
      <c r="L28" s="25">
        <f t="shared" si="23"/>
        <v>2252.1999999999998</v>
      </c>
      <c r="M28" s="25">
        <f t="shared" si="23"/>
        <v>9792</v>
      </c>
      <c r="N28" s="25">
        <f t="shared" si="23"/>
        <v>9.1999999999999993</v>
      </c>
      <c r="O28" s="25">
        <f t="shared" si="23"/>
        <v>4877.3</v>
      </c>
      <c r="P28" s="25">
        <f t="shared" si="23"/>
        <v>14669.3</v>
      </c>
      <c r="Q28" s="25">
        <f t="shared" si="23"/>
        <v>11735.5</v>
      </c>
      <c r="R28" s="25">
        <f t="shared" si="23"/>
        <v>11735.5</v>
      </c>
      <c r="S28" s="25">
        <f t="shared" si="23"/>
        <v>1220.3</v>
      </c>
      <c r="T28" s="25">
        <f t="shared" si="23"/>
        <v>39360.6</v>
      </c>
      <c r="U28" s="25">
        <f t="shared" si="23"/>
        <v>1</v>
      </c>
      <c r="V28" s="25">
        <f t="shared" si="23"/>
        <v>39360.400000000001</v>
      </c>
      <c r="W28" s="25">
        <f>SUM(W9:W27)</f>
        <v>11654.6</v>
      </c>
      <c r="X28" s="25">
        <f t="shared" si="23"/>
        <v>29</v>
      </c>
      <c r="Y28" s="25">
        <f t="shared" si="23"/>
        <v>570</v>
      </c>
      <c r="Z28" s="25">
        <f t="shared" si="23"/>
        <v>870</v>
      </c>
      <c r="AA28" s="25">
        <f t="shared" si="23"/>
        <v>12</v>
      </c>
      <c r="AB28" s="25">
        <f t="shared" si="23"/>
        <v>285</v>
      </c>
      <c r="AC28" s="25">
        <f t="shared" si="23"/>
        <v>180</v>
      </c>
      <c r="AD28" s="25">
        <f t="shared" si="23"/>
        <v>8</v>
      </c>
      <c r="AE28" s="25">
        <f t="shared" si="23"/>
        <v>570</v>
      </c>
      <c r="AF28" s="25">
        <f t="shared" si="23"/>
        <v>240</v>
      </c>
      <c r="AG28" s="25">
        <f t="shared" si="23"/>
        <v>387</v>
      </c>
      <c r="AH28" s="25">
        <f t="shared" si="23"/>
        <v>1677</v>
      </c>
      <c r="AI28" s="60"/>
      <c r="AJ28" s="61"/>
      <c r="AN28" s="60">
        <f>SUM(AN9:AN27)</f>
        <v>12276.5</v>
      </c>
    </row>
    <row r="29" spans="1:42" s="62" customFormat="1" ht="20.25" customHeight="1" x14ac:dyDescent="0.2">
      <c r="A29" s="63"/>
      <c r="B29" s="63"/>
      <c r="C29" s="26"/>
      <c r="D29" s="26"/>
      <c r="E29" s="26"/>
      <c r="F29" s="26"/>
      <c r="G29" s="26"/>
      <c r="H29" s="26"/>
      <c r="I29" s="26"/>
      <c r="J29" s="26"/>
      <c r="K29" s="26"/>
      <c r="L29" s="26"/>
      <c r="M29" s="26"/>
      <c r="N29" s="26"/>
      <c r="O29" s="26"/>
      <c r="P29" s="26"/>
      <c r="Q29" s="26"/>
      <c r="R29" s="26"/>
      <c r="S29" s="26"/>
      <c r="T29" s="26"/>
      <c r="U29" s="64"/>
      <c r="V29" s="65"/>
      <c r="W29" s="66"/>
      <c r="X29" s="65"/>
      <c r="Y29" s="65"/>
      <c r="Z29" s="65"/>
      <c r="AA29" s="65"/>
      <c r="AB29" s="65"/>
      <c r="AC29" s="65"/>
      <c r="AD29" s="65"/>
      <c r="AE29" s="65"/>
      <c r="AF29" s="65"/>
      <c r="AG29" s="65"/>
      <c r="AH29" s="65"/>
      <c r="AI29" s="67"/>
      <c r="AJ29" s="61"/>
    </row>
    <row r="30" spans="1:42" s="62" customFormat="1" ht="14.25" x14ac:dyDescent="0.2">
      <c r="A30" s="68"/>
      <c r="B30" s="63"/>
      <c r="C30" s="26"/>
      <c r="D30" s="26"/>
      <c r="E30" s="26"/>
      <c r="F30" s="26"/>
      <c r="G30" s="26"/>
      <c r="H30" s="26"/>
      <c r="I30" s="26"/>
      <c r="J30" s="26"/>
      <c r="K30" s="26"/>
      <c r="L30" s="26"/>
      <c r="M30" s="26"/>
      <c r="N30" s="26"/>
      <c r="O30" s="26"/>
      <c r="P30" s="26"/>
      <c r="Q30" s="26"/>
      <c r="R30" s="26"/>
      <c r="S30" s="26"/>
      <c r="T30" s="26"/>
      <c r="U30" s="64"/>
      <c r="V30" s="69"/>
      <c r="W30" s="69"/>
      <c r="X30" s="65"/>
      <c r="Y30" s="65"/>
      <c r="Z30" s="65"/>
      <c r="AA30" s="65"/>
      <c r="AB30" s="65"/>
      <c r="AC30" s="65"/>
      <c r="AD30" s="65"/>
      <c r="AE30" s="65"/>
      <c r="AF30" s="65"/>
      <c r="AG30" s="65"/>
      <c r="AH30" s="65"/>
      <c r="AI30" s="67"/>
      <c r="AJ30" s="61"/>
    </row>
    <row r="31" spans="1:42" s="75" customFormat="1" ht="15" x14ac:dyDescent="0.2">
      <c r="A31" s="70"/>
      <c r="B31" s="70"/>
      <c r="C31" s="71"/>
      <c r="D31" s="72"/>
      <c r="E31" s="72"/>
      <c r="F31" s="72"/>
      <c r="G31" s="72"/>
      <c r="H31" s="73"/>
      <c r="I31" s="73"/>
      <c r="J31" s="27"/>
      <c r="K31" s="27"/>
      <c r="L31" s="27"/>
      <c r="M31" s="27"/>
      <c r="N31" s="74"/>
      <c r="O31" s="27"/>
      <c r="P31" s="27"/>
      <c r="Q31" s="27"/>
      <c r="R31" s="27"/>
      <c r="S31" s="27"/>
      <c r="T31" s="27"/>
      <c r="U31" s="27"/>
      <c r="V31" s="27"/>
      <c r="W31" s="27"/>
      <c r="X31" s="27"/>
      <c r="Y31" s="27"/>
      <c r="Z31" s="27"/>
      <c r="AA31" s="27"/>
      <c r="AB31" s="27"/>
      <c r="AC31" s="27"/>
      <c r="AD31" s="27"/>
      <c r="AE31" s="27"/>
      <c r="AF31" s="27"/>
      <c r="AG31" s="27"/>
      <c r="AH31" s="27"/>
      <c r="AI31" s="27"/>
      <c r="AK31" s="76"/>
      <c r="AL31" s="76"/>
      <c r="AM31" s="76"/>
      <c r="AN31" s="76"/>
      <c r="AO31" s="76"/>
    </row>
    <row r="32" spans="1:42" s="75" customFormat="1" ht="39.75" customHeight="1" x14ac:dyDescent="0.2">
      <c r="A32" s="70"/>
      <c r="B32" s="70"/>
      <c r="C32" s="71"/>
      <c r="D32" s="77"/>
      <c r="E32" s="77"/>
      <c r="F32" s="27"/>
      <c r="G32" s="1438" t="s">
        <v>140</v>
      </c>
      <c r="H32" s="1438"/>
      <c r="I32" s="1433" t="s">
        <v>141</v>
      </c>
      <c r="J32" s="1434"/>
      <c r="K32" s="1433" t="s">
        <v>128</v>
      </c>
      <c r="L32" s="1434"/>
      <c r="M32" s="70"/>
      <c r="N32" s="70"/>
      <c r="O32" s="70"/>
      <c r="P32" s="70"/>
      <c r="Q32" s="27"/>
      <c r="R32" s="27"/>
      <c r="S32" s="27"/>
      <c r="T32" s="27"/>
      <c r="U32" s="27"/>
      <c r="V32" s="27"/>
      <c r="W32" s="27"/>
      <c r="X32" s="27"/>
      <c r="Y32" s="27"/>
      <c r="Z32" s="27"/>
      <c r="AA32" s="27"/>
      <c r="AB32" s="27"/>
      <c r="AC32" s="27"/>
      <c r="AD32" s="27"/>
      <c r="AE32" s="27"/>
      <c r="AF32" s="27"/>
      <c r="AG32" s="27"/>
      <c r="AH32" s="27"/>
      <c r="AI32" s="27"/>
      <c r="AK32" s="76"/>
      <c r="AL32" s="76"/>
      <c r="AM32" s="76"/>
      <c r="AN32" s="76"/>
      <c r="AO32" s="76"/>
    </row>
    <row r="33" spans="1:41" s="75" customFormat="1" ht="15" x14ac:dyDescent="0.2">
      <c r="A33" s="70"/>
      <c r="B33" s="70"/>
      <c r="C33" s="71"/>
      <c r="D33" s="77"/>
      <c r="E33" s="77"/>
      <c r="F33" s="27"/>
      <c r="G33" s="279">
        <v>991</v>
      </c>
      <c r="H33" s="279">
        <v>992</v>
      </c>
      <c r="I33" s="279">
        <v>991</v>
      </c>
      <c r="J33" s="279">
        <v>992</v>
      </c>
      <c r="K33" s="279">
        <v>991</v>
      </c>
      <c r="L33" s="279">
        <v>992</v>
      </c>
      <c r="M33" s="79"/>
      <c r="N33" s="79"/>
      <c r="O33" s="79"/>
      <c r="P33" s="79"/>
      <c r="Q33" s="27"/>
      <c r="R33" s="27"/>
      <c r="S33" s="27"/>
      <c r="T33" s="27"/>
      <c r="U33" s="27"/>
      <c r="V33" s="27"/>
      <c r="W33" s="27"/>
      <c r="X33" s="27"/>
      <c r="Y33" s="27"/>
      <c r="Z33" s="27"/>
      <c r="AA33" s="27"/>
      <c r="AB33" s="27"/>
      <c r="AC33" s="27"/>
      <c r="AD33" s="27"/>
      <c r="AE33" s="27"/>
      <c r="AF33" s="27"/>
      <c r="AG33" s="27"/>
      <c r="AH33" s="27"/>
      <c r="AI33" s="27"/>
      <c r="AK33" s="76"/>
      <c r="AL33" s="76"/>
      <c r="AM33" s="76"/>
      <c r="AN33" s="76"/>
      <c r="AO33" s="76"/>
    </row>
    <row r="34" spans="1:41" s="75" customFormat="1" ht="15" x14ac:dyDescent="0.2">
      <c r="A34" s="70"/>
      <c r="B34" s="70"/>
      <c r="C34" s="71"/>
      <c r="D34" s="77"/>
      <c r="E34" s="77"/>
      <c r="F34" s="27"/>
      <c r="G34" s="29">
        <v>39360.400000000001</v>
      </c>
      <c r="H34" s="29">
        <v>11661.7</v>
      </c>
      <c r="I34" s="29">
        <f>V28</f>
        <v>39360.400000000001</v>
      </c>
      <c r="J34" s="29">
        <f>W28</f>
        <v>11654.6</v>
      </c>
      <c r="K34" s="29">
        <f>G34-I34</f>
        <v>0</v>
      </c>
      <c r="L34" s="29">
        <f>H34-J34</f>
        <v>7.1</v>
      </c>
      <c r="M34" s="80"/>
      <c r="N34" s="80"/>
      <c r="O34" s="80"/>
      <c r="P34" s="80"/>
      <c r="Q34" s="27"/>
      <c r="R34" s="27"/>
      <c r="S34" s="27"/>
      <c r="T34" s="27"/>
      <c r="U34" s="27"/>
      <c r="V34" s="27"/>
      <c r="W34" s="27"/>
      <c r="X34" s="27"/>
      <c r="Y34" s="27"/>
      <c r="Z34" s="27"/>
      <c r="AA34" s="27"/>
      <c r="AB34" s="27"/>
      <c r="AC34" s="27"/>
      <c r="AD34" s="27"/>
      <c r="AE34" s="27"/>
      <c r="AF34" s="27"/>
      <c r="AG34" s="27"/>
      <c r="AH34" s="27"/>
      <c r="AI34" s="27"/>
      <c r="AK34" s="76"/>
      <c r="AL34" s="76"/>
      <c r="AM34" s="76"/>
      <c r="AN34" s="76"/>
      <c r="AO34" s="76"/>
    </row>
    <row r="35" spans="1:41" s="75" customFormat="1" ht="15" x14ac:dyDescent="0.2">
      <c r="A35" s="70"/>
      <c r="B35" s="70"/>
      <c r="C35" s="71"/>
      <c r="D35" s="77"/>
      <c r="E35" s="77"/>
      <c r="F35" s="27"/>
      <c r="G35" s="27"/>
      <c r="H35" s="73"/>
      <c r="I35" s="73"/>
      <c r="J35" s="27"/>
      <c r="K35" s="27"/>
      <c r="L35" s="27"/>
      <c r="M35" s="27"/>
      <c r="N35" s="74"/>
      <c r="O35" s="27"/>
      <c r="P35" s="27"/>
      <c r="Q35" s="27"/>
      <c r="R35" s="27"/>
      <c r="S35" s="27"/>
      <c r="T35" s="27"/>
      <c r="U35" s="27"/>
      <c r="V35" s="27"/>
      <c r="W35" s="27"/>
      <c r="X35" s="27"/>
      <c r="Y35" s="27"/>
      <c r="Z35" s="27"/>
      <c r="AA35" s="27"/>
      <c r="AB35" s="27"/>
      <c r="AC35" s="27"/>
      <c r="AD35" s="27"/>
      <c r="AE35" s="27"/>
      <c r="AF35" s="27"/>
      <c r="AG35" s="27"/>
      <c r="AH35" s="27"/>
      <c r="AI35" s="27"/>
      <c r="AK35" s="76"/>
      <c r="AL35" s="76"/>
      <c r="AM35" s="76"/>
      <c r="AN35" s="76"/>
      <c r="AO35" s="76"/>
    </row>
    <row r="36" spans="1:41" s="75" customFormat="1" ht="15" x14ac:dyDescent="0.2">
      <c r="A36" s="70"/>
      <c r="B36" s="70"/>
      <c r="C36" s="71"/>
      <c r="D36" s="77"/>
      <c r="E36" s="77"/>
      <c r="F36" s="27"/>
      <c r="G36" s="27"/>
      <c r="H36" s="73"/>
      <c r="I36" s="73"/>
      <c r="J36" s="27"/>
      <c r="K36" s="27"/>
      <c r="L36" s="27"/>
      <c r="M36" s="27"/>
      <c r="N36" s="74"/>
      <c r="O36" s="27"/>
      <c r="P36" s="27"/>
      <c r="Q36" s="27"/>
      <c r="R36" s="27"/>
      <c r="S36" s="27"/>
      <c r="T36" s="27"/>
      <c r="U36" s="27"/>
      <c r="V36" s="27"/>
      <c r="W36" s="27"/>
      <c r="X36" s="27"/>
      <c r="Y36" s="27"/>
      <c r="Z36" s="27"/>
      <c r="AA36" s="27"/>
      <c r="AB36" s="27"/>
      <c r="AC36" s="27"/>
      <c r="AD36" s="27"/>
      <c r="AE36" s="27"/>
      <c r="AF36" s="27"/>
      <c r="AG36" s="27"/>
      <c r="AH36" s="27"/>
      <c r="AI36" s="27"/>
      <c r="AK36" s="76"/>
      <c r="AL36" s="76"/>
      <c r="AM36" s="76"/>
      <c r="AN36" s="76"/>
      <c r="AO36" s="76"/>
    </row>
    <row r="37" spans="1:41" s="282" customFormat="1" ht="20.25" x14ac:dyDescent="0.2">
      <c r="A37" s="81"/>
      <c r="B37" s="82" t="s">
        <v>138</v>
      </c>
      <c r="C37" s="83"/>
      <c r="D37" s="84"/>
      <c r="E37" s="84"/>
      <c r="F37" s="85"/>
      <c r="G37" s="85"/>
      <c r="H37" s="86"/>
      <c r="I37" s="86"/>
      <c r="J37" s="85"/>
      <c r="K37" s="30" t="s">
        <v>166</v>
      </c>
      <c r="L37" s="85"/>
      <c r="M37" s="85"/>
      <c r="N37" s="87"/>
      <c r="O37" s="85"/>
      <c r="P37" s="85"/>
      <c r="Q37" s="85"/>
      <c r="R37" s="85"/>
      <c r="S37" s="85"/>
      <c r="T37" s="85"/>
      <c r="U37" s="85"/>
      <c r="V37" s="85"/>
      <c r="W37" s="85"/>
      <c r="X37" s="85"/>
      <c r="Y37" s="85"/>
      <c r="Z37" s="85"/>
      <c r="AA37" s="85"/>
      <c r="AB37" s="85"/>
      <c r="AC37" s="85"/>
      <c r="AD37" s="85"/>
      <c r="AE37" s="85"/>
      <c r="AF37" s="85"/>
      <c r="AG37" s="85"/>
      <c r="AH37" s="85"/>
      <c r="AI37" s="85"/>
      <c r="AK37" s="88"/>
      <c r="AL37" s="88"/>
      <c r="AM37" s="88"/>
      <c r="AN37" s="88"/>
      <c r="AO37" s="88"/>
    </row>
    <row r="38" spans="1:41" s="75" customFormat="1" ht="15" x14ac:dyDescent="0.2">
      <c r="A38" s="70"/>
      <c r="B38" s="70"/>
      <c r="C38" s="71"/>
      <c r="D38" s="77"/>
      <c r="E38" s="77"/>
      <c r="F38" s="27"/>
      <c r="G38" s="27"/>
      <c r="H38" s="73"/>
      <c r="I38" s="73"/>
      <c r="J38" s="27"/>
      <c r="K38" s="27"/>
      <c r="L38" s="27"/>
      <c r="M38" s="27"/>
      <c r="N38" s="74"/>
      <c r="O38" s="27"/>
      <c r="P38" s="27"/>
      <c r="Q38" s="27"/>
      <c r="R38" s="27"/>
      <c r="S38" s="27"/>
      <c r="T38" s="27"/>
      <c r="U38" s="27"/>
      <c r="V38" s="27"/>
      <c r="W38" s="27"/>
      <c r="X38" s="27"/>
      <c r="Y38" s="27"/>
      <c r="Z38" s="27"/>
      <c r="AA38" s="27"/>
      <c r="AB38" s="27"/>
      <c r="AC38" s="27"/>
      <c r="AD38" s="27"/>
      <c r="AE38" s="27"/>
      <c r="AF38" s="27"/>
      <c r="AG38" s="27"/>
      <c r="AH38" s="27"/>
      <c r="AI38" s="27"/>
      <c r="AK38" s="76"/>
      <c r="AL38" s="76"/>
      <c r="AM38" s="76"/>
      <c r="AN38" s="76"/>
      <c r="AO38" s="76"/>
    </row>
    <row r="39" spans="1:41" s="75" customFormat="1" ht="20.25" customHeight="1" x14ac:dyDescent="0.2">
      <c r="A39" s="89" t="s">
        <v>96</v>
      </c>
      <c r="B39" s="89"/>
      <c r="C39" s="31"/>
      <c r="D39" s="31"/>
      <c r="E39" s="31"/>
      <c r="F39" s="31"/>
      <c r="G39" s="31"/>
      <c r="H39" s="31"/>
      <c r="I39" s="31"/>
      <c r="J39" s="31"/>
      <c r="K39" s="31"/>
      <c r="L39" s="90"/>
      <c r="M39" s="90"/>
      <c r="N39" s="91"/>
      <c r="O39" s="90"/>
      <c r="P39" s="90"/>
      <c r="Q39" s="90"/>
      <c r="R39" s="90"/>
      <c r="S39" s="90"/>
      <c r="T39" s="90"/>
      <c r="U39" s="90"/>
      <c r="V39" s="90"/>
      <c r="W39" s="90"/>
      <c r="X39" s="90"/>
      <c r="Y39" s="90"/>
      <c r="Z39" s="90"/>
      <c r="AA39" s="90"/>
      <c r="AB39" s="90"/>
      <c r="AC39" s="90"/>
      <c r="AD39" s="90"/>
      <c r="AE39" s="90"/>
      <c r="AF39" s="90"/>
      <c r="AG39" s="90"/>
      <c r="AH39" s="90"/>
      <c r="AI39" s="90"/>
      <c r="AK39" s="76"/>
      <c r="AL39" s="76"/>
      <c r="AM39" s="76"/>
      <c r="AN39" s="76"/>
      <c r="AO39" s="76"/>
    </row>
    <row r="40" spans="1:41" s="75" customFormat="1" ht="20.25" customHeight="1" x14ac:dyDescent="0.2">
      <c r="A40" s="89" t="s">
        <v>139</v>
      </c>
      <c r="B40" s="92"/>
      <c r="C40" s="93"/>
      <c r="D40" s="93"/>
      <c r="E40" s="32"/>
      <c r="F40" s="32"/>
      <c r="G40" s="32"/>
      <c r="H40" s="32"/>
      <c r="I40" s="32"/>
      <c r="J40" s="32"/>
      <c r="K40" s="32"/>
      <c r="L40" s="90"/>
      <c r="M40" s="90"/>
      <c r="N40" s="90"/>
      <c r="O40" s="90"/>
      <c r="P40" s="90"/>
      <c r="Q40" s="90"/>
      <c r="R40" s="90"/>
      <c r="S40" s="90"/>
      <c r="T40" s="90"/>
      <c r="U40" s="90"/>
      <c r="V40" s="90"/>
      <c r="W40" s="90"/>
      <c r="X40" s="90"/>
      <c r="Y40" s="90"/>
      <c r="Z40" s="90"/>
      <c r="AA40" s="90"/>
      <c r="AB40" s="90"/>
      <c r="AC40" s="90"/>
      <c r="AD40" s="90"/>
      <c r="AE40" s="90"/>
      <c r="AF40" s="90"/>
      <c r="AG40" s="90"/>
      <c r="AH40" s="90"/>
      <c r="AI40" s="90"/>
      <c r="AK40" s="76"/>
      <c r="AL40" s="76"/>
      <c r="AM40" s="76"/>
      <c r="AN40" s="76"/>
      <c r="AO40" s="76"/>
    </row>
    <row r="41" spans="1:41" ht="15.75" x14ac:dyDescent="0.2">
      <c r="A41" s="1437"/>
      <c r="B41" s="1437"/>
      <c r="C41" s="1437"/>
    </row>
    <row r="43" spans="1:41" x14ac:dyDescent="0.2">
      <c r="E43" s="51"/>
    </row>
    <row r="44" spans="1:41" x14ac:dyDescent="0.2">
      <c r="E44" s="51"/>
    </row>
    <row r="45" spans="1:41" x14ac:dyDescent="0.2">
      <c r="E45" s="51"/>
    </row>
    <row r="46" spans="1:41" x14ac:dyDescent="0.2">
      <c r="E46" s="51"/>
    </row>
    <row r="47" spans="1:41" x14ac:dyDescent="0.2">
      <c r="E47" s="51"/>
    </row>
    <row r="48" spans="1:41" x14ac:dyDescent="0.2">
      <c r="E48" s="51"/>
    </row>
    <row r="49" spans="5:5" x14ac:dyDescent="0.2">
      <c r="E49" s="51"/>
    </row>
    <row r="50" spans="5:5" x14ac:dyDescent="0.2">
      <c r="E50" s="51"/>
    </row>
    <row r="51" spans="5:5" x14ac:dyDescent="0.2">
      <c r="E51" s="51"/>
    </row>
    <row r="52" spans="5:5" x14ac:dyDescent="0.2">
      <c r="E52" s="51"/>
    </row>
    <row r="53" spans="5:5" x14ac:dyDescent="0.2">
      <c r="E53" s="51"/>
    </row>
    <row r="54" spans="5:5" x14ac:dyDescent="0.2">
      <c r="E54" s="51"/>
    </row>
    <row r="55" spans="5:5" x14ac:dyDescent="0.2">
      <c r="E55" s="51"/>
    </row>
    <row r="56" spans="5:5" x14ac:dyDescent="0.2">
      <c r="E56" s="51"/>
    </row>
    <row r="57" spans="5:5" x14ac:dyDescent="0.2">
      <c r="E57" s="51"/>
    </row>
    <row r="58" spans="5:5" x14ac:dyDescent="0.2">
      <c r="E58" s="51"/>
    </row>
    <row r="59" spans="5:5" x14ac:dyDescent="0.2">
      <c r="E59" s="51"/>
    </row>
    <row r="60" spans="5:5" x14ac:dyDescent="0.2">
      <c r="E60" s="51"/>
    </row>
    <row r="61" spans="5:5" x14ac:dyDescent="0.2">
      <c r="E61" s="51"/>
    </row>
    <row r="62" spans="5:5" x14ac:dyDescent="0.2">
      <c r="E62" s="51"/>
    </row>
    <row r="63" spans="5:5" x14ac:dyDescent="0.2">
      <c r="E63" s="51"/>
    </row>
    <row r="64" spans="5:5" x14ac:dyDescent="0.2">
      <c r="E64" s="51"/>
    </row>
    <row r="65" spans="5:5" x14ac:dyDescent="0.2">
      <c r="E65" s="51"/>
    </row>
    <row r="66" spans="5:5" x14ac:dyDescent="0.2">
      <c r="E66" s="51"/>
    </row>
    <row r="67" spans="5:5" x14ac:dyDescent="0.2">
      <c r="E67" s="51"/>
    </row>
    <row r="68" spans="5:5" x14ac:dyDescent="0.2">
      <c r="E68" s="51"/>
    </row>
    <row r="69" spans="5:5" x14ac:dyDescent="0.2">
      <c r="E69" s="51"/>
    </row>
    <row r="70" spans="5:5" x14ac:dyDescent="0.2">
      <c r="E70" s="51"/>
    </row>
    <row r="71" spans="5:5" x14ac:dyDescent="0.2">
      <c r="E71" s="51"/>
    </row>
    <row r="72" spans="5:5" x14ac:dyDescent="0.2">
      <c r="E72" s="51"/>
    </row>
    <row r="73" spans="5:5" x14ac:dyDescent="0.2">
      <c r="E73" s="51"/>
    </row>
    <row r="74" spans="5:5" x14ac:dyDescent="0.2">
      <c r="E74" s="51"/>
    </row>
  </sheetData>
  <autoFilter ref="A8:AP30"/>
  <mergeCells count="38">
    <mergeCell ref="J6:J7"/>
    <mergeCell ref="K6:K7"/>
    <mergeCell ref="U9:U27"/>
    <mergeCell ref="A28:B28"/>
    <mergeCell ref="S6:S7"/>
    <mergeCell ref="T6:T7"/>
    <mergeCell ref="G32:H32"/>
    <mergeCell ref="I32:J32"/>
    <mergeCell ref="K32:L32"/>
    <mergeCell ref="A41:C41"/>
    <mergeCell ref="AA6:AC6"/>
    <mergeCell ref="R6:R7"/>
    <mergeCell ref="F6:F7"/>
    <mergeCell ref="G6:G7"/>
    <mergeCell ref="H6:H7"/>
    <mergeCell ref="I6:I7"/>
    <mergeCell ref="U6:U7"/>
    <mergeCell ref="L6:L7"/>
    <mergeCell ref="M6:M7"/>
    <mergeCell ref="N6:O6"/>
    <mergeCell ref="P6:P7"/>
    <mergeCell ref="Q6:Q7"/>
    <mergeCell ref="AE1:AH1"/>
    <mergeCell ref="A2:AH2"/>
    <mergeCell ref="A3:AH3"/>
    <mergeCell ref="A5:A7"/>
    <mergeCell ref="B5:B7"/>
    <mergeCell ref="C5:C7"/>
    <mergeCell ref="D5:W5"/>
    <mergeCell ref="X5:AH5"/>
    <mergeCell ref="D6:D7"/>
    <mergeCell ref="E6:E7"/>
    <mergeCell ref="AD6:AF6"/>
    <mergeCell ref="AG6:AG7"/>
    <mergeCell ref="AH6:AH7"/>
    <mergeCell ref="V6:V7"/>
    <mergeCell ref="W6:W7"/>
    <mergeCell ref="X6:Z6"/>
  </mergeCells>
  <printOptions horizontalCentered="1"/>
  <pageMargins left="0.25" right="0.25" top="0.75" bottom="0.75" header="0.3" footer="0.3"/>
  <pageSetup paperSize="9" scale="33" orientation="landscape"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S43"/>
  <sheetViews>
    <sheetView view="pageBreakPreview" zoomScale="80" zoomScaleSheetLayoutView="80" workbookViewId="0">
      <pane xSplit="3" ySplit="8" topLeftCell="U9"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2.75" x14ac:dyDescent="0.2"/>
  <cols>
    <col min="1" max="1" width="12.83203125" style="98" customWidth="1"/>
    <col min="2" max="2" width="30.83203125" style="99" customWidth="1"/>
    <col min="3" max="3" width="13.83203125" style="99" customWidth="1"/>
    <col min="4" max="4" width="11.5" style="99" customWidth="1"/>
    <col min="5" max="5" width="13" style="99" customWidth="1"/>
    <col min="6" max="6" width="14.6640625" style="99" customWidth="1"/>
    <col min="7" max="8" width="13.1640625" style="99" customWidth="1"/>
    <col min="9" max="9" width="11.6640625" style="99" customWidth="1"/>
    <col min="10" max="10" width="16.83203125" style="99" customWidth="1"/>
    <col min="11" max="11" width="12" style="99" customWidth="1"/>
    <col min="12" max="17" width="11.5" style="100" customWidth="1"/>
    <col min="18" max="18" width="14.1640625" style="99" customWidth="1"/>
    <col min="19" max="19" width="15.5" style="99" customWidth="1"/>
    <col min="20" max="20" width="12.33203125" style="99" customWidth="1"/>
    <col min="21" max="21" width="11.6640625" style="99" customWidth="1"/>
    <col min="22" max="23" width="12" style="99" customWidth="1"/>
    <col min="24" max="24" width="12.6640625" style="99" customWidth="1"/>
    <col min="25" max="25" width="12" style="99" customWidth="1"/>
    <col min="26" max="26" width="9.6640625" style="99" customWidth="1"/>
    <col min="27" max="31" width="8.5" style="99" customWidth="1"/>
    <col min="32" max="32" width="9.6640625" style="99" customWidth="1"/>
    <col min="33" max="33" width="9.33203125" style="99" customWidth="1"/>
    <col min="34" max="34" width="12" style="99" customWidth="1"/>
    <col min="35" max="36" width="11.1640625" style="99" customWidth="1"/>
    <col min="37" max="37" width="12.6640625" style="99" customWidth="1"/>
    <col min="38" max="38" width="11.83203125" style="99" hidden="1" customWidth="1"/>
    <col min="39" max="39" width="13" style="99" hidden="1" customWidth="1"/>
    <col min="40" max="42" width="9.33203125" style="22"/>
    <col min="43" max="43" width="11.33203125" style="22" bestFit="1" customWidth="1"/>
    <col min="44" max="16384" width="9.33203125" style="99"/>
  </cols>
  <sheetData>
    <row r="1" spans="1:45" ht="21" customHeight="1" x14ac:dyDescent="0.2">
      <c r="AE1" s="1439"/>
      <c r="AF1" s="1439"/>
      <c r="AG1" s="1439"/>
      <c r="AH1" s="1439"/>
    </row>
    <row r="2" spans="1:45" ht="24" customHeight="1" x14ac:dyDescent="0.2">
      <c r="A2" s="1440" t="s">
        <v>155</v>
      </c>
      <c r="B2" s="1440"/>
      <c r="C2" s="1440"/>
      <c r="D2" s="1440"/>
      <c r="E2" s="1440"/>
      <c r="F2" s="1440"/>
      <c r="G2" s="1440"/>
      <c r="H2" s="1440"/>
      <c r="I2" s="1440"/>
      <c r="J2" s="1440"/>
      <c r="K2" s="1440"/>
      <c r="L2" s="1440"/>
      <c r="M2" s="1440"/>
      <c r="N2" s="1440"/>
      <c r="O2" s="1440"/>
      <c r="P2" s="1440"/>
      <c r="Q2" s="1440"/>
      <c r="R2" s="1440"/>
      <c r="S2" s="1440"/>
      <c r="T2" s="1440"/>
      <c r="U2" s="1440"/>
      <c r="V2" s="1440"/>
      <c r="W2" s="1440"/>
      <c r="X2" s="1440"/>
      <c r="Y2" s="1440"/>
      <c r="Z2" s="1440"/>
      <c r="AA2" s="1440"/>
      <c r="AB2" s="1440"/>
      <c r="AC2" s="1440"/>
      <c r="AD2" s="1440"/>
      <c r="AE2" s="1440"/>
      <c r="AF2" s="1440"/>
      <c r="AG2" s="1440"/>
      <c r="AH2" s="1440"/>
    </row>
    <row r="3" spans="1:45" ht="24.75" customHeight="1" x14ac:dyDescent="0.2">
      <c r="A3" s="1441"/>
      <c r="B3" s="1441"/>
      <c r="C3" s="1441"/>
      <c r="D3" s="1441"/>
      <c r="E3" s="1441"/>
      <c r="F3" s="1441"/>
      <c r="G3" s="1441"/>
      <c r="H3" s="1441"/>
      <c r="I3" s="1441"/>
      <c r="J3" s="1441"/>
      <c r="K3" s="1441"/>
      <c r="L3" s="1441"/>
      <c r="M3" s="1441"/>
      <c r="N3" s="1441"/>
      <c r="O3" s="1441"/>
      <c r="P3" s="1441"/>
      <c r="Q3" s="1441"/>
      <c r="R3" s="1441"/>
      <c r="S3" s="1441"/>
      <c r="T3" s="1441"/>
      <c r="U3" s="1441"/>
      <c r="V3" s="1441"/>
      <c r="W3" s="1441"/>
      <c r="X3" s="1441"/>
      <c r="Y3" s="1441"/>
      <c r="Z3" s="1441"/>
      <c r="AA3" s="1441"/>
      <c r="AB3" s="1441"/>
      <c r="AC3" s="1441"/>
      <c r="AD3" s="1441"/>
      <c r="AE3" s="1441"/>
      <c r="AF3" s="1441"/>
      <c r="AG3" s="1441"/>
      <c r="AH3" s="1441"/>
    </row>
    <row r="4" spans="1:45" x14ac:dyDescent="0.2">
      <c r="L4" s="102">
        <v>3.8399999999999997E-2</v>
      </c>
    </row>
    <row r="5" spans="1:45" ht="38.25" customHeight="1" x14ac:dyDescent="0.2">
      <c r="A5" s="1442" t="s">
        <v>78</v>
      </c>
      <c r="B5" s="1442" t="s">
        <v>77</v>
      </c>
      <c r="C5" s="1443" t="s">
        <v>0</v>
      </c>
      <c r="D5" s="1443" t="s">
        <v>3</v>
      </c>
      <c r="E5" s="1443"/>
      <c r="F5" s="1443"/>
      <c r="G5" s="1443"/>
      <c r="H5" s="1443"/>
      <c r="I5" s="1443"/>
      <c r="J5" s="1443"/>
      <c r="K5" s="1443"/>
      <c r="L5" s="1443"/>
      <c r="M5" s="1443"/>
      <c r="N5" s="1443"/>
      <c r="O5" s="1443"/>
      <c r="P5" s="1443"/>
      <c r="Q5" s="1443"/>
      <c r="R5" s="1443"/>
      <c r="S5" s="1443"/>
      <c r="T5" s="1443"/>
      <c r="U5" s="1443"/>
      <c r="V5" s="1443"/>
      <c r="W5" s="1443"/>
      <c r="X5" s="1443" t="s">
        <v>4</v>
      </c>
      <c r="Y5" s="1443"/>
      <c r="Z5" s="1443"/>
      <c r="AA5" s="1443"/>
      <c r="AB5" s="1443"/>
      <c r="AC5" s="1443"/>
      <c r="AD5" s="1443"/>
      <c r="AE5" s="1443"/>
      <c r="AF5" s="1443"/>
      <c r="AG5" s="1443"/>
      <c r="AH5" s="1443"/>
    </row>
    <row r="6" spans="1:45" ht="60" customHeight="1" x14ac:dyDescent="0.2">
      <c r="A6" s="1442"/>
      <c r="B6" s="1442"/>
      <c r="C6" s="1443"/>
      <c r="D6" s="1444" t="s">
        <v>79</v>
      </c>
      <c r="E6" s="1444" t="s">
        <v>69</v>
      </c>
      <c r="F6" s="1444" t="s">
        <v>89</v>
      </c>
      <c r="G6" s="1444" t="s">
        <v>1</v>
      </c>
      <c r="H6" s="1444" t="s">
        <v>2</v>
      </c>
      <c r="I6" s="1444" t="s">
        <v>70</v>
      </c>
      <c r="J6" s="1444" t="s">
        <v>61</v>
      </c>
      <c r="K6" s="1444" t="s">
        <v>27</v>
      </c>
      <c r="L6" s="1446" t="s">
        <v>65</v>
      </c>
      <c r="M6" s="1446" t="s">
        <v>86</v>
      </c>
      <c r="N6" s="1447" t="s">
        <v>91</v>
      </c>
      <c r="O6" s="1447"/>
      <c r="P6" s="1447" t="s">
        <v>88</v>
      </c>
      <c r="Q6" s="1446" t="s">
        <v>82</v>
      </c>
      <c r="R6" s="1444" t="s">
        <v>83</v>
      </c>
      <c r="S6" s="1446" t="s">
        <v>87</v>
      </c>
      <c r="T6" s="1444" t="s">
        <v>84</v>
      </c>
      <c r="U6" s="1444" t="s">
        <v>9</v>
      </c>
      <c r="V6" s="1444" t="s">
        <v>7</v>
      </c>
      <c r="W6" s="1444" t="s">
        <v>85</v>
      </c>
      <c r="X6" s="1443" t="s">
        <v>10</v>
      </c>
      <c r="Y6" s="1443"/>
      <c r="Z6" s="1443"/>
      <c r="AA6" s="1443" t="s">
        <v>11</v>
      </c>
      <c r="AB6" s="1443"/>
      <c r="AC6" s="1443"/>
      <c r="AD6" s="1443" t="s">
        <v>12</v>
      </c>
      <c r="AE6" s="1443"/>
      <c r="AF6" s="1443"/>
      <c r="AG6" s="1443" t="s">
        <v>13</v>
      </c>
      <c r="AH6" s="1443" t="s">
        <v>73</v>
      </c>
    </row>
    <row r="7" spans="1:45" ht="97.5" customHeight="1" x14ac:dyDescent="0.2">
      <c r="A7" s="1442"/>
      <c r="B7" s="1442"/>
      <c r="C7" s="1443"/>
      <c r="D7" s="1444"/>
      <c r="E7" s="1444"/>
      <c r="F7" s="1444"/>
      <c r="G7" s="1444"/>
      <c r="H7" s="1444"/>
      <c r="I7" s="1444"/>
      <c r="J7" s="1444"/>
      <c r="K7" s="1444"/>
      <c r="L7" s="1446" t="s">
        <v>66</v>
      </c>
      <c r="M7" s="1446"/>
      <c r="N7" s="286" t="s">
        <v>80</v>
      </c>
      <c r="O7" s="286" t="s">
        <v>81</v>
      </c>
      <c r="P7" s="1447"/>
      <c r="Q7" s="1446"/>
      <c r="R7" s="1444"/>
      <c r="S7" s="1446" t="s">
        <v>67</v>
      </c>
      <c r="T7" s="1444"/>
      <c r="U7" s="1444"/>
      <c r="V7" s="1444"/>
      <c r="W7" s="1444"/>
      <c r="X7" s="285" t="s">
        <v>5</v>
      </c>
      <c r="Y7" s="285" t="s">
        <v>6</v>
      </c>
      <c r="Z7" s="285" t="s">
        <v>74</v>
      </c>
      <c r="AA7" s="285" t="s">
        <v>5</v>
      </c>
      <c r="AB7" s="285" t="s">
        <v>6</v>
      </c>
      <c r="AC7" s="285" t="s">
        <v>75</v>
      </c>
      <c r="AD7" s="285" t="s">
        <v>5</v>
      </c>
      <c r="AE7" s="285" t="s">
        <v>6</v>
      </c>
      <c r="AF7" s="285" t="s">
        <v>76</v>
      </c>
      <c r="AG7" s="1443"/>
      <c r="AH7" s="1443"/>
      <c r="AK7" s="98" t="s">
        <v>64</v>
      </c>
      <c r="AL7" s="98" t="s">
        <v>62</v>
      </c>
      <c r="AM7" s="98" t="s">
        <v>63</v>
      </c>
    </row>
    <row r="8" spans="1:45" x14ac:dyDescent="0.2">
      <c r="A8" s="284">
        <v>1</v>
      </c>
      <c r="B8" s="284">
        <v>2</v>
      </c>
      <c r="C8" s="284">
        <v>3</v>
      </c>
      <c r="D8" s="284">
        <v>4</v>
      </c>
      <c r="E8" s="284">
        <v>5</v>
      </c>
      <c r="F8" s="284">
        <v>6</v>
      </c>
      <c r="G8" s="284">
        <v>7</v>
      </c>
      <c r="H8" s="284">
        <v>8</v>
      </c>
      <c r="I8" s="284">
        <v>9</v>
      </c>
      <c r="J8" s="284">
        <v>10</v>
      </c>
      <c r="K8" s="284">
        <v>11</v>
      </c>
      <c r="L8" s="284">
        <v>12</v>
      </c>
      <c r="M8" s="284">
        <v>13</v>
      </c>
      <c r="N8" s="284">
        <v>14</v>
      </c>
      <c r="O8" s="284">
        <v>15</v>
      </c>
      <c r="P8" s="284">
        <v>16</v>
      </c>
      <c r="Q8" s="284">
        <v>17</v>
      </c>
      <c r="R8" s="284">
        <v>18</v>
      </c>
      <c r="S8" s="284">
        <v>19</v>
      </c>
      <c r="T8" s="284">
        <v>20</v>
      </c>
      <c r="U8" s="284">
        <v>21</v>
      </c>
      <c r="V8" s="284">
        <v>22</v>
      </c>
      <c r="W8" s="284">
        <v>23</v>
      </c>
      <c r="X8" s="284">
        <v>24</v>
      </c>
      <c r="Y8" s="284">
        <v>25</v>
      </c>
      <c r="Z8" s="284">
        <v>26</v>
      </c>
      <c r="AA8" s="284">
        <v>27</v>
      </c>
      <c r="AB8" s="284">
        <v>28</v>
      </c>
      <c r="AC8" s="284">
        <v>29</v>
      </c>
      <c r="AD8" s="284">
        <v>30</v>
      </c>
      <c r="AE8" s="284">
        <v>31</v>
      </c>
      <c r="AF8" s="284">
        <v>32</v>
      </c>
      <c r="AG8" s="284">
        <v>33</v>
      </c>
      <c r="AH8" s="284">
        <v>34</v>
      </c>
      <c r="AN8" s="43" t="s">
        <v>116</v>
      </c>
      <c r="AO8" s="43" t="s">
        <v>117</v>
      </c>
      <c r="AP8" s="43" t="s">
        <v>118</v>
      </c>
      <c r="AQ8" s="43" t="s">
        <v>119</v>
      </c>
    </row>
    <row r="9" spans="1:45" ht="16.5" customHeight="1" x14ac:dyDescent="0.2">
      <c r="A9" s="284">
        <v>1</v>
      </c>
      <c r="B9" s="106" t="s">
        <v>21</v>
      </c>
      <c r="C9" s="284">
        <v>1</v>
      </c>
      <c r="D9" s="107">
        <v>22.465</v>
      </c>
      <c r="E9" s="108">
        <f t="shared" ref="E9:E20" si="0">C9*D9</f>
        <v>22.47</v>
      </c>
      <c r="F9" s="109">
        <f t="shared" ref="F9:F19" si="1">E9*12</f>
        <v>269.60000000000002</v>
      </c>
      <c r="G9" s="110"/>
      <c r="H9" s="110"/>
      <c r="I9" s="110"/>
      <c r="J9" s="110"/>
      <c r="K9" s="95">
        <f>D9*0.2*5+D9*0.25*7</f>
        <v>61.8</v>
      </c>
      <c r="L9" s="95">
        <f>$L$4*F9</f>
        <v>10.4</v>
      </c>
      <c r="M9" s="95">
        <f t="shared" ref="M9:M19" si="2">F9+G9+H9+I9+J9+K9+L9</f>
        <v>341.8</v>
      </c>
      <c r="N9" s="111">
        <v>0.47</v>
      </c>
      <c r="O9" s="95">
        <f t="shared" ref="O9:O19" si="3">M9*N9</f>
        <v>160.6</v>
      </c>
      <c r="P9" s="95">
        <f t="shared" ref="P9:P19" si="4">M9+O9</f>
        <v>502.4</v>
      </c>
      <c r="Q9" s="95">
        <f t="shared" ref="Q9:Q19" si="5">P9*0.8</f>
        <v>401.9</v>
      </c>
      <c r="R9" s="95">
        <f t="shared" ref="R9:R19" si="6">P9*0.8</f>
        <v>401.9</v>
      </c>
      <c r="S9" s="95">
        <f t="shared" ref="S9:S19" si="7">(P9+Q9+R9)*0.032</f>
        <v>41.8</v>
      </c>
      <c r="T9" s="95">
        <f>P9+Q9+R9+S9</f>
        <v>1348</v>
      </c>
      <c r="U9" s="1448">
        <v>1</v>
      </c>
      <c r="V9" s="95">
        <f>T9*$U$9</f>
        <v>1348</v>
      </c>
      <c r="W9" s="95">
        <f>AQ9</f>
        <v>369.3</v>
      </c>
      <c r="X9" s="284">
        <v>1</v>
      </c>
      <c r="Y9" s="112">
        <v>30</v>
      </c>
      <c r="Z9" s="113">
        <f t="shared" ref="Z9:Z20" si="8">X9*Y9</f>
        <v>30</v>
      </c>
      <c r="AA9" s="284"/>
      <c r="AB9" s="112">
        <v>15</v>
      </c>
      <c r="AC9" s="113">
        <f t="shared" ref="AC9:AC20" si="9">AA9*AB9</f>
        <v>0</v>
      </c>
      <c r="AD9" s="284"/>
      <c r="AE9" s="112">
        <v>30</v>
      </c>
      <c r="AF9" s="113">
        <f>AD9*AE9</f>
        <v>0</v>
      </c>
      <c r="AG9" s="113">
        <f>(Z9+AC9+AF9)*1%*30</f>
        <v>9</v>
      </c>
      <c r="AH9" s="113">
        <f>Z9+AC9+AF9+AG9</f>
        <v>39</v>
      </c>
      <c r="AI9" s="114">
        <f t="shared" ref="AI9:AI19" si="10">V9/12/C9*1000</f>
        <v>112333.3</v>
      </c>
      <c r="AJ9" s="114"/>
      <c r="AK9" s="114">
        <f t="shared" ref="AK9:AK20" si="11">V9/C9</f>
        <v>1348</v>
      </c>
      <c r="AL9" s="114">
        <f>((979*0.302)+((AK9-979)*0.182))</f>
        <v>362.8</v>
      </c>
      <c r="AM9" s="115">
        <f>AL9/AK9</f>
        <v>0.26900000000000002</v>
      </c>
      <c r="AN9" s="50">
        <f>1150*0.22*C9+(V9-1150*C9)*0.1</f>
        <v>272.8</v>
      </c>
      <c r="AO9" s="116">
        <f>865*0.029</f>
        <v>25.1</v>
      </c>
      <c r="AP9" s="116">
        <f>AK9*0.053</f>
        <v>71.400000000000006</v>
      </c>
      <c r="AQ9" s="50">
        <f>SUM(AN9:AP9)</f>
        <v>369.3</v>
      </c>
      <c r="AS9" s="115"/>
    </row>
    <row r="10" spans="1:45" ht="15" x14ac:dyDescent="0.2">
      <c r="A10" s="284">
        <v>2</v>
      </c>
      <c r="B10" s="106" t="s">
        <v>125</v>
      </c>
      <c r="C10" s="284">
        <v>1</v>
      </c>
      <c r="D10" s="107">
        <v>17.972000000000001</v>
      </c>
      <c r="E10" s="108">
        <f t="shared" si="0"/>
        <v>17.97</v>
      </c>
      <c r="F10" s="109">
        <f t="shared" si="1"/>
        <v>215.6</v>
      </c>
      <c r="G10" s="110"/>
      <c r="H10" s="110"/>
      <c r="I10" s="110"/>
      <c r="J10" s="110"/>
      <c r="K10" s="95">
        <f>F10*0.3</f>
        <v>64.7</v>
      </c>
      <c r="L10" s="95">
        <f t="shared" ref="L10:L20" si="12">$L$4*F10</f>
        <v>8.3000000000000007</v>
      </c>
      <c r="M10" s="95">
        <f t="shared" si="2"/>
        <v>288.60000000000002</v>
      </c>
      <c r="N10" s="111">
        <v>0.47</v>
      </c>
      <c r="O10" s="95">
        <f t="shared" si="3"/>
        <v>135.6</v>
      </c>
      <c r="P10" s="95">
        <f t="shared" si="4"/>
        <v>424.2</v>
      </c>
      <c r="Q10" s="95">
        <f t="shared" si="5"/>
        <v>339.4</v>
      </c>
      <c r="R10" s="95">
        <f t="shared" si="6"/>
        <v>339.4</v>
      </c>
      <c r="S10" s="95">
        <f t="shared" si="7"/>
        <v>35.299999999999997</v>
      </c>
      <c r="T10" s="95">
        <f t="shared" ref="T10:T19" si="13">P10+Q10+R10+S10</f>
        <v>1138.3</v>
      </c>
      <c r="U10" s="1449"/>
      <c r="V10" s="95">
        <f>T10*$U$9</f>
        <v>1138.3</v>
      </c>
      <c r="W10" s="95">
        <f>AQ10</f>
        <v>337.2</v>
      </c>
      <c r="X10" s="284"/>
      <c r="Y10" s="112">
        <v>30</v>
      </c>
      <c r="Z10" s="113">
        <f t="shared" si="8"/>
        <v>0</v>
      </c>
      <c r="AA10" s="284"/>
      <c r="AB10" s="112">
        <v>15</v>
      </c>
      <c r="AC10" s="113">
        <f t="shared" si="9"/>
        <v>0</v>
      </c>
      <c r="AD10" s="284"/>
      <c r="AE10" s="112">
        <v>30</v>
      </c>
      <c r="AF10" s="113">
        <f t="shared" ref="AF10:AF20" si="14">AD10*AE10</f>
        <v>0</v>
      </c>
      <c r="AG10" s="113">
        <f t="shared" ref="AG10:AG20" si="15">(Z10+AC10+AF10)*1%*30</f>
        <v>0</v>
      </c>
      <c r="AH10" s="113">
        <f t="shared" ref="AH10:AH20" si="16">Z10+AC10+AF10+AG10</f>
        <v>0</v>
      </c>
      <c r="AI10" s="114">
        <f t="shared" si="10"/>
        <v>94858.3</v>
      </c>
      <c r="AJ10" s="114"/>
      <c r="AK10" s="114">
        <f t="shared" si="11"/>
        <v>1138.3</v>
      </c>
      <c r="AL10" s="114">
        <f t="shared" ref="AL10:AL20" si="17">((979*0.302)+((AK10-979)*0.182))</f>
        <v>324.7</v>
      </c>
      <c r="AM10" s="115">
        <f>AL10/AK10</f>
        <v>0.28499999999999998</v>
      </c>
      <c r="AN10" s="50">
        <f>1150*0.22*C10+(V10-1150*C10)*0.1</f>
        <v>251.8</v>
      </c>
      <c r="AO10" s="116">
        <f>865*0.029</f>
        <v>25.1</v>
      </c>
      <c r="AP10" s="116">
        <f>AK10*0.053</f>
        <v>60.3</v>
      </c>
      <c r="AQ10" s="50">
        <f>SUM(AN10:AP10)</f>
        <v>337.2</v>
      </c>
      <c r="AS10" s="115"/>
    </row>
    <row r="11" spans="1:45" ht="15" x14ac:dyDescent="0.2">
      <c r="A11" s="284">
        <v>3</v>
      </c>
      <c r="B11" s="117" t="s">
        <v>29</v>
      </c>
      <c r="C11" s="118">
        <v>1</v>
      </c>
      <c r="D11" s="107">
        <v>8.4730000000000008</v>
      </c>
      <c r="E11" s="119">
        <f t="shared" si="0"/>
        <v>8.4700000000000006</v>
      </c>
      <c r="F11" s="110">
        <f t="shared" si="1"/>
        <v>101.6</v>
      </c>
      <c r="G11" s="110"/>
      <c r="H11" s="110"/>
      <c r="I11" s="110"/>
      <c r="J11" s="110"/>
      <c r="K11" s="95"/>
      <c r="L11" s="95">
        <f t="shared" si="12"/>
        <v>3.9</v>
      </c>
      <c r="M11" s="95">
        <f t="shared" si="2"/>
        <v>105.5</v>
      </c>
      <c r="N11" s="111">
        <v>0.41</v>
      </c>
      <c r="O11" s="95">
        <f t="shared" si="3"/>
        <v>43.3</v>
      </c>
      <c r="P11" s="95">
        <f t="shared" si="4"/>
        <v>148.80000000000001</v>
      </c>
      <c r="Q11" s="95">
        <f t="shared" si="5"/>
        <v>119</v>
      </c>
      <c r="R11" s="95">
        <f t="shared" si="6"/>
        <v>119</v>
      </c>
      <c r="S11" s="95">
        <f t="shared" si="7"/>
        <v>12.4</v>
      </c>
      <c r="T11" s="95">
        <f t="shared" si="13"/>
        <v>399.2</v>
      </c>
      <c r="U11" s="1449"/>
      <c r="V11" s="95">
        <f t="shared" ref="V11:V19" si="18">T11*$U$9</f>
        <v>399.2</v>
      </c>
      <c r="W11" s="95">
        <f t="shared" ref="W11:W20" si="19">V11*0.302</f>
        <v>120.6</v>
      </c>
      <c r="X11" s="120"/>
      <c r="Y11" s="112">
        <v>30</v>
      </c>
      <c r="Z11" s="113">
        <f t="shared" si="8"/>
        <v>0</v>
      </c>
      <c r="AA11" s="120"/>
      <c r="AB11" s="112">
        <v>15</v>
      </c>
      <c r="AC11" s="113">
        <f t="shared" si="9"/>
        <v>0</v>
      </c>
      <c r="AD11" s="120"/>
      <c r="AE11" s="112">
        <v>30</v>
      </c>
      <c r="AF11" s="113">
        <f t="shared" si="14"/>
        <v>0</v>
      </c>
      <c r="AG11" s="113">
        <f t="shared" si="15"/>
        <v>0</v>
      </c>
      <c r="AH11" s="113">
        <f t="shared" si="16"/>
        <v>0</v>
      </c>
      <c r="AI11" s="114">
        <f t="shared" si="10"/>
        <v>33266.699999999997</v>
      </c>
      <c r="AJ11" s="114"/>
      <c r="AK11" s="114">
        <f t="shared" si="11"/>
        <v>399.2</v>
      </c>
      <c r="AL11" s="114">
        <f t="shared" si="17"/>
        <v>190.1</v>
      </c>
      <c r="AM11" s="115">
        <v>0.30199999999999999</v>
      </c>
      <c r="AN11" s="116"/>
      <c r="AO11" s="116"/>
      <c r="AP11" s="116"/>
      <c r="AQ11" s="116"/>
      <c r="AS11" s="115"/>
    </row>
    <row r="12" spans="1:45" s="126" customFormat="1" ht="25.5" x14ac:dyDescent="0.2">
      <c r="A12" s="284">
        <v>4</v>
      </c>
      <c r="B12" s="121" t="s">
        <v>31</v>
      </c>
      <c r="C12" s="122">
        <v>1</v>
      </c>
      <c r="D12" s="107">
        <v>11.061999999999999</v>
      </c>
      <c r="E12" s="123">
        <f t="shared" si="0"/>
        <v>11.06</v>
      </c>
      <c r="F12" s="124">
        <f t="shared" si="1"/>
        <v>132.69999999999999</v>
      </c>
      <c r="G12" s="124"/>
      <c r="H12" s="124"/>
      <c r="I12" s="124"/>
      <c r="J12" s="125"/>
      <c r="K12" s="96"/>
      <c r="L12" s="95">
        <f t="shared" si="12"/>
        <v>5.0999999999999996</v>
      </c>
      <c r="M12" s="96">
        <f t="shared" si="2"/>
        <v>137.80000000000001</v>
      </c>
      <c r="N12" s="111">
        <v>0.47</v>
      </c>
      <c r="O12" s="96">
        <f t="shared" si="3"/>
        <v>64.8</v>
      </c>
      <c r="P12" s="96">
        <f t="shared" si="4"/>
        <v>202.6</v>
      </c>
      <c r="Q12" s="96">
        <f t="shared" si="5"/>
        <v>162.1</v>
      </c>
      <c r="R12" s="96">
        <f t="shared" si="6"/>
        <v>162.1</v>
      </c>
      <c r="S12" s="96">
        <f t="shared" si="7"/>
        <v>16.899999999999999</v>
      </c>
      <c r="T12" s="96">
        <f t="shared" si="13"/>
        <v>543.70000000000005</v>
      </c>
      <c r="U12" s="1449"/>
      <c r="V12" s="96">
        <f t="shared" si="18"/>
        <v>543.70000000000005</v>
      </c>
      <c r="W12" s="95">
        <f t="shared" si="19"/>
        <v>164.2</v>
      </c>
      <c r="X12" s="122">
        <v>1</v>
      </c>
      <c r="Y12" s="112">
        <v>30</v>
      </c>
      <c r="Z12" s="113">
        <f t="shared" si="8"/>
        <v>30</v>
      </c>
      <c r="AA12" s="122"/>
      <c r="AB12" s="112">
        <v>15</v>
      </c>
      <c r="AC12" s="113">
        <f t="shared" si="9"/>
        <v>0</v>
      </c>
      <c r="AD12" s="122"/>
      <c r="AE12" s="112">
        <v>30</v>
      </c>
      <c r="AF12" s="113">
        <f t="shared" si="14"/>
        <v>0</v>
      </c>
      <c r="AG12" s="113">
        <f t="shared" si="15"/>
        <v>9</v>
      </c>
      <c r="AH12" s="113">
        <f t="shared" si="16"/>
        <v>39</v>
      </c>
      <c r="AI12" s="114">
        <f t="shared" si="10"/>
        <v>45308.3</v>
      </c>
      <c r="AJ12" s="114"/>
      <c r="AK12" s="114">
        <f t="shared" si="11"/>
        <v>543.70000000000005</v>
      </c>
      <c r="AL12" s="114">
        <f t="shared" si="17"/>
        <v>216.4</v>
      </c>
      <c r="AM12" s="115">
        <v>0.30199999999999999</v>
      </c>
      <c r="AN12" s="22"/>
      <c r="AO12" s="116"/>
      <c r="AP12" s="116"/>
      <c r="AQ12" s="116"/>
      <c r="AS12" s="115"/>
    </row>
    <row r="13" spans="1:45" ht="25.5" x14ac:dyDescent="0.2">
      <c r="A13" s="284">
        <v>5</v>
      </c>
      <c r="B13" s="117" t="s">
        <v>108</v>
      </c>
      <c r="C13" s="127">
        <v>2</v>
      </c>
      <c r="D13" s="107">
        <v>8.4730000000000008</v>
      </c>
      <c r="E13" s="119">
        <f t="shared" si="0"/>
        <v>16.95</v>
      </c>
      <c r="F13" s="110">
        <f t="shared" si="1"/>
        <v>203.4</v>
      </c>
      <c r="G13" s="110"/>
      <c r="H13" s="110"/>
      <c r="I13" s="110"/>
      <c r="J13" s="110"/>
      <c r="K13" s="95">
        <f>F13*0.25</f>
        <v>50.9</v>
      </c>
      <c r="L13" s="95">
        <f t="shared" si="12"/>
        <v>7.8</v>
      </c>
      <c r="M13" s="95">
        <f t="shared" si="2"/>
        <v>262.10000000000002</v>
      </c>
      <c r="N13" s="111">
        <v>0.47</v>
      </c>
      <c r="O13" s="95">
        <f t="shared" si="3"/>
        <v>123.2</v>
      </c>
      <c r="P13" s="95">
        <f t="shared" si="4"/>
        <v>385.3</v>
      </c>
      <c r="Q13" s="95">
        <f t="shared" si="5"/>
        <v>308.2</v>
      </c>
      <c r="R13" s="95">
        <f t="shared" si="6"/>
        <v>308.2</v>
      </c>
      <c r="S13" s="95">
        <f t="shared" si="7"/>
        <v>32.1</v>
      </c>
      <c r="T13" s="95">
        <f t="shared" si="13"/>
        <v>1033.8</v>
      </c>
      <c r="U13" s="1449"/>
      <c r="V13" s="95">
        <f>T13*$U$9</f>
        <v>1033.8</v>
      </c>
      <c r="W13" s="95">
        <f t="shared" si="19"/>
        <v>312.2</v>
      </c>
      <c r="X13" s="284">
        <v>1</v>
      </c>
      <c r="Y13" s="112">
        <v>30</v>
      </c>
      <c r="Z13" s="113">
        <f t="shared" si="8"/>
        <v>30</v>
      </c>
      <c r="AA13" s="127">
        <v>1</v>
      </c>
      <c r="AB13" s="112">
        <v>15</v>
      </c>
      <c r="AC13" s="113">
        <f t="shared" si="9"/>
        <v>15</v>
      </c>
      <c r="AD13" s="127"/>
      <c r="AE13" s="112">
        <v>30</v>
      </c>
      <c r="AF13" s="113">
        <f t="shared" si="14"/>
        <v>0</v>
      </c>
      <c r="AG13" s="113">
        <f t="shared" si="15"/>
        <v>13.5</v>
      </c>
      <c r="AH13" s="113">
        <f t="shared" si="16"/>
        <v>58.5</v>
      </c>
      <c r="AI13" s="114">
        <f t="shared" si="10"/>
        <v>43075</v>
      </c>
      <c r="AJ13" s="114"/>
      <c r="AK13" s="114">
        <f t="shared" si="11"/>
        <v>516.9</v>
      </c>
      <c r="AL13" s="114">
        <f t="shared" si="17"/>
        <v>211.6</v>
      </c>
      <c r="AM13" s="115">
        <v>0.30199999999999999</v>
      </c>
      <c r="AQ13" s="116"/>
      <c r="AS13" s="115"/>
    </row>
    <row r="14" spans="1:45" ht="15" x14ac:dyDescent="0.2">
      <c r="A14" s="284">
        <v>6</v>
      </c>
      <c r="B14" s="117" t="s">
        <v>32</v>
      </c>
      <c r="C14" s="128">
        <v>1</v>
      </c>
      <c r="D14" s="107">
        <v>11.061999999999999</v>
      </c>
      <c r="E14" s="119">
        <f t="shared" si="0"/>
        <v>11.06</v>
      </c>
      <c r="F14" s="110">
        <f t="shared" si="1"/>
        <v>132.69999999999999</v>
      </c>
      <c r="G14" s="110"/>
      <c r="H14" s="110"/>
      <c r="I14" s="110"/>
      <c r="J14" s="110"/>
      <c r="K14" s="95"/>
      <c r="L14" s="95">
        <f t="shared" si="12"/>
        <v>5.0999999999999996</v>
      </c>
      <c r="M14" s="95">
        <f t="shared" si="2"/>
        <v>137.80000000000001</v>
      </c>
      <c r="N14" s="111">
        <v>0.43</v>
      </c>
      <c r="O14" s="95">
        <f t="shared" si="3"/>
        <v>59.3</v>
      </c>
      <c r="P14" s="95">
        <f t="shared" si="4"/>
        <v>197.1</v>
      </c>
      <c r="Q14" s="95">
        <f t="shared" si="5"/>
        <v>157.69999999999999</v>
      </c>
      <c r="R14" s="95">
        <f t="shared" si="6"/>
        <v>157.69999999999999</v>
      </c>
      <c r="S14" s="95">
        <f t="shared" si="7"/>
        <v>16.399999999999999</v>
      </c>
      <c r="T14" s="95">
        <f t="shared" si="13"/>
        <v>528.9</v>
      </c>
      <c r="U14" s="1449"/>
      <c r="V14" s="95">
        <f t="shared" si="18"/>
        <v>528.9</v>
      </c>
      <c r="W14" s="95">
        <f t="shared" si="19"/>
        <v>159.69999999999999</v>
      </c>
      <c r="X14" s="284">
        <v>1</v>
      </c>
      <c r="Y14" s="112">
        <v>30</v>
      </c>
      <c r="Z14" s="113">
        <f t="shared" si="8"/>
        <v>30</v>
      </c>
      <c r="AA14" s="127"/>
      <c r="AB14" s="112">
        <v>15</v>
      </c>
      <c r="AC14" s="113">
        <f t="shared" si="9"/>
        <v>0</v>
      </c>
      <c r="AD14" s="127"/>
      <c r="AE14" s="112">
        <v>30</v>
      </c>
      <c r="AF14" s="113">
        <f t="shared" si="14"/>
        <v>0</v>
      </c>
      <c r="AG14" s="113">
        <f t="shared" si="15"/>
        <v>9</v>
      </c>
      <c r="AH14" s="113">
        <f t="shared" si="16"/>
        <v>39</v>
      </c>
      <c r="AI14" s="114">
        <f t="shared" si="10"/>
        <v>44075</v>
      </c>
      <c r="AJ14" s="114"/>
      <c r="AK14" s="114">
        <f t="shared" si="11"/>
        <v>528.9</v>
      </c>
      <c r="AL14" s="114">
        <f t="shared" si="17"/>
        <v>213.7</v>
      </c>
      <c r="AM14" s="115">
        <v>0.30199999999999999</v>
      </c>
      <c r="AO14" s="116"/>
      <c r="AP14" s="116"/>
      <c r="AQ14" s="116"/>
      <c r="AS14" s="115"/>
    </row>
    <row r="15" spans="1:45" x14ac:dyDescent="0.2">
      <c r="A15" s="284">
        <v>7</v>
      </c>
      <c r="B15" s="129" t="s">
        <v>23</v>
      </c>
      <c r="C15" s="128">
        <v>1</v>
      </c>
      <c r="D15" s="107">
        <v>11.061999999999999</v>
      </c>
      <c r="E15" s="119">
        <f t="shared" si="0"/>
        <v>11.06</v>
      </c>
      <c r="F15" s="110">
        <f t="shared" si="1"/>
        <v>132.69999999999999</v>
      </c>
      <c r="G15" s="110"/>
      <c r="H15" s="110"/>
      <c r="I15" s="110"/>
      <c r="J15" s="110"/>
      <c r="K15" s="95">
        <f>D15*0.3*9+D15*0.35*3</f>
        <v>41.5</v>
      </c>
      <c r="L15" s="95">
        <f t="shared" si="12"/>
        <v>5.0999999999999996</v>
      </c>
      <c r="M15" s="95">
        <f t="shared" si="2"/>
        <v>179.3</v>
      </c>
      <c r="N15" s="111">
        <v>0.43</v>
      </c>
      <c r="O15" s="95">
        <f t="shared" si="3"/>
        <v>77.099999999999994</v>
      </c>
      <c r="P15" s="95">
        <f t="shared" si="4"/>
        <v>256.39999999999998</v>
      </c>
      <c r="Q15" s="95">
        <f t="shared" si="5"/>
        <v>205.1</v>
      </c>
      <c r="R15" s="95">
        <f t="shared" si="6"/>
        <v>205.1</v>
      </c>
      <c r="S15" s="95">
        <f t="shared" si="7"/>
        <v>21.3</v>
      </c>
      <c r="T15" s="95">
        <f t="shared" si="13"/>
        <v>687.9</v>
      </c>
      <c r="U15" s="1449"/>
      <c r="V15" s="95">
        <f t="shared" si="18"/>
        <v>687.9</v>
      </c>
      <c r="W15" s="95">
        <f t="shared" si="19"/>
        <v>207.7</v>
      </c>
      <c r="X15" s="118"/>
      <c r="Y15" s="112">
        <v>30</v>
      </c>
      <c r="Z15" s="113">
        <f t="shared" si="8"/>
        <v>0</v>
      </c>
      <c r="AA15" s="118"/>
      <c r="AB15" s="112">
        <v>15</v>
      </c>
      <c r="AC15" s="113">
        <f t="shared" si="9"/>
        <v>0</v>
      </c>
      <c r="AD15" s="118"/>
      <c r="AE15" s="112">
        <v>30</v>
      </c>
      <c r="AF15" s="113">
        <f t="shared" si="14"/>
        <v>0</v>
      </c>
      <c r="AG15" s="113">
        <f t="shared" si="15"/>
        <v>0</v>
      </c>
      <c r="AH15" s="113">
        <f t="shared" si="16"/>
        <v>0</v>
      </c>
      <c r="AI15" s="114">
        <f t="shared" si="10"/>
        <v>57325</v>
      </c>
      <c r="AJ15" s="114"/>
      <c r="AK15" s="114">
        <f t="shared" si="11"/>
        <v>687.9</v>
      </c>
      <c r="AL15" s="114">
        <f t="shared" si="17"/>
        <v>242.7</v>
      </c>
      <c r="AM15" s="115">
        <v>0.30199999999999999</v>
      </c>
      <c r="AS15" s="115"/>
    </row>
    <row r="16" spans="1:45" ht="15" x14ac:dyDescent="0.2">
      <c r="A16" s="284">
        <v>8</v>
      </c>
      <c r="B16" s="129" t="s">
        <v>33</v>
      </c>
      <c r="C16" s="128">
        <v>2</v>
      </c>
      <c r="D16" s="107">
        <v>8.4730000000000008</v>
      </c>
      <c r="E16" s="119">
        <f t="shared" si="0"/>
        <v>16.95</v>
      </c>
      <c r="F16" s="110">
        <f t="shared" si="1"/>
        <v>203.4</v>
      </c>
      <c r="G16" s="124">
        <f>29314.2/1000</f>
        <v>29.3</v>
      </c>
      <c r="H16" s="110">
        <f>9637.5/1000</f>
        <v>9.6</v>
      </c>
      <c r="I16" s="110"/>
      <c r="J16" s="110"/>
      <c r="K16" s="95">
        <f>D16*0.25*10+D16*0.3*2+F16*0.35</f>
        <v>97.5</v>
      </c>
      <c r="L16" s="95">
        <f t="shared" si="12"/>
        <v>7.8</v>
      </c>
      <c r="M16" s="95">
        <f t="shared" si="2"/>
        <v>347.6</v>
      </c>
      <c r="N16" s="111">
        <v>0.41</v>
      </c>
      <c r="O16" s="95">
        <f t="shared" si="3"/>
        <v>142.5</v>
      </c>
      <c r="P16" s="95">
        <f t="shared" si="4"/>
        <v>490.1</v>
      </c>
      <c r="Q16" s="95">
        <f t="shared" si="5"/>
        <v>392.1</v>
      </c>
      <c r="R16" s="95">
        <f t="shared" si="6"/>
        <v>392.1</v>
      </c>
      <c r="S16" s="95">
        <f t="shared" si="7"/>
        <v>40.799999999999997</v>
      </c>
      <c r="T16" s="95">
        <f t="shared" si="13"/>
        <v>1315.1</v>
      </c>
      <c r="U16" s="1449"/>
      <c r="V16" s="95">
        <f t="shared" si="18"/>
        <v>1315.1</v>
      </c>
      <c r="W16" s="95">
        <f t="shared" si="19"/>
        <v>397.2</v>
      </c>
      <c r="X16" s="118">
        <v>1</v>
      </c>
      <c r="Y16" s="112">
        <v>30</v>
      </c>
      <c r="Z16" s="113">
        <f t="shared" si="8"/>
        <v>30</v>
      </c>
      <c r="AA16" s="118"/>
      <c r="AB16" s="112">
        <v>15</v>
      </c>
      <c r="AC16" s="113">
        <f t="shared" si="9"/>
        <v>0</v>
      </c>
      <c r="AD16" s="118"/>
      <c r="AE16" s="112">
        <v>30</v>
      </c>
      <c r="AF16" s="113">
        <f t="shared" si="14"/>
        <v>0</v>
      </c>
      <c r="AG16" s="113">
        <f t="shared" si="15"/>
        <v>9</v>
      </c>
      <c r="AH16" s="113">
        <f t="shared" si="16"/>
        <v>39</v>
      </c>
      <c r="AI16" s="114">
        <f t="shared" si="10"/>
        <v>54795.8</v>
      </c>
      <c r="AJ16" s="114"/>
      <c r="AK16" s="114">
        <f t="shared" si="11"/>
        <v>657.6</v>
      </c>
      <c r="AL16" s="114">
        <f t="shared" si="17"/>
        <v>237.2</v>
      </c>
      <c r="AM16" s="115">
        <v>0.30199999999999999</v>
      </c>
      <c r="AO16" s="116"/>
      <c r="AP16" s="116"/>
      <c r="AQ16" s="116"/>
      <c r="AS16" s="115"/>
    </row>
    <row r="17" spans="1:45" ht="51" x14ac:dyDescent="0.2">
      <c r="A17" s="284">
        <v>9</v>
      </c>
      <c r="B17" s="117" t="s">
        <v>103</v>
      </c>
      <c r="C17" s="128">
        <v>1</v>
      </c>
      <c r="D17" s="107">
        <v>4.4569999999999999</v>
      </c>
      <c r="E17" s="119">
        <f t="shared" si="0"/>
        <v>4.46</v>
      </c>
      <c r="F17" s="110">
        <f t="shared" si="1"/>
        <v>53.5</v>
      </c>
      <c r="G17" s="110"/>
      <c r="H17" s="110"/>
      <c r="I17" s="110"/>
      <c r="J17" s="110"/>
      <c r="K17" s="95"/>
      <c r="L17" s="95">
        <f t="shared" si="12"/>
        <v>2.1</v>
      </c>
      <c r="M17" s="95">
        <f t="shared" si="2"/>
        <v>55.6</v>
      </c>
      <c r="N17" s="111">
        <v>0.61</v>
      </c>
      <c r="O17" s="95">
        <f t="shared" si="3"/>
        <v>33.9</v>
      </c>
      <c r="P17" s="95">
        <f t="shared" si="4"/>
        <v>89.5</v>
      </c>
      <c r="Q17" s="95">
        <f t="shared" si="5"/>
        <v>71.599999999999994</v>
      </c>
      <c r="R17" s="95">
        <f t="shared" si="6"/>
        <v>71.599999999999994</v>
      </c>
      <c r="S17" s="95">
        <f t="shared" si="7"/>
        <v>7.4</v>
      </c>
      <c r="T17" s="95">
        <f t="shared" si="13"/>
        <v>240.1</v>
      </c>
      <c r="U17" s="1449"/>
      <c r="V17" s="95">
        <f>T17*$U$9</f>
        <v>240.1</v>
      </c>
      <c r="W17" s="95">
        <f t="shared" si="19"/>
        <v>72.5</v>
      </c>
      <c r="X17" s="118"/>
      <c r="Y17" s="112">
        <v>30</v>
      </c>
      <c r="Z17" s="113">
        <f t="shared" si="8"/>
        <v>0</v>
      </c>
      <c r="AA17" s="118"/>
      <c r="AB17" s="112">
        <v>15</v>
      </c>
      <c r="AC17" s="113">
        <f t="shared" si="9"/>
        <v>0</v>
      </c>
      <c r="AD17" s="118"/>
      <c r="AE17" s="112">
        <v>30</v>
      </c>
      <c r="AF17" s="113">
        <f t="shared" si="14"/>
        <v>0</v>
      </c>
      <c r="AG17" s="113">
        <f t="shared" si="15"/>
        <v>0</v>
      </c>
      <c r="AH17" s="113">
        <f t="shared" si="16"/>
        <v>0</v>
      </c>
      <c r="AI17" s="114">
        <f t="shared" si="10"/>
        <v>20008.3</v>
      </c>
      <c r="AJ17" s="114"/>
      <c r="AK17" s="114">
        <f t="shared" si="11"/>
        <v>240.1</v>
      </c>
      <c r="AL17" s="114">
        <f t="shared" si="17"/>
        <v>161.19999999999999</v>
      </c>
      <c r="AM17" s="115">
        <v>0.30199999999999999</v>
      </c>
      <c r="AN17" s="130"/>
      <c r="AO17" s="130"/>
      <c r="AP17" s="130"/>
      <c r="AS17" s="115"/>
    </row>
    <row r="18" spans="1:45" s="126" customFormat="1" ht="25.5" x14ac:dyDescent="0.2">
      <c r="A18" s="284">
        <v>10</v>
      </c>
      <c r="B18" s="129" t="s">
        <v>34</v>
      </c>
      <c r="C18" s="122">
        <v>3</v>
      </c>
      <c r="D18" s="107">
        <v>7.1950000000000003</v>
      </c>
      <c r="E18" s="123">
        <f t="shared" si="0"/>
        <v>21.59</v>
      </c>
      <c r="F18" s="124">
        <f t="shared" si="1"/>
        <v>259.10000000000002</v>
      </c>
      <c r="G18" s="124">
        <f>44329.4/1000</f>
        <v>44.3</v>
      </c>
      <c r="H18" s="124">
        <f>16367.8/1000</f>
        <v>16.399999999999999</v>
      </c>
      <c r="I18" s="124"/>
      <c r="J18" s="125"/>
      <c r="K18" s="96"/>
      <c r="L18" s="95">
        <f t="shared" si="12"/>
        <v>9.9</v>
      </c>
      <c r="M18" s="96">
        <f t="shared" si="2"/>
        <v>329.7</v>
      </c>
      <c r="N18" s="111">
        <v>0.41</v>
      </c>
      <c r="O18" s="96">
        <f t="shared" si="3"/>
        <v>135.19999999999999</v>
      </c>
      <c r="P18" s="96">
        <f t="shared" si="4"/>
        <v>464.9</v>
      </c>
      <c r="Q18" s="96">
        <f t="shared" si="5"/>
        <v>371.9</v>
      </c>
      <c r="R18" s="96">
        <f t="shared" si="6"/>
        <v>371.9</v>
      </c>
      <c r="S18" s="96">
        <f t="shared" si="7"/>
        <v>38.700000000000003</v>
      </c>
      <c r="T18" s="96">
        <f t="shared" si="13"/>
        <v>1247.4000000000001</v>
      </c>
      <c r="U18" s="1449"/>
      <c r="V18" s="96">
        <f t="shared" si="18"/>
        <v>1247.4000000000001</v>
      </c>
      <c r="W18" s="95">
        <f t="shared" si="19"/>
        <v>376.7</v>
      </c>
      <c r="X18" s="284">
        <v>1</v>
      </c>
      <c r="Y18" s="112">
        <v>30</v>
      </c>
      <c r="Z18" s="113">
        <f t="shared" si="8"/>
        <v>30</v>
      </c>
      <c r="AA18" s="284"/>
      <c r="AB18" s="112">
        <v>15</v>
      </c>
      <c r="AC18" s="113">
        <f t="shared" si="9"/>
        <v>0</v>
      </c>
      <c r="AD18" s="284"/>
      <c r="AE18" s="112">
        <v>30</v>
      </c>
      <c r="AF18" s="113">
        <f t="shared" si="14"/>
        <v>0</v>
      </c>
      <c r="AG18" s="113">
        <f t="shared" si="15"/>
        <v>9</v>
      </c>
      <c r="AH18" s="113">
        <f t="shared" si="16"/>
        <v>39</v>
      </c>
      <c r="AI18" s="114">
        <f t="shared" si="10"/>
        <v>34650</v>
      </c>
      <c r="AJ18" s="114"/>
      <c r="AK18" s="114">
        <f t="shared" si="11"/>
        <v>415.8</v>
      </c>
      <c r="AL18" s="114">
        <f t="shared" si="17"/>
        <v>193.2</v>
      </c>
      <c r="AM18" s="115">
        <v>0.30199999999999999</v>
      </c>
      <c r="AN18" s="130"/>
      <c r="AO18" s="130"/>
      <c r="AP18" s="130"/>
      <c r="AQ18" s="22"/>
      <c r="AS18" s="115"/>
    </row>
    <row r="19" spans="1:45" s="126" customFormat="1" x14ac:dyDescent="0.2">
      <c r="A19" s="284">
        <v>11</v>
      </c>
      <c r="B19" s="129" t="s">
        <v>35</v>
      </c>
      <c r="C19" s="122">
        <v>1</v>
      </c>
      <c r="D19" s="107">
        <v>4.4569999999999999</v>
      </c>
      <c r="E19" s="123">
        <f t="shared" si="0"/>
        <v>4.46</v>
      </c>
      <c r="F19" s="124">
        <f t="shared" si="1"/>
        <v>53.5</v>
      </c>
      <c r="G19" s="124"/>
      <c r="H19" s="124"/>
      <c r="I19" s="124"/>
      <c r="J19" s="125"/>
      <c r="K19" s="96"/>
      <c r="L19" s="95">
        <f t="shared" si="12"/>
        <v>2.1</v>
      </c>
      <c r="M19" s="96">
        <f t="shared" si="2"/>
        <v>55.6</v>
      </c>
      <c r="N19" s="111">
        <v>0.61</v>
      </c>
      <c r="O19" s="96">
        <f t="shared" si="3"/>
        <v>33.9</v>
      </c>
      <c r="P19" s="96">
        <f t="shared" si="4"/>
        <v>89.5</v>
      </c>
      <c r="Q19" s="96">
        <f t="shared" si="5"/>
        <v>71.599999999999994</v>
      </c>
      <c r="R19" s="96">
        <f t="shared" si="6"/>
        <v>71.599999999999994</v>
      </c>
      <c r="S19" s="96">
        <f t="shared" si="7"/>
        <v>7.4</v>
      </c>
      <c r="T19" s="96">
        <f t="shared" si="13"/>
        <v>240.1</v>
      </c>
      <c r="U19" s="1449"/>
      <c r="V19" s="96">
        <f t="shared" si="18"/>
        <v>240.1</v>
      </c>
      <c r="W19" s="95">
        <f t="shared" si="19"/>
        <v>72.5</v>
      </c>
      <c r="X19" s="284"/>
      <c r="Y19" s="112">
        <v>30</v>
      </c>
      <c r="Z19" s="113">
        <f t="shared" si="8"/>
        <v>0</v>
      </c>
      <c r="AA19" s="284"/>
      <c r="AB19" s="112">
        <v>15</v>
      </c>
      <c r="AC19" s="113">
        <f t="shared" si="9"/>
        <v>0</v>
      </c>
      <c r="AD19" s="284"/>
      <c r="AE19" s="112">
        <v>30</v>
      </c>
      <c r="AF19" s="113">
        <f t="shared" si="14"/>
        <v>0</v>
      </c>
      <c r="AG19" s="113">
        <f t="shared" si="15"/>
        <v>0</v>
      </c>
      <c r="AH19" s="113">
        <f t="shared" si="16"/>
        <v>0</v>
      </c>
      <c r="AI19" s="114">
        <f t="shared" si="10"/>
        <v>20008.3</v>
      </c>
      <c r="AJ19" s="114"/>
      <c r="AK19" s="114">
        <f t="shared" si="11"/>
        <v>240.1</v>
      </c>
      <c r="AL19" s="114">
        <f t="shared" si="17"/>
        <v>161.19999999999999</v>
      </c>
      <c r="AM19" s="115">
        <v>0.30199999999999999</v>
      </c>
      <c r="AN19" s="130"/>
      <c r="AO19" s="130"/>
      <c r="AP19" s="130"/>
      <c r="AQ19" s="22"/>
      <c r="AS19" s="115"/>
    </row>
    <row r="20" spans="1:45" s="126" customFormat="1" x14ac:dyDescent="0.2">
      <c r="A20" s="284">
        <v>12</v>
      </c>
      <c r="B20" s="129" t="s">
        <v>25</v>
      </c>
      <c r="C20" s="125">
        <v>0.5</v>
      </c>
      <c r="D20" s="107">
        <v>4.3109999999999999</v>
      </c>
      <c r="E20" s="123">
        <f t="shared" si="0"/>
        <v>2.16</v>
      </c>
      <c r="F20" s="124">
        <f>E20*12</f>
        <v>25.9</v>
      </c>
      <c r="G20" s="124">
        <f>5056.7/1000</f>
        <v>5.0999999999999996</v>
      </c>
      <c r="H20" s="124">
        <f>437.8/1000</f>
        <v>0.4</v>
      </c>
      <c r="I20" s="124"/>
      <c r="J20" s="125"/>
      <c r="K20" s="96"/>
      <c r="L20" s="95">
        <f t="shared" si="12"/>
        <v>1</v>
      </c>
      <c r="M20" s="96">
        <f>F20+G20+H20+I20+J20+K20+L20</f>
        <v>32.4</v>
      </c>
      <c r="N20" s="111">
        <v>0.75</v>
      </c>
      <c r="O20" s="96">
        <f>M20*N20</f>
        <v>24.3</v>
      </c>
      <c r="P20" s="96">
        <f>M20+O20</f>
        <v>56.7</v>
      </c>
      <c r="Q20" s="96">
        <f>P20*0.8</f>
        <v>45.4</v>
      </c>
      <c r="R20" s="96">
        <f>P20*0.8</f>
        <v>45.4</v>
      </c>
      <c r="S20" s="96">
        <f>(P20+Q20+R20)*0.032</f>
        <v>4.7</v>
      </c>
      <c r="T20" s="96">
        <f>P20+Q20+R20+S20</f>
        <v>152.19999999999999</v>
      </c>
      <c r="U20" s="1449"/>
      <c r="V20" s="96">
        <f>T20*$U$9</f>
        <v>152.19999999999999</v>
      </c>
      <c r="W20" s="95">
        <f t="shared" si="19"/>
        <v>46</v>
      </c>
      <c r="X20" s="284"/>
      <c r="Y20" s="112">
        <v>30</v>
      </c>
      <c r="Z20" s="113">
        <f t="shared" si="8"/>
        <v>0</v>
      </c>
      <c r="AA20" s="284"/>
      <c r="AB20" s="112">
        <v>15</v>
      </c>
      <c r="AC20" s="113">
        <f t="shared" si="9"/>
        <v>0</v>
      </c>
      <c r="AD20" s="284"/>
      <c r="AE20" s="112">
        <v>30</v>
      </c>
      <c r="AF20" s="113">
        <f t="shared" si="14"/>
        <v>0</v>
      </c>
      <c r="AG20" s="113">
        <f t="shared" si="15"/>
        <v>0</v>
      </c>
      <c r="AH20" s="113">
        <f t="shared" si="16"/>
        <v>0</v>
      </c>
      <c r="AI20" s="114">
        <f>V20/12*1000</f>
        <v>12683.3</v>
      </c>
      <c r="AJ20" s="114"/>
      <c r="AK20" s="114">
        <f t="shared" si="11"/>
        <v>304.39999999999998</v>
      </c>
      <c r="AL20" s="114">
        <f t="shared" si="17"/>
        <v>172.9</v>
      </c>
      <c r="AM20" s="115">
        <v>0.30199999999999999</v>
      </c>
      <c r="AN20" s="130"/>
      <c r="AO20" s="130"/>
      <c r="AP20" s="130"/>
      <c r="AQ20" s="22"/>
      <c r="AS20" s="115"/>
    </row>
    <row r="21" spans="1:45" s="98" customFormat="1" ht="20.25" customHeight="1" x14ac:dyDescent="0.2">
      <c r="A21" s="1445" t="s">
        <v>8</v>
      </c>
      <c r="B21" s="1445"/>
      <c r="C21" s="97">
        <f t="shared" ref="C21:M21" si="20">SUM(C9:C20)</f>
        <v>15.5</v>
      </c>
      <c r="D21" s="97">
        <f t="shared" si="20"/>
        <v>119.5</v>
      </c>
      <c r="E21" s="97">
        <f t="shared" si="20"/>
        <v>148.69999999999999</v>
      </c>
      <c r="F21" s="97">
        <f t="shared" si="20"/>
        <v>1783.7</v>
      </c>
      <c r="G21" s="97">
        <f t="shared" si="20"/>
        <v>78.7</v>
      </c>
      <c r="H21" s="97">
        <f t="shared" si="20"/>
        <v>26.4</v>
      </c>
      <c r="I21" s="97">
        <f t="shared" si="20"/>
        <v>0</v>
      </c>
      <c r="J21" s="97">
        <f t="shared" si="20"/>
        <v>0</v>
      </c>
      <c r="K21" s="97">
        <f t="shared" si="20"/>
        <v>316.39999999999998</v>
      </c>
      <c r="L21" s="97">
        <f t="shared" si="20"/>
        <v>68.599999999999994</v>
      </c>
      <c r="M21" s="97">
        <f t="shared" si="20"/>
        <v>2273.8000000000002</v>
      </c>
      <c r="N21" s="97"/>
      <c r="O21" s="97">
        <f t="shared" ref="O21:AH21" si="21">SUM(O9:O20)</f>
        <v>1033.7</v>
      </c>
      <c r="P21" s="97">
        <f t="shared" si="21"/>
        <v>3307.5</v>
      </c>
      <c r="Q21" s="97">
        <f t="shared" si="21"/>
        <v>2646</v>
      </c>
      <c r="R21" s="97">
        <f t="shared" si="21"/>
        <v>2646</v>
      </c>
      <c r="S21" s="97">
        <f t="shared" si="21"/>
        <v>275.2</v>
      </c>
      <c r="T21" s="97">
        <f t="shared" si="21"/>
        <v>8874.7000000000007</v>
      </c>
      <c r="U21" s="97">
        <f t="shared" si="21"/>
        <v>1</v>
      </c>
      <c r="V21" s="97">
        <f t="shared" si="21"/>
        <v>8874.7000000000007</v>
      </c>
      <c r="W21" s="97">
        <f t="shared" si="21"/>
        <v>2635.8</v>
      </c>
      <c r="X21" s="97">
        <f t="shared" si="21"/>
        <v>6</v>
      </c>
      <c r="Y21" s="97">
        <f t="shared" si="21"/>
        <v>360</v>
      </c>
      <c r="Z21" s="97">
        <f t="shared" si="21"/>
        <v>180</v>
      </c>
      <c r="AA21" s="97">
        <f t="shared" si="21"/>
        <v>1</v>
      </c>
      <c r="AB21" s="97">
        <f t="shared" si="21"/>
        <v>180</v>
      </c>
      <c r="AC21" s="97">
        <f t="shared" si="21"/>
        <v>15</v>
      </c>
      <c r="AD21" s="97">
        <f t="shared" si="21"/>
        <v>0</v>
      </c>
      <c r="AE21" s="97">
        <f t="shared" si="21"/>
        <v>360</v>
      </c>
      <c r="AF21" s="97">
        <f t="shared" si="21"/>
        <v>0</v>
      </c>
      <c r="AG21" s="97">
        <f t="shared" si="21"/>
        <v>58.5</v>
      </c>
      <c r="AH21" s="97">
        <f t="shared" si="21"/>
        <v>253.5</v>
      </c>
      <c r="AN21" s="130"/>
      <c r="AO21" s="130"/>
      <c r="AP21" s="130"/>
      <c r="AQ21" s="22"/>
    </row>
    <row r="22" spans="1:45" x14ac:dyDescent="0.2">
      <c r="G22" s="131"/>
      <c r="H22" s="131"/>
      <c r="I22" s="131"/>
      <c r="J22" s="131"/>
      <c r="K22" s="131"/>
      <c r="L22" s="131"/>
      <c r="M22" s="131"/>
      <c r="N22" s="131"/>
      <c r="O22" s="131"/>
      <c r="P22" s="131"/>
      <c r="Q22" s="131"/>
      <c r="R22" s="131"/>
      <c r="S22" s="131"/>
      <c r="T22" s="131"/>
      <c r="V22" s="114"/>
      <c r="W22" s="66"/>
      <c r="X22" s="132"/>
      <c r="Y22" s="132"/>
      <c r="Z22" s="132"/>
      <c r="AA22" s="131"/>
      <c r="AD22" s="131"/>
      <c r="AG22" s="131"/>
      <c r="AH22" s="131"/>
      <c r="AN22" s="130"/>
      <c r="AO22" s="130"/>
      <c r="AP22" s="130"/>
    </row>
    <row r="23" spans="1:45" x14ac:dyDescent="0.2">
      <c r="G23" s="131"/>
      <c r="H23" s="131"/>
      <c r="I23" s="131"/>
      <c r="J23" s="131"/>
      <c r="K23" s="131"/>
      <c r="L23" s="131"/>
      <c r="M23" s="131"/>
      <c r="N23" s="131"/>
      <c r="O23" s="131"/>
      <c r="P23" s="131"/>
      <c r="Q23" s="131"/>
      <c r="R23" s="131"/>
      <c r="S23" s="131"/>
      <c r="T23" s="131"/>
      <c r="V23" s="114"/>
      <c r="W23" s="114"/>
      <c r="X23" s="133"/>
      <c r="Y23" s="133"/>
      <c r="Z23" s="133"/>
      <c r="AA23" s="131"/>
      <c r="AD23" s="131"/>
      <c r="AG23" s="131"/>
      <c r="AH23" s="131"/>
      <c r="AN23" s="130"/>
      <c r="AO23" s="130"/>
      <c r="AP23" s="130"/>
    </row>
    <row r="24" spans="1:45" s="62" customFormat="1" ht="14.25" x14ac:dyDescent="0.2">
      <c r="A24" s="68"/>
      <c r="B24" s="63"/>
      <c r="C24" s="26"/>
      <c r="D24" s="26"/>
      <c r="E24" s="26"/>
      <c r="F24" s="26"/>
      <c r="G24" s="26"/>
      <c r="H24" s="26"/>
      <c r="I24" s="26"/>
      <c r="J24" s="26"/>
      <c r="K24" s="26"/>
      <c r="L24" s="26"/>
      <c r="M24" s="26"/>
      <c r="N24" s="26"/>
      <c r="O24" s="26"/>
      <c r="P24" s="26"/>
      <c r="Q24" s="26"/>
      <c r="R24" s="26"/>
      <c r="S24" s="26"/>
      <c r="T24" s="26"/>
      <c r="U24" s="64"/>
      <c r="V24" s="69"/>
      <c r="W24" s="69"/>
      <c r="X24" s="65"/>
      <c r="Y24" s="65"/>
      <c r="Z24" s="65"/>
      <c r="AA24" s="65"/>
      <c r="AB24" s="65"/>
      <c r="AC24" s="65"/>
      <c r="AD24" s="65"/>
      <c r="AE24" s="65"/>
      <c r="AF24" s="65"/>
      <c r="AG24" s="65"/>
      <c r="AH24" s="65"/>
      <c r="AI24" s="67"/>
      <c r="AJ24" s="61"/>
      <c r="AK24" s="61"/>
      <c r="AL24" s="134"/>
      <c r="AM24" s="135"/>
    </row>
    <row r="25" spans="1:45" s="75" customFormat="1" ht="15" x14ac:dyDescent="0.2">
      <c r="A25" s="70"/>
      <c r="B25" s="70"/>
      <c r="C25" s="71"/>
      <c r="D25" s="72"/>
      <c r="E25" s="72"/>
      <c r="F25" s="72"/>
      <c r="G25" s="72"/>
      <c r="H25" s="73"/>
      <c r="I25" s="73"/>
      <c r="J25" s="27"/>
      <c r="K25" s="27"/>
      <c r="L25" s="27"/>
      <c r="M25" s="27"/>
      <c r="N25" s="74"/>
      <c r="O25" s="27"/>
      <c r="P25" s="27"/>
      <c r="Q25" s="27"/>
      <c r="R25" s="27"/>
      <c r="S25" s="27"/>
      <c r="T25" s="27"/>
      <c r="U25" s="27"/>
      <c r="V25" s="27"/>
      <c r="W25" s="27"/>
      <c r="X25" s="27"/>
      <c r="Y25" s="27"/>
      <c r="Z25" s="27"/>
      <c r="AA25" s="27"/>
      <c r="AB25" s="27"/>
      <c r="AC25" s="27"/>
      <c r="AD25" s="27"/>
      <c r="AE25" s="27"/>
      <c r="AF25" s="27"/>
      <c r="AG25" s="27"/>
      <c r="AH25" s="27"/>
      <c r="AI25" s="27"/>
      <c r="AJ25" s="76"/>
      <c r="AN25" s="76"/>
      <c r="AO25" s="76"/>
      <c r="AP25" s="76"/>
      <c r="AQ25" s="76"/>
      <c r="AR25" s="76"/>
    </row>
    <row r="26" spans="1:45" s="75" customFormat="1" ht="55.5" customHeight="1" x14ac:dyDescent="0.2">
      <c r="A26" s="70"/>
      <c r="B26" s="70"/>
      <c r="C26" s="71"/>
      <c r="D26" s="77"/>
      <c r="E26" s="77"/>
      <c r="F26" s="27"/>
      <c r="G26" s="1438" t="s">
        <v>140</v>
      </c>
      <c r="H26" s="1438"/>
      <c r="I26" s="1438" t="s">
        <v>141</v>
      </c>
      <c r="J26" s="1438"/>
      <c r="K26" s="1438" t="s">
        <v>128</v>
      </c>
      <c r="L26" s="1438"/>
      <c r="Q26" s="27"/>
      <c r="R26" s="27"/>
      <c r="S26" s="27"/>
      <c r="T26" s="27"/>
      <c r="U26" s="27"/>
      <c r="V26" s="27"/>
      <c r="W26" s="27"/>
      <c r="X26" s="27"/>
      <c r="Y26" s="27"/>
      <c r="Z26" s="27"/>
      <c r="AA26" s="27"/>
      <c r="AB26" s="27"/>
      <c r="AC26" s="27"/>
      <c r="AD26" s="27"/>
      <c r="AE26" s="27"/>
      <c r="AF26" s="27"/>
      <c r="AG26" s="27"/>
      <c r="AH26" s="27"/>
      <c r="AI26" s="27"/>
      <c r="AJ26" s="76"/>
      <c r="AN26" s="76"/>
      <c r="AO26" s="76"/>
      <c r="AP26" s="76"/>
      <c r="AQ26" s="76"/>
      <c r="AR26" s="76"/>
    </row>
    <row r="27" spans="1:45" s="75" customFormat="1" ht="15" x14ac:dyDescent="0.2">
      <c r="A27" s="70"/>
      <c r="B27" s="70"/>
      <c r="C27" s="71"/>
      <c r="D27" s="77"/>
      <c r="E27" s="77"/>
      <c r="F27" s="27"/>
      <c r="G27" s="279">
        <v>991</v>
      </c>
      <c r="H27" s="279">
        <v>992</v>
      </c>
      <c r="I27" s="279">
        <v>991</v>
      </c>
      <c r="J27" s="279">
        <v>992</v>
      </c>
      <c r="K27" s="279">
        <v>991</v>
      </c>
      <c r="L27" s="279">
        <v>992</v>
      </c>
      <c r="Q27" s="27"/>
      <c r="R27" s="27"/>
      <c r="S27" s="27"/>
      <c r="T27" s="27"/>
      <c r="U27" s="27"/>
      <c r="V27" s="27"/>
      <c r="W27" s="27"/>
      <c r="X27" s="27"/>
      <c r="Y27" s="27"/>
      <c r="Z27" s="27"/>
      <c r="AA27" s="27"/>
      <c r="AB27" s="27"/>
      <c r="AC27" s="27"/>
      <c r="AD27" s="27"/>
      <c r="AE27" s="27"/>
      <c r="AF27" s="27"/>
      <c r="AG27" s="27"/>
      <c r="AH27" s="27"/>
      <c r="AI27" s="27"/>
      <c r="AJ27" s="76"/>
      <c r="AN27" s="76"/>
      <c r="AO27" s="76"/>
      <c r="AP27" s="76"/>
      <c r="AQ27" s="76"/>
      <c r="AR27" s="76"/>
    </row>
    <row r="28" spans="1:45" s="75" customFormat="1" ht="15" x14ac:dyDescent="0.2">
      <c r="A28" s="70"/>
      <c r="B28" s="70"/>
      <c r="C28" s="71"/>
      <c r="D28" s="77"/>
      <c r="E28" s="77"/>
      <c r="F28" s="27"/>
      <c r="G28" s="29">
        <v>8874.7000000000007</v>
      </c>
      <c r="H28" s="29">
        <v>2640.7</v>
      </c>
      <c r="I28" s="29">
        <f>V21</f>
        <v>8874.7000000000007</v>
      </c>
      <c r="J28" s="29">
        <f>W21</f>
        <v>2635.8</v>
      </c>
      <c r="K28" s="29">
        <f>G28-I28</f>
        <v>0</v>
      </c>
      <c r="L28" s="29">
        <f>H28-J28</f>
        <v>4.9000000000000004</v>
      </c>
      <c r="Q28" s="27"/>
      <c r="R28" s="27"/>
      <c r="S28" s="27"/>
      <c r="T28" s="27"/>
      <c r="U28" s="27"/>
      <c r="V28" s="27"/>
      <c r="W28" s="27"/>
      <c r="X28" s="27"/>
      <c r="Y28" s="27"/>
      <c r="Z28" s="27"/>
      <c r="AA28" s="27"/>
      <c r="AB28" s="27"/>
      <c r="AC28" s="27"/>
      <c r="AD28" s="27"/>
      <c r="AE28" s="27"/>
      <c r="AF28" s="27"/>
      <c r="AG28" s="27"/>
      <c r="AH28" s="27"/>
      <c r="AI28" s="27"/>
      <c r="AJ28" s="76"/>
      <c r="AN28" s="76"/>
      <c r="AO28" s="76"/>
      <c r="AP28" s="76"/>
      <c r="AQ28" s="76"/>
      <c r="AR28" s="76"/>
    </row>
    <row r="29" spans="1:45" s="143" customFormat="1" ht="15" x14ac:dyDescent="0.2">
      <c r="A29" s="136"/>
      <c r="B29" s="136"/>
      <c r="C29" s="137"/>
      <c r="D29" s="138"/>
      <c r="E29" s="138"/>
      <c r="F29" s="138"/>
      <c r="G29" s="138"/>
      <c r="H29" s="139"/>
      <c r="I29" s="139"/>
      <c r="J29" s="140"/>
      <c r="K29" s="140"/>
      <c r="L29" s="140"/>
      <c r="M29" s="140"/>
      <c r="N29" s="141"/>
      <c r="O29" s="140"/>
      <c r="P29" s="140"/>
      <c r="Q29" s="140"/>
      <c r="R29" s="140"/>
      <c r="S29" s="140"/>
      <c r="T29" s="140"/>
      <c r="U29" s="140"/>
      <c r="V29" s="140"/>
      <c r="W29" s="140"/>
      <c r="X29" s="140"/>
      <c r="Y29" s="140"/>
      <c r="Z29" s="140"/>
      <c r="AA29" s="140"/>
      <c r="AB29" s="140"/>
      <c r="AC29" s="140"/>
      <c r="AD29" s="140"/>
      <c r="AE29" s="140"/>
      <c r="AF29" s="140"/>
      <c r="AG29" s="140"/>
      <c r="AH29" s="140"/>
      <c r="AI29" s="142"/>
      <c r="AN29" s="22"/>
      <c r="AO29" s="22"/>
      <c r="AP29" s="22"/>
      <c r="AQ29" s="22"/>
    </row>
    <row r="30" spans="1:45" s="143" customFormat="1" ht="15" x14ac:dyDescent="0.2">
      <c r="A30" s="136"/>
      <c r="B30" s="136"/>
      <c r="C30" s="137"/>
      <c r="D30" s="138"/>
      <c r="E30" s="138"/>
      <c r="F30" s="138"/>
      <c r="G30" s="138"/>
      <c r="H30" s="139"/>
      <c r="I30" s="139"/>
      <c r="J30" s="140"/>
      <c r="K30" s="140"/>
      <c r="L30" s="140"/>
      <c r="M30" s="140"/>
      <c r="N30" s="141"/>
      <c r="O30" s="140"/>
      <c r="P30" s="140"/>
      <c r="Q30" s="140"/>
      <c r="R30" s="140"/>
      <c r="S30" s="140"/>
      <c r="T30" s="140"/>
      <c r="U30" s="140"/>
      <c r="V30" s="140"/>
      <c r="W30" s="140"/>
      <c r="X30" s="140"/>
      <c r="Y30" s="140"/>
      <c r="Z30" s="140"/>
      <c r="AA30" s="140"/>
      <c r="AB30" s="140"/>
      <c r="AC30" s="140"/>
      <c r="AD30" s="140"/>
      <c r="AE30" s="140"/>
      <c r="AF30" s="140"/>
      <c r="AG30" s="140"/>
      <c r="AH30" s="140"/>
      <c r="AI30" s="142"/>
      <c r="AN30" s="22"/>
      <c r="AO30" s="22"/>
      <c r="AP30" s="22"/>
      <c r="AQ30" s="22"/>
    </row>
    <row r="31" spans="1:45" s="143" customFormat="1" ht="15" x14ac:dyDescent="0.2">
      <c r="A31" s="136"/>
      <c r="B31" s="136"/>
      <c r="C31" s="137"/>
      <c r="D31" s="144"/>
      <c r="E31" s="144"/>
      <c r="F31" s="140"/>
      <c r="G31" s="140"/>
      <c r="H31" s="139"/>
      <c r="I31" s="139"/>
      <c r="J31" s="140"/>
      <c r="K31" s="140"/>
      <c r="L31" s="140"/>
      <c r="M31" s="140"/>
      <c r="N31" s="141"/>
      <c r="O31" s="140"/>
      <c r="P31" s="140"/>
      <c r="Q31" s="140"/>
      <c r="R31" s="140"/>
      <c r="S31" s="140"/>
      <c r="T31" s="140"/>
      <c r="U31" s="140"/>
      <c r="V31" s="140"/>
      <c r="W31" s="140"/>
      <c r="X31" s="140"/>
      <c r="Y31" s="140"/>
      <c r="Z31" s="140"/>
      <c r="AA31" s="140"/>
      <c r="AB31" s="140"/>
      <c r="AC31" s="140"/>
      <c r="AD31" s="140"/>
      <c r="AE31" s="140"/>
      <c r="AF31" s="140"/>
      <c r="AG31" s="140"/>
      <c r="AH31" s="140"/>
      <c r="AI31" s="142"/>
      <c r="AN31" s="22"/>
      <c r="AO31" s="22"/>
      <c r="AP31" s="22"/>
      <c r="AQ31" s="22"/>
    </row>
    <row r="32" spans="1:45" s="282" customFormat="1" ht="20.25" x14ac:dyDescent="0.2">
      <c r="A32" s="81"/>
      <c r="B32" s="82" t="s">
        <v>138</v>
      </c>
      <c r="C32" s="83"/>
      <c r="D32" s="84"/>
      <c r="E32" s="84"/>
      <c r="F32" s="85"/>
      <c r="G32" s="85"/>
      <c r="H32" s="86"/>
      <c r="I32" s="86"/>
      <c r="J32" s="85"/>
      <c r="K32" s="30" t="s">
        <v>166</v>
      </c>
      <c r="L32" s="85"/>
      <c r="M32" s="85"/>
      <c r="N32" s="87"/>
      <c r="O32" s="85"/>
      <c r="P32" s="85"/>
      <c r="Q32" s="85"/>
      <c r="R32" s="85"/>
      <c r="S32" s="85"/>
      <c r="T32" s="85"/>
      <c r="U32" s="85"/>
      <c r="V32" s="85"/>
      <c r="W32" s="85"/>
      <c r="X32" s="85"/>
      <c r="Y32" s="85"/>
      <c r="Z32" s="85"/>
      <c r="AA32" s="85"/>
      <c r="AB32" s="85"/>
      <c r="AC32" s="85"/>
      <c r="AD32" s="85"/>
      <c r="AE32" s="85"/>
      <c r="AF32" s="85"/>
      <c r="AG32" s="85"/>
      <c r="AH32" s="85"/>
      <c r="AI32" s="85"/>
      <c r="AK32" s="88"/>
      <c r="AL32" s="88"/>
      <c r="AM32" s="88"/>
      <c r="AN32" s="88"/>
      <c r="AO32" s="88"/>
    </row>
    <row r="33" spans="1:43" s="143" customFormat="1" ht="15" x14ac:dyDescent="0.2">
      <c r="A33" s="136"/>
      <c r="B33" s="136"/>
      <c r="C33" s="137"/>
      <c r="D33" s="144"/>
      <c r="E33" s="144"/>
      <c r="F33" s="140"/>
      <c r="G33" s="140"/>
      <c r="H33" s="139"/>
      <c r="I33" s="139"/>
      <c r="J33" s="140"/>
      <c r="K33" s="140"/>
      <c r="L33" s="140"/>
      <c r="M33" s="140"/>
      <c r="N33" s="141"/>
      <c r="O33" s="140"/>
      <c r="P33" s="140"/>
      <c r="Q33" s="140"/>
      <c r="R33" s="140"/>
      <c r="S33" s="140"/>
      <c r="T33" s="140"/>
      <c r="U33" s="140"/>
      <c r="V33" s="140"/>
      <c r="W33" s="140"/>
      <c r="X33" s="140"/>
      <c r="Y33" s="140"/>
      <c r="Z33" s="140"/>
      <c r="AA33" s="140"/>
      <c r="AB33" s="140"/>
      <c r="AC33" s="140"/>
      <c r="AD33" s="140"/>
      <c r="AE33" s="140"/>
      <c r="AF33" s="140"/>
      <c r="AG33" s="140"/>
      <c r="AH33" s="140"/>
      <c r="AI33" s="142"/>
      <c r="AN33" s="22"/>
      <c r="AO33" s="22"/>
      <c r="AP33" s="22"/>
      <c r="AQ33" s="22"/>
    </row>
    <row r="34" spans="1:43" s="143" customFormat="1" ht="20.25" customHeight="1" x14ac:dyDescent="0.2">
      <c r="A34" s="145" t="s">
        <v>96</v>
      </c>
      <c r="B34" s="145"/>
      <c r="C34" s="146"/>
      <c r="D34" s="146"/>
      <c r="E34" s="146"/>
      <c r="F34" s="146"/>
      <c r="G34" s="146"/>
      <c r="H34" s="146"/>
      <c r="I34" s="146"/>
      <c r="J34" s="146"/>
      <c r="K34" s="146"/>
      <c r="L34" s="147"/>
      <c r="M34" s="147"/>
      <c r="N34" s="148"/>
      <c r="O34" s="147"/>
      <c r="P34" s="147"/>
      <c r="Q34" s="147"/>
      <c r="R34" s="147"/>
      <c r="S34" s="147"/>
      <c r="T34" s="147"/>
      <c r="U34" s="147"/>
      <c r="V34" s="147"/>
      <c r="W34" s="147"/>
      <c r="X34" s="147"/>
      <c r="Y34" s="147"/>
      <c r="Z34" s="147"/>
      <c r="AA34" s="147"/>
      <c r="AB34" s="147"/>
      <c r="AC34" s="147"/>
      <c r="AD34" s="147"/>
      <c r="AE34" s="147"/>
      <c r="AF34" s="147"/>
      <c r="AG34" s="147"/>
      <c r="AH34" s="147"/>
      <c r="AI34" s="142"/>
      <c r="AN34" s="62"/>
      <c r="AO34" s="62"/>
      <c r="AP34" s="62"/>
      <c r="AQ34" s="60"/>
    </row>
    <row r="35" spans="1:43" s="143" customFormat="1" ht="20.25" customHeight="1" x14ac:dyDescent="0.2">
      <c r="A35" s="145" t="s">
        <v>139</v>
      </c>
      <c r="B35" s="149"/>
      <c r="C35" s="150"/>
      <c r="D35" s="150"/>
      <c r="E35" s="151"/>
      <c r="F35" s="151"/>
      <c r="G35" s="151"/>
      <c r="H35" s="151"/>
      <c r="I35" s="151"/>
      <c r="J35" s="151"/>
      <c r="K35" s="151"/>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2"/>
      <c r="AN35" s="62"/>
      <c r="AO35" s="62"/>
      <c r="AP35" s="62"/>
      <c r="AQ35" s="62"/>
    </row>
    <row r="36" spans="1:43" ht="16.5" x14ac:dyDescent="0.2">
      <c r="A36" s="152"/>
      <c r="I36" s="153"/>
      <c r="L36" s="99"/>
      <c r="M36" s="99"/>
      <c r="N36" s="99"/>
      <c r="O36" s="99"/>
      <c r="P36" s="99"/>
      <c r="Q36" s="99"/>
      <c r="W36" s="131"/>
      <c r="X36" s="131"/>
      <c r="AA36" s="131"/>
      <c r="AD36" s="131"/>
      <c r="AG36" s="131"/>
      <c r="AH36" s="131"/>
      <c r="AN36" s="62"/>
      <c r="AO36" s="62"/>
      <c r="AP36" s="62"/>
      <c r="AQ36" s="62"/>
    </row>
    <row r="37" spans="1:43" ht="16.5" x14ac:dyDescent="0.2">
      <c r="A37" s="152"/>
      <c r="E37" s="115"/>
      <c r="L37" s="99"/>
      <c r="M37" s="99"/>
      <c r="N37" s="99"/>
      <c r="O37" s="99"/>
      <c r="P37" s="99"/>
      <c r="Q37" s="99"/>
      <c r="W37" s="131"/>
      <c r="X37" s="131"/>
      <c r="AA37" s="131"/>
      <c r="AD37" s="131"/>
      <c r="AG37" s="131"/>
      <c r="AH37" s="131"/>
      <c r="AN37" s="62"/>
      <c r="AO37" s="62"/>
      <c r="AP37" s="62"/>
      <c r="AQ37" s="62"/>
    </row>
    <row r="38" spans="1:43" x14ac:dyDescent="0.2">
      <c r="E38" s="115"/>
    </row>
    <row r="39" spans="1:43" x14ac:dyDescent="0.2">
      <c r="E39" s="115"/>
    </row>
    <row r="40" spans="1:43" x14ac:dyDescent="0.2">
      <c r="E40" s="115"/>
    </row>
    <row r="41" spans="1:43" x14ac:dyDescent="0.2">
      <c r="E41" s="115"/>
    </row>
    <row r="42" spans="1:43" x14ac:dyDescent="0.2">
      <c r="E42" s="115"/>
    </row>
    <row r="43" spans="1:43" x14ac:dyDescent="0.2">
      <c r="E43" s="115"/>
    </row>
  </sheetData>
  <autoFilter ref="A8:AS8"/>
  <mergeCells count="37">
    <mergeCell ref="G26:H26"/>
    <mergeCell ref="I26:J26"/>
    <mergeCell ref="K26:L26"/>
    <mergeCell ref="AA6:AC6"/>
    <mergeCell ref="J6:J7"/>
    <mergeCell ref="K6:K7"/>
    <mergeCell ref="AH6:AH7"/>
    <mergeCell ref="U9:U20"/>
    <mergeCell ref="A21:B21"/>
    <mergeCell ref="S6:S7"/>
    <mergeCell ref="T6:T7"/>
    <mergeCell ref="U6:U7"/>
    <mergeCell ref="V6:V7"/>
    <mergeCell ref="W6:W7"/>
    <mergeCell ref="X6:Z6"/>
    <mergeCell ref="L6:L7"/>
    <mergeCell ref="F6:F7"/>
    <mergeCell ref="G6:G7"/>
    <mergeCell ref="H6:H7"/>
    <mergeCell ref="I6:I7"/>
    <mergeCell ref="R6:R7"/>
    <mergeCell ref="AE1:AH1"/>
    <mergeCell ref="A2:AH2"/>
    <mergeCell ref="A3:AH3"/>
    <mergeCell ref="A5:A7"/>
    <mergeCell ref="B5:B7"/>
    <mergeCell ref="C5:C7"/>
    <mergeCell ref="D5:W5"/>
    <mergeCell ref="X5:AH5"/>
    <mergeCell ref="D6:D7"/>
    <mergeCell ref="E6:E7"/>
    <mergeCell ref="AG6:AG7"/>
    <mergeCell ref="M6:M7"/>
    <mergeCell ref="N6:O6"/>
    <mergeCell ref="P6:P7"/>
    <mergeCell ref="Q6:Q7"/>
    <mergeCell ref="AD6:AF6"/>
  </mergeCells>
  <printOptions horizontalCentered="1"/>
  <pageMargins left="0" right="0" top="0" bottom="0" header="0.31496062992125984" footer="0.31496062992125984"/>
  <pageSetup paperSize="9" scale="38" orientation="landscape"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S57"/>
  <sheetViews>
    <sheetView view="pageBreakPreview" zoomScale="80" zoomScaleNormal="80" zoomScaleSheetLayoutView="80" workbookViewId="0">
      <pane xSplit="3" ySplit="8" topLeftCell="V9" activePane="bottomRight" state="frozen"/>
      <selection activeCell="M26" sqref="M26"/>
      <selection pane="topRight" activeCell="M26" sqref="M26"/>
      <selection pane="bottomLeft" activeCell="M26" sqref="M26"/>
      <selection pane="bottomRight" activeCell="M26" sqref="M26:N26"/>
    </sheetView>
  </sheetViews>
  <sheetFormatPr defaultColWidth="9.33203125" defaultRowHeight="12.75" x14ac:dyDescent="0.2"/>
  <cols>
    <col min="1" max="1" width="6.83203125" style="33" customWidth="1"/>
    <col min="2" max="2" width="30.83203125" style="22" customWidth="1"/>
    <col min="3" max="3" width="13.83203125" style="22" customWidth="1"/>
    <col min="4" max="4" width="12.83203125" style="22" customWidth="1"/>
    <col min="5" max="5" width="13" style="22" customWidth="1"/>
    <col min="6" max="6" width="14.6640625" style="22" customWidth="1"/>
    <col min="7" max="7" width="12.33203125" style="22" customWidth="1"/>
    <col min="8" max="8" width="13.33203125" style="22" customWidth="1"/>
    <col min="9" max="9" width="15.83203125" style="22" customWidth="1"/>
    <col min="10" max="11" width="13.83203125" style="22" customWidth="1"/>
    <col min="12" max="12" width="13.33203125" style="22" customWidth="1"/>
    <col min="13" max="13" width="12.83203125" style="22" customWidth="1"/>
    <col min="14" max="14" width="11.5" style="22" customWidth="1"/>
    <col min="15" max="15" width="14.83203125" style="22" customWidth="1"/>
    <col min="16" max="16" width="15.33203125" style="22" customWidth="1"/>
    <col min="17" max="17" width="14.83203125" style="22" customWidth="1"/>
    <col min="18" max="18" width="13.6640625" style="22" customWidth="1"/>
    <col min="19" max="19" width="15.33203125" style="22" customWidth="1"/>
    <col min="20" max="20" width="12.33203125" style="22" customWidth="1"/>
    <col min="21" max="21" width="11.6640625" style="22" customWidth="1"/>
    <col min="22" max="22" width="13" style="22" customWidth="1"/>
    <col min="23" max="23" width="12.6640625" style="22" customWidth="1"/>
    <col min="24" max="24" width="13.33203125" style="22" customWidth="1"/>
    <col min="25" max="25" width="12.83203125" style="22" customWidth="1"/>
    <col min="26" max="26" width="13" style="22" customWidth="1"/>
    <col min="27" max="27" width="12.33203125" style="22" customWidth="1"/>
    <col min="28" max="28" width="11.33203125" style="22" customWidth="1"/>
    <col min="29" max="29" width="9.6640625" style="22" customWidth="1"/>
    <col min="30" max="30" width="11" style="22" customWidth="1"/>
    <col min="31" max="31" width="9.33203125" style="22" customWidth="1"/>
    <col min="32" max="32" width="9.83203125" style="22" customWidth="1"/>
    <col min="33" max="33" width="14" style="22" customWidth="1"/>
    <col min="34" max="34" width="12.33203125" style="22" customWidth="1"/>
    <col min="35" max="35" width="11.1640625" style="34" customWidth="1"/>
    <col min="36" max="36" width="9.33203125" style="22"/>
    <col min="37" max="37" width="12.6640625" style="22" customWidth="1"/>
    <col min="38" max="38" width="11.6640625" style="22" hidden="1" customWidth="1"/>
    <col min="39" max="39" width="13.6640625" style="22" hidden="1" customWidth="1"/>
    <col min="40" max="42" width="9.33203125" style="22"/>
    <col min="43" max="43" width="14" style="22" bestFit="1" customWidth="1"/>
    <col min="44" max="16384" width="9.33203125" style="22"/>
  </cols>
  <sheetData>
    <row r="1" spans="1:45" ht="12.75" customHeight="1" x14ac:dyDescent="0.2">
      <c r="AE1" s="1439"/>
      <c r="AF1" s="1439"/>
      <c r="AG1" s="1439"/>
      <c r="AH1" s="1439"/>
    </row>
    <row r="2" spans="1:45" ht="24" customHeight="1" x14ac:dyDescent="0.2">
      <c r="A2" s="1428" t="s">
        <v>157</v>
      </c>
      <c r="B2" s="1428"/>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8"/>
      <c r="AA2" s="1428"/>
      <c r="AB2" s="1428"/>
      <c r="AC2" s="1428"/>
      <c r="AD2" s="1428"/>
      <c r="AE2" s="1428"/>
      <c r="AF2" s="1428"/>
      <c r="AG2" s="1428"/>
      <c r="AH2" s="1428"/>
      <c r="AI2" s="36"/>
    </row>
    <row r="3" spans="1:45" ht="24.75" customHeight="1" x14ac:dyDescent="0.2">
      <c r="A3" s="1429"/>
      <c r="B3" s="1429"/>
      <c r="C3" s="1429"/>
      <c r="D3" s="1429"/>
      <c r="E3" s="1429"/>
      <c r="F3" s="1429"/>
      <c r="G3" s="1429"/>
      <c r="H3" s="1429"/>
      <c r="I3" s="1429"/>
      <c r="J3" s="1429"/>
      <c r="K3" s="1429"/>
      <c r="L3" s="1429"/>
      <c r="M3" s="1429"/>
      <c r="N3" s="1429"/>
      <c r="O3" s="1429"/>
      <c r="P3" s="1429"/>
      <c r="Q3" s="1429"/>
      <c r="R3" s="1429"/>
      <c r="S3" s="1429"/>
      <c r="T3" s="1429"/>
      <c r="U3" s="1429"/>
      <c r="V3" s="1429"/>
      <c r="W3" s="1429"/>
      <c r="X3" s="1429"/>
      <c r="Y3" s="1429"/>
      <c r="Z3" s="1429"/>
      <c r="AA3" s="1429"/>
      <c r="AB3" s="1429"/>
      <c r="AC3" s="1429"/>
      <c r="AD3" s="1429"/>
      <c r="AE3" s="1429"/>
      <c r="AF3" s="1429"/>
      <c r="AG3" s="1429"/>
      <c r="AH3" s="1429"/>
      <c r="AI3" s="283"/>
    </row>
    <row r="4" spans="1:45" x14ac:dyDescent="0.2">
      <c r="L4" s="38">
        <v>0.34311000000000003</v>
      </c>
    </row>
    <row r="5" spans="1:45" ht="38.25" customHeight="1" x14ac:dyDescent="0.2">
      <c r="A5" s="1442" t="s">
        <v>78</v>
      </c>
      <c r="B5" s="1442" t="s">
        <v>77</v>
      </c>
      <c r="C5" s="1431" t="s">
        <v>0</v>
      </c>
      <c r="D5" s="1431" t="s">
        <v>3</v>
      </c>
      <c r="E5" s="1431"/>
      <c r="F5" s="1431"/>
      <c r="G5" s="1431"/>
      <c r="H5" s="1431"/>
      <c r="I5" s="1431"/>
      <c r="J5" s="1431"/>
      <c r="K5" s="1431"/>
      <c r="L5" s="1431"/>
      <c r="M5" s="1431"/>
      <c r="N5" s="1431"/>
      <c r="O5" s="1431"/>
      <c r="P5" s="1431"/>
      <c r="Q5" s="1431"/>
      <c r="R5" s="1431"/>
      <c r="S5" s="1431"/>
      <c r="T5" s="1431"/>
      <c r="U5" s="1431"/>
      <c r="V5" s="1431"/>
      <c r="W5" s="1431"/>
      <c r="X5" s="1431" t="s">
        <v>4</v>
      </c>
      <c r="Y5" s="1431"/>
      <c r="Z5" s="1431"/>
      <c r="AA5" s="1431"/>
      <c r="AB5" s="1431"/>
      <c r="AC5" s="1431"/>
      <c r="AD5" s="1431"/>
      <c r="AE5" s="1431"/>
      <c r="AF5" s="1431"/>
      <c r="AG5" s="1431"/>
      <c r="AH5" s="1431"/>
    </row>
    <row r="6" spans="1:45" ht="60" customHeight="1" x14ac:dyDescent="0.2">
      <c r="A6" s="1442"/>
      <c r="B6" s="1442"/>
      <c r="C6" s="1431"/>
      <c r="D6" s="1423" t="s">
        <v>68</v>
      </c>
      <c r="E6" s="1423" t="s">
        <v>69</v>
      </c>
      <c r="F6" s="1423" t="s">
        <v>89</v>
      </c>
      <c r="G6" s="1423" t="s">
        <v>1</v>
      </c>
      <c r="H6" s="1423" t="s">
        <v>2</v>
      </c>
      <c r="I6" s="1423" t="s">
        <v>70</v>
      </c>
      <c r="J6" s="1423" t="s">
        <v>61</v>
      </c>
      <c r="K6" s="1423" t="s">
        <v>27</v>
      </c>
      <c r="L6" s="1831" t="s">
        <v>65</v>
      </c>
      <c r="M6" s="1831" t="s">
        <v>86</v>
      </c>
      <c r="N6" s="1832" t="s">
        <v>91</v>
      </c>
      <c r="O6" s="1832"/>
      <c r="P6" s="1832" t="s">
        <v>88</v>
      </c>
      <c r="Q6" s="1831" t="s">
        <v>82</v>
      </c>
      <c r="R6" s="1423" t="s">
        <v>83</v>
      </c>
      <c r="S6" s="1831" t="s">
        <v>87</v>
      </c>
      <c r="T6" s="1423" t="s">
        <v>84</v>
      </c>
      <c r="U6" s="1423" t="s">
        <v>9</v>
      </c>
      <c r="V6" s="1423" t="s">
        <v>7</v>
      </c>
      <c r="W6" s="1423" t="s">
        <v>85</v>
      </c>
      <c r="X6" s="1431" t="s">
        <v>10</v>
      </c>
      <c r="Y6" s="1431"/>
      <c r="Z6" s="1431"/>
      <c r="AA6" s="1431" t="s">
        <v>11</v>
      </c>
      <c r="AB6" s="1431"/>
      <c r="AC6" s="1431"/>
      <c r="AD6" s="1431" t="s">
        <v>12</v>
      </c>
      <c r="AE6" s="1431"/>
      <c r="AF6" s="1431"/>
      <c r="AG6" s="1431" t="s">
        <v>13</v>
      </c>
      <c r="AH6" s="1431" t="s">
        <v>73</v>
      </c>
    </row>
    <row r="7" spans="1:45" ht="107.25" customHeight="1" x14ac:dyDescent="0.2">
      <c r="A7" s="1442"/>
      <c r="B7" s="1442"/>
      <c r="C7" s="1431"/>
      <c r="D7" s="1423"/>
      <c r="E7" s="1423"/>
      <c r="F7" s="1423"/>
      <c r="G7" s="1423"/>
      <c r="H7" s="1423"/>
      <c r="I7" s="1423"/>
      <c r="J7" s="1423"/>
      <c r="K7" s="1423"/>
      <c r="L7" s="1831" t="s">
        <v>66</v>
      </c>
      <c r="M7" s="1831"/>
      <c r="N7" s="288" t="s">
        <v>80</v>
      </c>
      <c r="O7" s="288" t="s">
        <v>81</v>
      </c>
      <c r="P7" s="1832"/>
      <c r="Q7" s="1831"/>
      <c r="R7" s="1423"/>
      <c r="S7" s="1831" t="s">
        <v>67</v>
      </c>
      <c r="T7" s="1423"/>
      <c r="U7" s="1423"/>
      <c r="V7" s="1423"/>
      <c r="W7" s="1423"/>
      <c r="X7" s="280" t="s">
        <v>5</v>
      </c>
      <c r="Y7" s="280" t="s">
        <v>6</v>
      </c>
      <c r="Z7" s="280" t="s">
        <v>74</v>
      </c>
      <c r="AA7" s="280" t="s">
        <v>5</v>
      </c>
      <c r="AB7" s="280" t="s">
        <v>6</v>
      </c>
      <c r="AC7" s="280" t="s">
        <v>75</v>
      </c>
      <c r="AD7" s="280" t="s">
        <v>5</v>
      </c>
      <c r="AE7" s="280" t="s">
        <v>6</v>
      </c>
      <c r="AF7" s="280" t="s">
        <v>76</v>
      </c>
      <c r="AG7" s="1431"/>
      <c r="AH7" s="1431"/>
      <c r="AK7" s="22" t="s">
        <v>64</v>
      </c>
      <c r="AL7" s="22" t="s">
        <v>62</v>
      </c>
      <c r="AM7" s="165" t="s">
        <v>71</v>
      </c>
    </row>
    <row r="8" spans="1:45" x14ac:dyDescent="0.2">
      <c r="A8" s="278">
        <v>1</v>
      </c>
      <c r="B8" s="278">
        <v>2</v>
      </c>
      <c r="C8" s="278">
        <v>3</v>
      </c>
      <c r="D8" s="278">
        <v>4</v>
      </c>
      <c r="E8" s="278">
        <v>5</v>
      </c>
      <c r="F8" s="278">
        <v>6</v>
      </c>
      <c r="G8" s="278">
        <v>7</v>
      </c>
      <c r="H8" s="278">
        <v>8</v>
      </c>
      <c r="I8" s="278">
        <v>9</v>
      </c>
      <c r="J8" s="278">
        <v>10</v>
      </c>
      <c r="K8" s="278">
        <v>11</v>
      </c>
      <c r="L8" s="278">
        <v>12</v>
      </c>
      <c r="M8" s="278">
        <v>13</v>
      </c>
      <c r="N8" s="278">
        <v>14</v>
      </c>
      <c r="O8" s="278">
        <v>15</v>
      </c>
      <c r="P8" s="278">
        <v>16</v>
      </c>
      <c r="Q8" s="278">
        <v>17</v>
      </c>
      <c r="R8" s="278">
        <v>18</v>
      </c>
      <c r="S8" s="278">
        <v>19</v>
      </c>
      <c r="T8" s="278">
        <v>20</v>
      </c>
      <c r="U8" s="278">
        <v>21</v>
      </c>
      <c r="V8" s="278">
        <v>22</v>
      </c>
      <c r="W8" s="278">
        <v>23</v>
      </c>
      <c r="X8" s="278">
        <v>24</v>
      </c>
      <c r="Y8" s="278">
        <v>25</v>
      </c>
      <c r="Z8" s="278">
        <v>26</v>
      </c>
      <c r="AA8" s="278">
        <v>27</v>
      </c>
      <c r="AB8" s="278">
        <v>28</v>
      </c>
      <c r="AC8" s="278">
        <v>29</v>
      </c>
      <c r="AD8" s="278">
        <v>30</v>
      </c>
      <c r="AE8" s="278">
        <v>31</v>
      </c>
      <c r="AF8" s="278">
        <v>32</v>
      </c>
      <c r="AG8" s="278">
        <v>33</v>
      </c>
      <c r="AH8" s="278">
        <v>34</v>
      </c>
      <c r="AN8" s="43" t="s">
        <v>116</v>
      </c>
      <c r="AO8" s="43" t="s">
        <v>117</v>
      </c>
      <c r="AP8" s="43" t="s">
        <v>118</v>
      </c>
      <c r="AQ8" s="43" t="s">
        <v>119</v>
      </c>
    </row>
    <row r="9" spans="1:45" ht="16.5" customHeight="1" x14ac:dyDescent="0.2">
      <c r="A9" s="278">
        <v>1</v>
      </c>
      <c r="B9" s="166" t="s">
        <v>14</v>
      </c>
      <c r="C9" s="167">
        <v>1</v>
      </c>
      <c r="D9" s="168">
        <v>22.876999999999999</v>
      </c>
      <c r="E9" s="169">
        <f>C9*D9</f>
        <v>22.88</v>
      </c>
      <c r="F9" s="170">
        <f>E9*12</f>
        <v>274.60000000000002</v>
      </c>
      <c r="G9" s="154"/>
      <c r="H9" s="154"/>
      <c r="I9" s="154"/>
      <c r="J9" s="154"/>
      <c r="K9" s="154">
        <f>F9*0.4</f>
        <v>109.8</v>
      </c>
      <c r="L9" s="154">
        <f>F9*$L$4</f>
        <v>94.2</v>
      </c>
      <c r="M9" s="154">
        <f>F9+G9+H9+I9+J9+K9+L9</f>
        <v>478.6</v>
      </c>
      <c r="N9" s="171">
        <v>0.47</v>
      </c>
      <c r="O9" s="154">
        <f>M9*N9</f>
        <v>224.9</v>
      </c>
      <c r="P9" s="154">
        <f>M9+O9</f>
        <v>703.5</v>
      </c>
      <c r="Q9" s="154">
        <f>P9*0.8</f>
        <v>562.79999999999995</v>
      </c>
      <c r="R9" s="154">
        <f>P9*0.8</f>
        <v>562.79999999999995</v>
      </c>
      <c r="S9" s="154">
        <f>(P9+Q9+R9)*0.032</f>
        <v>58.5</v>
      </c>
      <c r="T9" s="154">
        <f>P9+Q9+R9+S9</f>
        <v>1887.6</v>
      </c>
      <c r="U9" s="1833">
        <v>1</v>
      </c>
      <c r="V9" s="155">
        <f t="shared" ref="V9:V21" si="0">T9*$U$9</f>
        <v>1887.6</v>
      </c>
      <c r="W9" s="155">
        <f>AQ9</f>
        <v>451.9</v>
      </c>
      <c r="X9" s="278"/>
      <c r="Y9" s="24">
        <v>30</v>
      </c>
      <c r="Z9" s="48">
        <f t="shared" ref="Z9:Z22" si="1">X9*Y9</f>
        <v>0</v>
      </c>
      <c r="AA9" s="278"/>
      <c r="AB9" s="24">
        <v>15</v>
      </c>
      <c r="AC9" s="48">
        <f t="shared" ref="AC9:AC22" si="2">AA9*AB9</f>
        <v>0</v>
      </c>
      <c r="AD9" s="278"/>
      <c r="AE9" s="24">
        <v>30</v>
      </c>
      <c r="AF9" s="48">
        <f t="shared" ref="AF9:AF22" si="3">AD9*AE9</f>
        <v>0</v>
      </c>
      <c r="AG9" s="48">
        <f t="shared" ref="AG9:AG22" si="4">(Z9+AC9+AF9)*1%*30</f>
        <v>0</v>
      </c>
      <c r="AH9" s="48">
        <f t="shared" ref="AH9:AH22" si="5">Z9+AC9+AF9+AG9</f>
        <v>0</v>
      </c>
      <c r="AI9" s="34">
        <f t="shared" ref="AI9:AI22" si="6">V9/12/C9*1000</f>
        <v>157300</v>
      </c>
      <c r="AJ9" s="34"/>
      <c r="AK9" s="34">
        <f t="shared" ref="AK9:AK22" si="7">V9/C9</f>
        <v>1887.6</v>
      </c>
      <c r="AL9" s="34">
        <f>((979*0.302)+((AK9-979)*0.182))</f>
        <v>461</v>
      </c>
      <c r="AM9" s="51">
        <f>AL9/AK9</f>
        <v>0.24399999999999999</v>
      </c>
      <c r="AN9" s="116">
        <f>1150*0.22*C9+(V9-1150*C9)*0.1</f>
        <v>326.8</v>
      </c>
      <c r="AO9" s="116">
        <f>865*0.029*C9</f>
        <v>25.1</v>
      </c>
      <c r="AP9" s="116">
        <f>AK9*0.053</f>
        <v>100</v>
      </c>
      <c r="AQ9" s="116">
        <f>SUM(AN9:AP9)</f>
        <v>451.9</v>
      </c>
      <c r="AS9" s="51">
        <f t="shared" ref="AS9:AS22" si="8">D9*1.5</f>
        <v>34.316000000000003</v>
      </c>
    </row>
    <row r="10" spans="1:45" ht="15" x14ac:dyDescent="0.2">
      <c r="A10" s="278">
        <v>2</v>
      </c>
      <c r="B10" s="166" t="s">
        <v>125</v>
      </c>
      <c r="C10" s="167">
        <v>2</v>
      </c>
      <c r="D10" s="168">
        <v>16.013999999999999</v>
      </c>
      <c r="E10" s="169">
        <f>C10*D10</f>
        <v>32.03</v>
      </c>
      <c r="F10" s="170">
        <f t="shared" ref="F10:F22" si="9">E10*12</f>
        <v>384.4</v>
      </c>
      <c r="G10" s="154"/>
      <c r="H10" s="154"/>
      <c r="I10" s="154">
        <f>D10*0.25*12</f>
        <v>48</v>
      </c>
      <c r="J10" s="154"/>
      <c r="K10" s="154">
        <f>D10*0.25*12+D10*0.4*12+D10*0.05*4</f>
        <v>128.1</v>
      </c>
      <c r="L10" s="154">
        <f t="shared" ref="L10:L21" si="10">F10*$L$4</f>
        <v>131.9</v>
      </c>
      <c r="M10" s="154">
        <f t="shared" ref="M10:M22" si="11">F10+G10+H10+I10+J10+K10+L10</f>
        <v>692.4</v>
      </c>
      <c r="N10" s="171">
        <v>0.47</v>
      </c>
      <c r="O10" s="154">
        <f t="shared" ref="O10:O22" si="12">M10*N10</f>
        <v>325.39999999999998</v>
      </c>
      <c r="P10" s="154">
        <f t="shared" ref="P10:P22" si="13">M10+O10</f>
        <v>1017.8</v>
      </c>
      <c r="Q10" s="154">
        <f t="shared" ref="Q10:Q22" si="14">P10*0.8</f>
        <v>814.2</v>
      </c>
      <c r="R10" s="154">
        <f t="shared" ref="R10:R22" si="15">P10*0.8</f>
        <v>814.2</v>
      </c>
      <c r="S10" s="154">
        <f t="shared" ref="S10:S22" si="16">(P10+Q10+R10)*0.032</f>
        <v>84.7</v>
      </c>
      <c r="T10" s="154">
        <f t="shared" ref="T10:T22" si="17">P10+Q10+R10+S10</f>
        <v>2730.9</v>
      </c>
      <c r="U10" s="1834"/>
      <c r="V10" s="155">
        <f t="shared" si="0"/>
        <v>2730.9</v>
      </c>
      <c r="W10" s="155">
        <f>AQ10</f>
        <v>744</v>
      </c>
      <c r="X10" s="278"/>
      <c r="Y10" s="24">
        <v>30</v>
      </c>
      <c r="Z10" s="48">
        <f t="shared" si="1"/>
        <v>0</v>
      </c>
      <c r="AA10" s="278">
        <v>1</v>
      </c>
      <c r="AB10" s="24">
        <v>15</v>
      </c>
      <c r="AC10" s="48">
        <f t="shared" si="2"/>
        <v>15</v>
      </c>
      <c r="AD10" s="278"/>
      <c r="AE10" s="24">
        <v>30</v>
      </c>
      <c r="AF10" s="48">
        <f t="shared" si="3"/>
        <v>0</v>
      </c>
      <c r="AG10" s="48">
        <f t="shared" si="4"/>
        <v>4.5</v>
      </c>
      <c r="AH10" s="48">
        <f t="shared" si="5"/>
        <v>19.5</v>
      </c>
      <c r="AI10" s="34">
        <f t="shared" si="6"/>
        <v>113787.5</v>
      </c>
      <c r="AJ10" s="34"/>
      <c r="AK10" s="34">
        <f t="shared" si="7"/>
        <v>1365.5</v>
      </c>
      <c r="AL10" s="34">
        <f t="shared" ref="AL10:AL22" si="18">((979*0.302)+((AK10-979)*0.182))</f>
        <v>366</v>
      </c>
      <c r="AM10" s="51">
        <f>AL10/AK10</f>
        <v>0.26800000000000002</v>
      </c>
      <c r="AN10" s="116">
        <f>1150*0.22*C10+(V10-1150*C10)*0.1</f>
        <v>549.1</v>
      </c>
      <c r="AO10" s="116">
        <f>865*0.029*C10</f>
        <v>50.2</v>
      </c>
      <c r="AP10" s="116">
        <f>AK10*0.053*2</f>
        <v>144.69999999999999</v>
      </c>
      <c r="AQ10" s="116">
        <f>SUM(AN10:AP10)</f>
        <v>744</v>
      </c>
      <c r="AS10" s="51">
        <f t="shared" si="8"/>
        <v>24.021000000000001</v>
      </c>
    </row>
    <row r="11" spans="1:45" ht="15" x14ac:dyDescent="0.2">
      <c r="A11" s="278">
        <v>3</v>
      </c>
      <c r="B11" s="106" t="s">
        <v>33</v>
      </c>
      <c r="C11" s="172">
        <v>1</v>
      </c>
      <c r="D11" s="173">
        <v>8.4730000000000008</v>
      </c>
      <c r="E11" s="171">
        <f t="shared" ref="E11:E22" si="19">C11*D11</f>
        <v>8.4700000000000006</v>
      </c>
      <c r="F11" s="154">
        <f t="shared" si="9"/>
        <v>101.6</v>
      </c>
      <c r="G11" s="154"/>
      <c r="H11" s="154"/>
      <c r="I11" s="154"/>
      <c r="J11" s="154"/>
      <c r="K11" s="154">
        <f>D11*0.2*5</f>
        <v>8.5</v>
      </c>
      <c r="L11" s="154">
        <f t="shared" si="10"/>
        <v>34.9</v>
      </c>
      <c r="M11" s="154">
        <f t="shared" si="11"/>
        <v>145</v>
      </c>
      <c r="N11" s="171">
        <v>0.41</v>
      </c>
      <c r="O11" s="154">
        <f t="shared" si="12"/>
        <v>59.5</v>
      </c>
      <c r="P11" s="154">
        <f t="shared" si="13"/>
        <v>204.5</v>
      </c>
      <c r="Q11" s="154">
        <f t="shared" si="14"/>
        <v>163.6</v>
      </c>
      <c r="R11" s="154">
        <f t="shared" si="15"/>
        <v>163.6</v>
      </c>
      <c r="S11" s="154">
        <f t="shared" si="16"/>
        <v>17</v>
      </c>
      <c r="T11" s="154">
        <f t="shared" si="17"/>
        <v>548.70000000000005</v>
      </c>
      <c r="U11" s="1834"/>
      <c r="V11" s="155">
        <f t="shared" si="0"/>
        <v>548.70000000000005</v>
      </c>
      <c r="W11" s="155">
        <f>V11*0.302</f>
        <v>165.7</v>
      </c>
      <c r="X11" s="162"/>
      <c r="Y11" s="163">
        <v>30</v>
      </c>
      <c r="Z11" s="164">
        <f t="shared" si="1"/>
        <v>0</v>
      </c>
      <c r="AA11" s="162"/>
      <c r="AB11" s="163">
        <v>15</v>
      </c>
      <c r="AC11" s="164">
        <f t="shared" si="2"/>
        <v>0</v>
      </c>
      <c r="AD11" s="162"/>
      <c r="AE11" s="163">
        <v>30</v>
      </c>
      <c r="AF11" s="164">
        <f t="shared" si="3"/>
        <v>0</v>
      </c>
      <c r="AG11" s="164">
        <f t="shared" si="4"/>
        <v>0</v>
      </c>
      <c r="AH11" s="164">
        <f t="shared" si="5"/>
        <v>0</v>
      </c>
      <c r="AI11" s="34">
        <f t="shared" si="6"/>
        <v>45725</v>
      </c>
      <c r="AJ11" s="34"/>
      <c r="AK11" s="34">
        <f t="shared" si="7"/>
        <v>548.70000000000005</v>
      </c>
      <c r="AL11" s="34">
        <f t="shared" si="18"/>
        <v>217.3</v>
      </c>
      <c r="AM11" s="51">
        <v>0.30199999999999999</v>
      </c>
      <c r="AO11" s="116"/>
      <c r="AP11" s="116"/>
      <c r="AQ11" s="116"/>
      <c r="AS11" s="51">
        <f t="shared" si="8"/>
        <v>12.71</v>
      </c>
    </row>
    <row r="12" spans="1:45" ht="15" x14ac:dyDescent="0.2">
      <c r="A12" s="278">
        <v>4</v>
      </c>
      <c r="B12" s="106" t="s">
        <v>105</v>
      </c>
      <c r="C12" s="172">
        <v>2</v>
      </c>
      <c r="D12" s="173">
        <v>8.4730000000000008</v>
      </c>
      <c r="E12" s="171">
        <f t="shared" si="19"/>
        <v>16.95</v>
      </c>
      <c r="F12" s="154">
        <f t="shared" si="9"/>
        <v>203.4</v>
      </c>
      <c r="G12" s="154"/>
      <c r="H12" s="154"/>
      <c r="I12" s="154"/>
      <c r="J12" s="154"/>
      <c r="K12" s="154">
        <f>F12*0.35</f>
        <v>71.2</v>
      </c>
      <c r="L12" s="154">
        <f t="shared" si="10"/>
        <v>69.8</v>
      </c>
      <c r="M12" s="154">
        <f t="shared" si="11"/>
        <v>344.4</v>
      </c>
      <c r="N12" s="171">
        <v>0.41</v>
      </c>
      <c r="O12" s="154">
        <f t="shared" si="12"/>
        <v>141.19999999999999</v>
      </c>
      <c r="P12" s="154">
        <f t="shared" si="13"/>
        <v>485.6</v>
      </c>
      <c r="Q12" s="154">
        <f t="shared" si="14"/>
        <v>388.5</v>
      </c>
      <c r="R12" s="154">
        <f t="shared" si="15"/>
        <v>388.5</v>
      </c>
      <c r="S12" s="154">
        <f t="shared" si="16"/>
        <v>40.4</v>
      </c>
      <c r="T12" s="154">
        <f t="shared" si="17"/>
        <v>1303</v>
      </c>
      <c r="U12" s="1834"/>
      <c r="V12" s="155">
        <f t="shared" si="0"/>
        <v>1303</v>
      </c>
      <c r="W12" s="155">
        <f t="shared" ref="W12:W22" si="20">V12*0.302</f>
        <v>393.5</v>
      </c>
      <c r="X12" s="162">
        <v>2</v>
      </c>
      <c r="Y12" s="163">
        <v>30</v>
      </c>
      <c r="Z12" s="164">
        <f t="shared" si="1"/>
        <v>60</v>
      </c>
      <c r="AA12" s="162"/>
      <c r="AB12" s="163">
        <v>15</v>
      </c>
      <c r="AC12" s="164">
        <f t="shared" si="2"/>
        <v>0</v>
      </c>
      <c r="AD12" s="162"/>
      <c r="AE12" s="163">
        <v>30</v>
      </c>
      <c r="AF12" s="164">
        <f t="shared" si="3"/>
        <v>0</v>
      </c>
      <c r="AG12" s="164">
        <f t="shared" si="4"/>
        <v>18</v>
      </c>
      <c r="AH12" s="164">
        <f t="shared" si="5"/>
        <v>78</v>
      </c>
      <c r="AI12" s="34">
        <f t="shared" si="6"/>
        <v>54291.7</v>
      </c>
      <c r="AJ12" s="34"/>
      <c r="AK12" s="34">
        <f t="shared" si="7"/>
        <v>651.5</v>
      </c>
      <c r="AL12" s="34">
        <f t="shared" si="18"/>
        <v>236.1</v>
      </c>
      <c r="AM12" s="51">
        <v>0.30199999999999999</v>
      </c>
      <c r="AQ12" s="116"/>
      <c r="AS12" s="51">
        <f t="shared" si="8"/>
        <v>12.71</v>
      </c>
    </row>
    <row r="13" spans="1:45" ht="15" x14ac:dyDescent="0.2">
      <c r="A13" s="278">
        <v>5</v>
      </c>
      <c r="B13" s="166" t="s">
        <v>15</v>
      </c>
      <c r="C13" s="174">
        <v>6</v>
      </c>
      <c r="D13" s="175">
        <v>11.061999999999999</v>
      </c>
      <c r="E13" s="171">
        <f t="shared" si="19"/>
        <v>66.37</v>
      </c>
      <c r="F13" s="154">
        <f t="shared" si="9"/>
        <v>796.4</v>
      </c>
      <c r="G13" s="154"/>
      <c r="H13" s="154"/>
      <c r="I13" s="154"/>
      <c r="J13" s="154"/>
      <c r="K13" s="154">
        <f>D13*0.2*12+D13*0.3*12+D13*0.35*12+D13*0.4*3*12</f>
        <v>272.10000000000002</v>
      </c>
      <c r="L13" s="154">
        <f t="shared" si="10"/>
        <v>273.3</v>
      </c>
      <c r="M13" s="154">
        <f t="shared" si="11"/>
        <v>1341.8</v>
      </c>
      <c r="N13" s="171">
        <v>0.43</v>
      </c>
      <c r="O13" s="154">
        <f t="shared" si="12"/>
        <v>577</v>
      </c>
      <c r="P13" s="154">
        <f t="shared" si="13"/>
        <v>1918.8</v>
      </c>
      <c r="Q13" s="154">
        <f t="shared" si="14"/>
        <v>1535</v>
      </c>
      <c r="R13" s="154">
        <f t="shared" si="15"/>
        <v>1535</v>
      </c>
      <c r="S13" s="154">
        <f t="shared" si="16"/>
        <v>159.6</v>
      </c>
      <c r="T13" s="154">
        <f t="shared" si="17"/>
        <v>5148.3999999999996</v>
      </c>
      <c r="U13" s="1834"/>
      <c r="V13" s="155">
        <f t="shared" si="0"/>
        <v>5148.3999999999996</v>
      </c>
      <c r="W13" s="155">
        <f t="shared" si="20"/>
        <v>1554.8</v>
      </c>
      <c r="X13" s="162">
        <v>5</v>
      </c>
      <c r="Y13" s="163">
        <v>30</v>
      </c>
      <c r="Z13" s="164">
        <f t="shared" si="1"/>
        <v>150</v>
      </c>
      <c r="AA13" s="162">
        <v>2</v>
      </c>
      <c r="AB13" s="163">
        <v>15</v>
      </c>
      <c r="AC13" s="164">
        <f t="shared" si="2"/>
        <v>30</v>
      </c>
      <c r="AD13" s="162"/>
      <c r="AE13" s="163">
        <v>30</v>
      </c>
      <c r="AF13" s="164">
        <f t="shared" si="3"/>
        <v>0</v>
      </c>
      <c r="AG13" s="164">
        <f t="shared" si="4"/>
        <v>54</v>
      </c>
      <c r="AH13" s="164">
        <f t="shared" si="5"/>
        <v>234</v>
      </c>
      <c r="AI13" s="34">
        <f t="shared" si="6"/>
        <v>71505.600000000006</v>
      </c>
      <c r="AJ13" s="34"/>
      <c r="AK13" s="34">
        <f t="shared" si="7"/>
        <v>858.1</v>
      </c>
      <c r="AL13" s="34">
        <f t="shared" si="18"/>
        <v>273.7</v>
      </c>
      <c r="AM13" s="51">
        <v>0.30199999999999999</v>
      </c>
      <c r="AO13" s="116"/>
      <c r="AP13" s="116"/>
      <c r="AQ13" s="116"/>
      <c r="AS13" s="51">
        <f t="shared" si="8"/>
        <v>16.593</v>
      </c>
    </row>
    <row r="14" spans="1:45" x14ac:dyDescent="0.2">
      <c r="A14" s="278">
        <v>6</v>
      </c>
      <c r="B14" s="166" t="s">
        <v>16</v>
      </c>
      <c r="C14" s="174">
        <v>17</v>
      </c>
      <c r="D14" s="175">
        <v>11.061999999999999</v>
      </c>
      <c r="E14" s="171">
        <f t="shared" si="19"/>
        <v>188.05</v>
      </c>
      <c r="F14" s="154">
        <f t="shared" si="9"/>
        <v>2256.6</v>
      </c>
      <c r="G14" s="154"/>
      <c r="H14" s="154"/>
      <c r="I14" s="154"/>
      <c r="J14" s="154"/>
      <c r="K14" s="154">
        <f>D14*0.3*12+D14*0.4*12</f>
        <v>92.9</v>
      </c>
      <c r="L14" s="154">
        <f t="shared" si="10"/>
        <v>774.3</v>
      </c>
      <c r="M14" s="154">
        <f t="shared" si="11"/>
        <v>3123.8</v>
      </c>
      <c r="N14" s="171">
        <v>0.43</v>
      </c>
      <c r="O14" s="154">
        <f t="shared" si="12"/>
        <v>1343.2</v>
      </c>
      <c r="P14" s="154">
        <f t="shared" si="13"/>
        <v>4467</v>
      </c>
      <c r="Q14" s="154">
        <f t="shared" si="14"/>
        <v>3573.6</v>
      </c>
      <c r="R14" s="154">
        <f t="shared" si="15"/>
        <v>3573.6</v>
      </c>
      <c r="S14" s="154">
        <f t="shared" si="16"/>
        <v>371.7</v>
      </c>
      <c r="T14" s="154">
        <f t="shared" si="17"/>
        <v>11985.9</v>
      </c>
      <c r="U14" s="1834"/>
      <c r="V14" s="155">
        <f t="shared" si="0"/>
        <v>11985.9</v>
      </c>
      <c r="W14" s="155">
        <f t="shared" si="20"/>
        <v>3619.7</v>
      </c>
      <c r="X14" s="162">
        <v>10</v>
      </c>
      <c r="Y14" s="163">
        <v>30</v>
      </c>
      <c r="Z14" s="164">
        <f t="shared" si="1"/>
        <v>300</v>
      </c>
      <c r="AA14" s="162">
        <v>3</v>
      </c>
      <c r="AB14" s="163">
        <v>15</v>
      </c>
      <c r="AC14" s="164">
        <f t="shared" si="2"/>
        <v>45</v>
      </c>
      <c r="AD14" s="162">
        <v>3</v>
      </c>
      <c r="AE14" s="163">
        <v>30</v>
      </c>
      <c r="AF14" s="164">
        <f t="shared" si="3"/>
        <v>90</v>
      </c>
      <c r="AG14" s="164">
        <f t="shared" si="4"/>
        <v>130.5</v>
      </c>
      <c r="AH14" s="164">
        <f t="shared" si="5"/>
        <v>565.5</v>
      </c>
      <c r="AI14" s="34">
        <f t="shared" si="6"/>
        <v>58754.400000000001</v>
      </c>
      <c r="AJ14" s="34"/>
      <c r="AK14" s="34">
        <f t="shared" si="7"/>
        <v>705.1</v>
      </c>
      <c r="AL14" s="34">
        <f t="shared" si="18"/>
        <v>245.8</v>
      </c>
      <c r="AM14" s="51">
        <v>0.30199999999999999</v>
      </c>
      <c r="AS14" s="51">
        <f t="shared" si="8"/>
        <v>16.593</v>
      </c>
    </row>
    <row r="15" spans="1:45" ht="15" x14ac:dyDescent="0.2">
      <c r="A15" s="278">
        <v>7</v>
      </c>
      <c r="B15" s="176" t="s">
        <v>36</v>
      </c>
      <c r="C15" s="167">
        <f>69.5-0.5</f>
        <v>69</v>
      </c>
      <c r="D15" s="177">
        <v>8.4730000000000008</v>
      </c>
      <c r="E15" s="171">
        <f>C15*D15</f>
        <v>584.64</v>
      </c>
      <c r="F15" s="154">
        <f t="shared" si="9"/>
        <v>7015.7</v>
      </c>
      <c r="G15" s="154"/>
      <c r="H15" s="154"/>
      <c r="I15" s="154"/>
      <c r="J15" s="154">
        <f>D15*5.05*12</f>
        <v>513.5</v>
      </c>
      <c r="K15" s="154">
        <f>D15*0.2*12+D15*0.05*4+D15*0.25*8+D15*0.05*16+D15*0.3*11+D15*0.05*31+D15*0.35*12+D15*0.4*12*12</f>
        <v>610.5</v>
      </c>
      <c r="L15" s="154">
        <f t="shared" si="10"/>
        <v>2407.1999999999998</v>
      </c>
      <c r="M15" s="154">
        <f t="shared" si="11"/>
        <v>10546.9</v>
      </c>
      <c r="N15" s="171">
        <v>0.41</v>
      </c>
      <c r="O15" s="154">
        <f t="shared" si="12"/>
        <v>4324.2</v>
      </c>
      <c r="P15" s="154">
        <f t="shared" si="13"/>
        <v>14871.1</v>
      </c>
      <c r="Q15" s="154">
        <f t="shared" si="14"/>
        <v>11896.9</v>
      </c>
      <c r="R15" s="154">
        <f t="shared" si="15"/>
        <v>11896.9</v>
      </c>
      <c r="S15" s="154">
        <f t="shared" si="16"/>
        <v>1237.3</v>
      </c>
      <c r="T15" s="154">
        <f t="shared" si="17"/>
        <v>39902.199999999997</v>
      </c>
      <c r="U15" s="1834"/>
      <c r="V15" s="155">
        <f>T15*$U$9</f>
        <v>39902.199999999997</v>
      </c>
      <c r="W15" s="155">
        <f t="shared" si="20"/>
        <v>12050.5</v>
      </c>
      <c r="X15" s="278">
        <v>41</v>
      </c>
      <c r="Y15" s="24">
        <v>30</v>
      </c>
      <c r="Z15" s="48">
        <f t="shared" si="1"/>
        <v>1230</v>
      </c>
      <c r="AA15" s="54">
        <v>15</v>
      </c>
      <c r="AB15" s="24">
        <v>15</v>
      </c>
      <c r="AC15" s="48">
        <f t="shared" si="2"/>
        <v>225</v>
      </c>
      <c r="AD15" s="54">
        <v>12</v>
      </c>
      <c r="AE15" s="24">
        <v>30</v>
      </c>
      <c r="AF15" s="48">
        <f t="shared" si="3"/>
        <v>360</v>
      </c>
      <c r="AG15" s="48">
        <f t="shared" si="4"/>
        <v>544.5</v>
      </c>
      <c r="AH15" s="48">
        <f t="shared" si="5"/>
        <v>2359.5</v>
      </c>
      <c r="AI15" s="34">
        <f t="shared" si="6"/>
        <v>48191.1</v>
      </c>
      <c r="AJ15" s="34"/>
      <c r="AK15" s="34">
        <f t="shared" si="7"/>
        <v>578.29999999999995</v>
      </c>
      <c r="AL15" s="34">
        <f t="shared" si="18"/>
        <v>222.7</v>
      </c>
      <c r="AM15" s="51">
        <v>0.30199999999999999</v>
      </c>
      <c r="AO15" s="116"/>
      <c r="AP15" s="116"/>
      <c r="AQ15" s="116"/>
      <c r="AS15" s="51">
        <f t="shared" si="8"/>
        <v>12.71</v>
      </c>
    </row>
    <row r="16" spans="1:45" ht="15" x14ac:dyDescent="0.2">
      <c r="A16" s="278">
        <v>8</v>
      </c>
      <c r="B16" s="176" t="s">
        <v>37</v>
      </c>
      <c r="C16" s="167">
        <v>6</v>
      </c>
      <c r="D16" s="177">
        <v>8.4730000000000008</v>
      </c>
      <c r="E16" s="171">
        <f>C16*D16</f>
        <v>50.84</v>
      </c>
      <c r="F16" s="154">
        <f t="shared" si="9"/>
        <v>610.1</v>
      </c>
      <c r="G16" s="154"/>
      <c r="H16" s="154"/>
      <c r="I16" s="154"/>
      <c r="J16" s="154">
        <f>D16*0.2*12</f>
        <v>20.3</v>
      </c>
      <c r="K16" s="154">
        <f>D16*0.4*12</f>
        <v>40.700000000000003</v>
      </c>
      <c r="L16" s="154">
        <f t="shared" si="10"/>
        <v>209.3</v>
      </c>
      <c r="M16" s="154">
        <f t="shared" si="11"/>
        <v>880.4</v>
      </c>
      <c r="N16" s="171">
        <v>0.41</v>
      </c>
      <c r="O16" s="154">
        <f t="shared" si="12"/>
        <v>361</v>
      </c>
      <c r="P16" s="154">
        <f t="shared" si="13"/>
        <v>1241.4000000000001</v>
      </c>
      <c r="Q16" s="154">
        <f t="shared" si="14"/>
        <v>993.1</v>
      </c>
      <c r="R16" s="154">
        <f t="shared" si="15"/>
        <v>993.1</v>
      </c>
      <c r="S16" s="154">
        <f t="shared" si="16"/>
        <v>103.3</v>
      </c>
      <c r="T16" s="154">
        <f t="shared" si="17"/>
        <v>3330.9</v>
      </c>
      <c r="U16" s="1834"/>
      <c r="V16" s="155">
        <f t="shared" si="0"/>
        <v>3330.9</v>
      </c>
      <c r="W16" s="155">
        <f t="shared" si="20"/>
        <v>1005.9</v>
      </c>
      <c r="X16" s="278"/>
      <c r="Y16" s="24">
        <v>30</v>
      </c>
      <c r="Z16" s="48">
        <f t="shared" si="1"/>
        <v>0</v>
      </c>
      <c r="AA16" s="54"/>
      <c r="AB16" s="24">
        <v>15</v>
      </c>
      <c r="AC16" s="48">
        <f t="shared" si="2"/>
        <v>0</v>
      </c>
      <c r="AD16" s="54"/>
      <c r="AE16" s="24">
        <v>30</v>
      </c>
      <c r="AF16" s="48">
        <f t="shared" si="3"/>
        <v>0</v>
      </c>
      <c r="AG16" s="48">
        <f t="shared" si="4"/>
        <v>0</v>
      </c>
      <c r="AH16" s="48">
        <f t="shared" si="5"/>
        <v>0</v>
      </c>
      <c r="AI16" s="34">
        <f t="shared" si="6"/>
        <v>46262.5</v>
      </c>
      <c r="AJ16" s="34"/>
      <c r="AK16" s="34">
        <f t="shared" si="7"/>
        <v>555.20000000000005</v>
      </c>
      <c r="AL16" s="34">
        <f t="shared" si="18"/>
        <v>218.5</v>
      </c>
      <c r="AM16" s="51">
        <v>0.30199999999999999</v>
      </c>
      <c r="AN16" s="116"/>
      <c r="AO16" s="116"/>
      <c r="AP16" s="116"/>
      <c r="AQ16" s="116"/>
      <c r="AS16" s="51">
        <f t="shared" si="8"/>
        <v>12.71</v>
      </c>
    </row>
    <row r="17" spans="1:45" x14ac:dyDescent="0.2">
      <c r="A17" s="278">
        <v>9</v>
      </c>
      <c r="B17" s="176" t="s">
        <v>19</v>
      </c>
      <c r="C17" s="167">
        <v>5</v>
      </c>
      <c r="D17" s="177">
        <v>8.4730000000000008</v>
      </c>
      <c r="E17" s="171">
        <f>C17*D17</f>
        <v>42.37</v>
      </c>
      <c r="F17" s="154">
        <f t="shared" si="9"/>
        <v>508.4</v>
      </c>
      <c r="G17" s="154"/>
      <c r="H17" s="154"/>
      <c r="I17" s="154"/>
      <c r="J17" s="154">
        <f>D17*1.25*12</f>
        <v>127.1</v>
      </c>
      <c r="K17" s="154">
        <f>D17*0.3*12+D17*0.35*2*12+D17*0.05*11+D17*0.4*2</f>
        <v>113.1</v>
      </c>
      <c r="L17" s="154">
        <f t="shared" si="10"/>
        <v>174.4</v>
      </c>
      <c r="M17" s="154">
        <f t="shared" si="11"/>
        <v>923</v>
      </c>
      <c r="N17" s="171">
        <v>0.41</v>
      </c>
      <c r="O17" s="154">
        <f t="shared" si="12"/>
        <v>378.4</v>
      </c>
      <c r="P17" s="154">
        <f t="shared" si="13"/>
        <v>1301.4000000000001</v>
      </c>
      <c r="Q17" s="154">
        <f t="shared" si="14"/>
        <v>1041.0999999999999</v>
      </c>
      <c r="R17" s="154">
        <f t="shared" si="15"/>
        <v>1041.0999999999999</v>
      </c>
      <c r="S17" s="154">
        <f t="shared" si="16"/>
        <v>108.3</v>
      </c>
      <c r="T17" s="154">
        <f t="shared" si="17"/>
        <v>3491.9</v>
      </c>
      <c r="U17" s="1834"/>
      <c r="V17" s="155">
        <f t="shared" si="0"/>
        <v>3491.9</v>
      </c>
      <c r="W17" s="155">
        <f t="shared" si="20"/>
        <v>1054.5999999999999</v>
      </c>
      <c r="X17" s="278">
        <v>3</v>
      </c>
      <c r="Y17" s="24">
        <v>30</v>
      </c>
      <c r="Z17" s="48">
        <f t="shared" si="1"/>
        <v>90</v>
      </c>
      <c r="AA17" s="54">
        <v>2</v>
      </c>
      <c r="AB17" s="24">
        <v>15</v>
      </c>
      <c r="AC17" s="48">
        <f t="shared" si="2"/>
        <v>30</v>
      </c>
      <c r="AD17" s="54"/>
      <c r="AE17" s="24">
        <v>30</v>
      </c>
      <c r="AF17" s="48">
        <f t="shared" si="3"/>
        <v>0</v>
      </c>
      <c r="AG17" s="48">
        <f t="shared" si="4"/>
        <v>36</v>
      </c>
      <c r="AH17" s="48">
        <f t="shared" si="5"/>
        <v>156</v>
      </c>
      <c r="AI17" s="34">
        <f t="shared" si="6"/>
        <v>58198.3</v>
      </c>
      <c r="AJ17" s="34"/>
      <c r="AK17" s="34">
        <f t="shared" si="7"/>
        <v>698.4</v>
      </c>
      <c r="AL17" s="34">
        <f t="shared" si="18"/>
        <v>244.6</v>
      </c>
      <c r="AM17" s="51">
        <v>0.30199999999999999</v>
      </c>
      <c r="AS17" s="51">
        <f t="shared" si="8"/>
        <v>12.71</v>
      </c>
    </row>
    <row r="18" spans="1:45" ht="25.5" x14ac:dyDescent="0.2">
      <c r="A18" s="278">
        <v>10</v>
      </c>
      <c r="B18" s="44" t="s">
        <v>131</v>
      </c>
      <c r="C18" s="167">
        <v>1</v>
      </c>
      <c r="D18" s="177">
        <v>8.4730000000000008</v>
      </c>
      <c r="E18" s="171">
        <f>C18*D18</f>
        <v>8.4700000000000006</v>
      </c>
      <c r="F18" s="154">
        <f t="shared" si="9"/>
        <v>101.6</v>
      </c>
      <c r="G18" s="154"/>
      <c r="H18" s="154"/>
      <c r="I18" s="154"/>
      <c r="J18" s="154"/>
      <c r="K18" s="154">
        <f>F18*0.4</f>
        <v>40.6</v>
      </c>
      <c r="L18" s="154">
        <f t="shared" si="10"/>
        <v>34.9</v>
      </c>
      <c r="M18" s="154">
        <f t="shared" si="11"/>
        <v>177.1</v>
      </c>
      <c r="N18" s="171">
        <v>0.41</v>
      </c>
      <c r="O18" s="154">
        <f t="shared" si="12"/>
        <v>72.599999999999994</v>
      </c>
      <c r="P18" s="154">
        <f t="shared" si="13"/>
        <v>249.7</v>
      </c>
      <c r="Q18" s="154">
        <f t="shared" si="14"/>
        <v>199.8</v>
      </c>
      <c r="R18" s="154">
        <f t="shared" si="15"/>
        <v>199.8</v>
      </c>
      <c r="S18" s="154">
        <f t="shared" si="16"/>
        <v>20.8</v>
      </c>
      <c r="T18" s="154">
        <f t="shared" si="17"/>
        <v>670.1</v>
      </c>
      <c r="U18" s="1834"/>
      <c r="V18" s="155">
        <f t="shared" si="0"/>
        <v>670.1</v>
      </c>
      <c r="W18" s="155">
        <f t="shared" si="20"/>
        <v>202.4</v>
      </c>
      <c r="X18" s="278">
        <v>1</v>
      </c>
      <c r="Y18" s="24">
        <v>35</v>
      </c>
      <c r="Z18" s="48">
        <f t="shared" si="1"/>
        <v>35</v>
      </c>
      <c r="AA18" s="54"/>
      <c r="AB18" s="24">
        <v>17.5</v>
      </c>
      <c r="AC18" s="48">
        <f t="shared" si="2"/>
        <v>0</v>
      </c>
      <c r="AD18" s="54"/>
      <c r="AE18" s="24">
        <v>35</v>
      </c>
      <c r="AF18" s="48">
        <f t="shared" si="3"/>
        <v>0</v>
      </c>
      <c r="AG18" s="48">
        <f t="shared" si="4"/>
        <v>10.5</v>
      </c>
      <c r="AH18" s="48">
        <f t="shared" si="5"/>
        <v>45.5</v>
      </c>
      <c r="AI18" s="34">
        <f t="shared" si="6"/>
        <v>55841.7</v>
      </c>
      <c r="AJ18" s="34"/>
      <c r="AK18" s="34">
        <f t="shared" si="7"/>
        <v>670.1</v>
      </c>
      <c r="AL18" s="34">
        <f t="shared" si="18"/>
        <v>239.4</v>
      </c>
      <c r="AM18" s="51">
        <v>0.30199999999999999</v>
      </c>
      <c r="AS18" s="51">
        <f t="shared" si="8"/>
        <v>12.71</v>
      </c>
    </row>
    <row r="19" spans="1:45" x14ac:dyDescent="0.2">
      <c r="A19" s="278">
        <v>11</v>
      </c>
      <c r="B19" s="178" t="s">
        <v>104</v>
      </c>
      <c r="C19" s="179">
        <v>1</v>
      </c>
      <c r="D19" s="177">
        <v>8.4730000000000008</v>
      </c>
      <c r="E19" s="171">
        <f t="shared" si="19"/>
        <v>8.4700000000000006</v>
      </c>
      <c r="F19" s="154">
        <f t="shared" si="9"/>
        <v>101.6</v>
      </c>
      <c r="G19" s="154"/>
      <c r="H19" s="154"/>
      <c r="I19" s="154"/>
      <c r="J19" s="154"/>
      <c r="K19" s="154">
        <f>F19*0.4</f>
        <v>40.6</v>
      </c>
      <c r="L19" s="154">
        <f t="shared" si="10"/>
        <v>34.9</v>
      </c>
      <c r="M19" s="154">
        <f t="shared" si="11"/>
        <v>177.1</v>
      </c>
      <c r="N19" s="171">
        <v>0.41</v>
      </c>
      <c r="O19" s="154">
        <f t="shared" si="12"/>
        <v>72.599999999999994</v>
      </c>
      <c r="P19" s="154">
        <f t="shared" si="13"/>
        <v>249.7</v>
      </c>
      <c r="Q19" s="154">
        <f t="shared" si="14"/>
        <v>199.8</v>
      </c>
      <c r="R19" s="154">
        <f t="shared" si="15"/>
        <v>199.8</v>
      </c>
      <c r="S19" s="154">
        <f t="shared" si="16"/>
        <v>20.8</v>
      </c>
      <c r="T19" s="154">
        <f t="shared" si="17"/>
        <v>670.1</v>
      </c>
      <c r="U19" s="1834"/>
      <c r="V19" s="155">
        <f t="shared" si="0"/>
        <v>670.1</v>
      </c>
      <c r="W19" s="155">
        <f t="shared" si="20"/>
        <v>202.4</v>
      </c>
      <c r="X19" s="278">
        <v>1</v>
      </c>
      <c r="Y19" s="24">
        <v>30</v>
      </c>
      <c r="Z19" s="48">
        <f t="shared" si="1"/>
        <v>30</v>
      </c>
      <c r="AA19" s="54"/>
      <c r="AB19" s="24">
        <v>15</v>
      </c>
      <c r="AC19" s="48">
        <f t="shared" si="2"/>
        <v>0</v>
      </c>
      <c r="AD19" s="54"/>
      <c r="AE19" s="24">
        <v>30</v>
      </c>
      <c r="AF19" s="48">
        <f t="shared" si="3"/>
        <v>0</v>
      </c>
      <c r="AG19" s="48">
        <f t="shared" si="4"/>
        <v>9</v>
      </c>
      <c r="AH19" s="48">
        <f t="shared" si="5"/>
        <v>39</v>
      </c>
      <c r="AI19" s="34">
        <f t="shared" si="6"/>
        <v>55841.7</v>
      </c>
      <c r="AJ19" s="34"/>
      <c r="AK19" s="34">
        <f t="shared" si="7"/>
        <v>670.1</v>
      </c>
      <c r="AL19" s="34">
        <f t="shared" si="18"/>
        <v>239.4</v>
      </c>
      <c r="AM19" s="51">
        <v>0.30199999999999999</v>
      </c>
      <c r="AS19" s="51">
        <f t="shared" si="8"/>
        <v>12.71</v>
      </c>
    </row>
    <row r="20" spans="1:45" x14ac:dyDescent="0.2">
      <c r="A20" s="278">
        <v>12</v>
      </c>
      <c r="B20" s="176" t="s">
        <v>20</v>
      </c>
      <c r="C20" s="180">
        <v>2</v>
      </c>
      <c r="D20" s="177">
        <v>8.4730000000000008</v>
      </c>
      <c r="E20" s="171">
        <f t="shared" si="19"/>
        <v>16.95</v>
      </c>
      <c r="F20" s="154">
        <f t="shared" si="9"/>
        <v>203.4</v>
      </c>
      <c r="G20" s="154"/>
      <c r="H20" s="154"/>
      <c r="I20" s="154"/>
      <c r="J20" s="154">
        <f>D20*0.1*12</f>
        <v>10.199999999999999</v>
      </c>
      <c r="K20" s="154">
        <f>D20*0.35*12</f>
        <v>35.6</v>
      </c>
      <c r="L20" s="154">
        <f t="shared" si="10"/>
        <v>69.8</v>
      </c>
      <c r="M20" s="154">
        <f t="shared" si="11"/>
        <v>319</v>
      </c>
      <c r="N20" s="171">
        <v>0.41</v>
      </c>
      <c r="O20" s="154">
        <f t="shared" si="12"/>
        <v>130.80000000000001</v>
      </c>
      <c r="P20" s="154">
        <f t="shared" si="13"/>
        <v>449.8</v>
      </c>
      <c r="Q20" s="154">
        <f t="shared" si="14"/>
        <v>359.8</v>
      </c>
      <c r="R20" s="154">
        <f t="shared" si="15"/>
        <v>359.8</v>
      </c>
      <c r="S20" s="154">
        <f t="shared" si="16"/>
        <v>37.4</v>
      </c>
      <c r="T20" s="154">
        <f t="shared" si="17"/>
        <v>1206.8</v>
      </c>
      <c r="U20" s="1834"/>
      <c r="V20" s="155">
        <f t="shared" si="0"/>
        <v>1206.8</v>
      </c>
      <c r="W20" s="155">
        <f t="shared" si="20"/>
        <v>364.5</v>
      </c>
      <c r="X20" s="278">
        <v>1</v>
      </c>
      <c r="Y20" s="24">
        <v>30</v>
      </c>
      <c r="Z20" s="48">
        <f t="shared" si="1"/>
        <v>30</v>
      </c>
      <c r="AA20" s="278">
        <v>1</v>
      </c>
      <c r="AB20" s="24">
        <v>15</v>
      </c>
      <c r="AC20" s="48">
        <f t="shared" si="2"/>
        <v>15</v>
      </c>
      <c r="AD20" s="278"/>
      <c r="AE20" s="24">
        <v>30</v>
      </c>
      <c r="AF20" s="48">
        <f t="shared" si="3"/>
        <v>0</v>
      </c>
      <c r="AG20" s="48">
        <f t="shared" si="4"/>
        <v>13.5</v>
      </c>
      <c r="AH20" s="48">
        <f t="shared" si="5"/>
        <v>58.5</v>
      </c>
      <c r="AI20" s="34">
        <f t="shared" si="6"/>
        <v>50283.3</v>
      </c>
      <c r="AJ20" s="34"/>
      <c r="AK20" s="34">
        <f t="shared" si="7"/>
        <v>603.4</v>
      </c>
      <c r="AL20" s="34">
        <f t="shared" si="18"/>
        <v>227.3</v>
      </c>
      <c r="AM20" s="51">
        <v>0.30199999999999999</v>
      </c>
      <c r="AS20" s="51">
        <f t="shared" si="8"/>
        <v>12.71</v>
      </c>
    </row>
    <row r="21" spans="1:45" ht="25.5" x14ac:dyDescent="0.2">
      <c r="A21" s="278">
        <v>13</v>
      </c>
      <c r="B21" s="181" t="s">
        <v>106</v>
      </c>
      <c r="C21" s="172">
        <v>12</v>
      </c>
      <c r="D21" s="182">
        <v>8.4730000000000008</v>
      </c>
      <c r="E21" s="171">
        <f t="shared" si="19"/>
        <v>101.68</v>
      </c>
      <c r="F21" s="154">
        <f t="shared" si="9"/>
        <v>1220.2</v>
      </c>
      <c r="G21" s="154"/>
      <c r="H21" s="154"/>
      <c r="I21" s="154"/>
      <c r="J21" s="154"/>
      <c r="K21" s="154">
        <f>D21*0.2*12+D21*0.4*12+D21*0.2*30</f>
        <v>111.8</v>
      </c>
      <c r="L21" s="154">
        <f t="shared" si="10"/>
        <v>418.7</v>
      </c>
      <c r="M21" s="154">
        <f t="shared" si="11"/>
        <v>1750.7</v>
      </c>
      <c r="N21" s="171">
        <v>0.47</v>
      </c>
      <c r="O21" s="154">
        <f t="shared" si="12"/>
        <v>822.8</v>
      </c>
      <c r="P21" s="154">
        <f t="shared" si="13"/>
        <v>2573.5</v>
      </c>
      <c r="Q21" s="154">
        <f t="shared" si="14"/>
        <v>2058.8000000000002</v>
      </c>
      <c r="R21" s="154">
        <f t="shared" si="15"/>
        <v>2058.8000000000002</v>
      </c>
      <c r="S21" s="154">
        <f t="shared" si="16"/>
        <v>214.1</v>
      </c>
      <c r="T21" s="154">
        <f t="shared" si="17"/>
        <v>6905.2</v>
      </c>
      <c r="U21" s="1834"/>
      <c r="V21" s="155">
        <f t="shared" si="0"/>
        <v>6905.2</v>
      </c>
      <c r="W21" s="155">
        <f t="shared" si="20"/>
        <v>2085.4</v>
      </c>
      <c r="X21" s="272">
        <v>10</v>
      </c>
      <c r="Y21" s="163">
        <v>30</v>
      </c>
      <c r="Z21" s="164">
        <f t="shared" si="1"/>
        <v>300</v>
      </c>
      <c r="AA21" s="272">
        <v>6</v>
      </c>
      <c r="AB21" s="163">
        <v>15</v>
      </c>
      <c r="AC21" s="164">
        <f t="shared" si="2"/>
        <v>90</v>
      </c>
      <c r="AD21" s="272"/>
      <c r="AE21" s="163">
        <v>30</v>
      </c>
      <c r="AF21" s="164">
        <f t="shared" si="3"/>
        <v>0</v>
      </c>
      <c r="AG21" s="164">
        <f t="shared" si="4"/>
        <v>117</v>
      </c>
      <c r="AH21" s="164">
        <f t="shared" si="5"/>
        <v>507</v>
      </c>
      <c r="AI21" s="34">
        <f t="shared" si="6"/>
        <v>47952.800000000003</v>
      </c>
      <c r="AJ21" s="34"/>
      <c r="AK21" s="34">
        <f t="shared" si="7"/>
        <v>575.4</v>
      </c>
      <c r="AL21" s="34">
        <f t="shared" si="18"/>
        <v>222.2</v>
      </c>
      <c r="AM21" s="51">
        <v>0.30199999999999999</v>
      </c>
      <c r="AS21" s="51">
        <f t="shared" si="8"/>
        <v>12.71</v>
      </c>
    </row>
    <row r="22" spans="1:45" s="188" customFormat="1" x14ac:dyDescent="0.2">
      <c r="A22" s="278">
        <v>14</v>
      </c>
      <c r="B22" s="106" t="s">
        <v>107</v>
      </c>
      <c r="C22" s="172">
        <f>2-1</f>
        <v>1</v>
      </c>
      <c r="D22" s="183">
        <v>4.3769999999999998</v>
      </c>
      <c r="E22" s="184">
        <f t="shared" si="19"/>
        <v>4.38</v>
      </c>
      <c r="F22" s="185">
        <f t="shared" si="9"/>
        <v>52.6</v>
      </c>
      <c r="G22" s="155"/>
      <c r="H22" s="155"/>
      <c r="I22" s="155"/>
      <c r="J22" s="155"/>
      <c r="K22" s="155"/>
      <c r="L22" s="154">
        <v>38.299999999999997</v>
      </c>
      <c r="M22" s="186">
        <f t="shared" si="11"/>
        <v>90.9</v>
      </c>
      <c r="N22" s="184">
        <v>0.47</v>
      </c>
      <c r="O22" s="186">
        <f t="shared" si="12"/>
        <v>42.7</v>
      </c>
      <c r="P22" s="186">
        <f t="shared" si="13"/>
        <v>133.6</v>
      </c>
      <c r="Q22" s="186">
        <f t="shared" si="14"/>
        <v>106.9</v>
      </c>
      <c r="R22" s="155">
        <f t="shared" si="15"/>
        <v>106.9</v>
      </c>
      <c r="S22" s="186">
        <f t="shared" si="16"/>
        <v>11.1</v>
      </c>
      <c r="T22" s="186">
        <f t="shared" si="17"/>
        <v>358.5</v>
      </c>
      <c r="U22" s="1835"/>
      <c r="V22" s="186">
        <f>T22*$U$9</f>
        <v>358.5</v>
      </c>
      <c r="W22" s="155">
        <f t="shared" si="20"/>
        <v>108.3</v>
      </c>
      <c r="X22" s="278">
        <v>1</v>
      </c>
      <c r="Y22" s="24">
        <v>30</v>
      </c>
      <c r="Z22" s="48">
        <f t="shared" si="1"/>
        <v>30</v>
      </c>
      <c r="AA22" s="278"/>
      <c r="AB22" s="24">
        <v>15</v>
      </c>
      <c r="AC22" s="48">
        <f t="shared" si="2"/>
        <v>0</v>
      </c>
      <c r="AD22" s="278">
        <v>1</v>
      </c>
      <c r="AE22" s="24">
        <v>30</v>
      </c>
      <c r="AF22" s="48">
        <f t="shared" si="3"/>
        <v>30</v>
      </c>
      <c r="AG22" s="48">
        <f t="shared" si="4"/>
        <v>18</v>
      </c>
      <c r="AH22" s="48">
        <f t="shared" si="5"/>
        <v>78</v>
      </c>
      <c r="AI22" s="34">
        <f t="shared" si="6"/>
        <v>29875</v>
      </c>
      <c r="AJ22" s="187"/>
      <c r="AK22" s="34">
        <f t="shared" si="7"/>
        <v>358.5</v>
      </c>
      <c r="AL22" s="34">
        <f t="shared" si="18"/>
        <v>182.7</v>
      </c>
      <c r="AM22" s="51">
        <v>0.30199999999999999</v>
      </c>
      <c r="AN22" s="22"/>
      <c r="AO22" s="22"/>
      <c r="AP22" s="22"/>
      <c r="AQ22" s="22"/>
      <c r="AS22" s="51">
        <f t="shared" si="8"/>
        <v>6.5659999999999998</v>
      </c>
    </row>
    <row r="23" spans="1:45" s="33" customFormat="1" ht="20.25" customHeight="1" x14ac:dyDescent="0.2">
      <c r="A23" s="1830" t="s">
        <v>72</v>
      </c>
      <c r="B23" s="1830"/>
      <c r="C23" s="189">
        <f t="shared" ref="C23:AH23" si="21">SUM(C9:C22)</f>
        <v>126</v>
      </c>
      <c r="D23" s="156">
        <f t="shared" si="21"/>
        <v>141.6</v>
      </c>
      <c r="E23" s="156">
        <f t="shared" si="21"/>
        <v>1152.5999999999999</v>
      </c>
      <c r="F23" s="156">
        <f t="shared" si="21"/>
        <v>13830.6</v>
      </c>
      <c r="G23" s="156">
        <f t="shared" si="21"/>
        <v>0</v>
      </c>
      <c r="H23" s="156">
        <f t="shared" si="21"/>
        <v>0</v>
      </c>
      <c r="I23" s="156">
        <f t="shared" si="21"/>
        <v>48</v>
      </c>
      <c r="J23" s="156">
        <f t="shared" si="21"/>
        <v>671.1</v>
      </c>
      <c r="K23" s="156">
        <f t="shared" si="21"/>
        <v>1675.5</v>
      </c>
      <c r="L23" s="156">
        <f t="shared" si="21"/>
        <v>4765.8999999999996</v>
      </c>
      <c r="M23" s="156">
        <f t="shared" si="21"/>
        <v>20991.1</v>
      </c>
      <c r="N23" s="156"/>
      <c r="O23" s="156">
        <f t="shared" si="21"/>
        <v>8876.2999999999993</v>
      </c>
      <c r="P23" s="156">
        <f t="shared" si="21"/>
        <v>29867.4</v>
      </c>
      <c r="Q23" s="156">
        <f t="shared" si="21"/>
        <v>23893.9</v>
      </c>
      <c r="R23" s="156">
        <f t="shared" si="21"/>
        <v>23893.9</v>
      </c>
      <c r="S23" s="156">
        <f t="shared" si="21"/>
        <v>2485</v>
      </c>
      <c r="T23" s="156">
        <f t="shared" si="21"/>
        <v>80140.2</v>
      </c>
      <c r="U23" s="156">
        <f t="shared" si="21"/>
        <v>1</v>
      </c>
      <c r="V23" s="156">
        <f t="shared" si="21"/>
        <v>80140.2</v>
      </c>
      <c r="W23" s="156">
        <f>SUM(W9:W22)</f>
        <v>24003.599999999999</v>
      </c>
      <c r="X23" s="156">
        <f>SUM(X9:X22)</f>
        <v>75</v>
      </c>
      <c r="Y23" s="156">
        <f t="shared" si="21"/>
        <v>425</v>
      </c>
      <c r="Z23" s="190">
        <f t="shared" si="21"/>
        <v>2255</v>
      </c>
      <c r="AA23" s="156">
        <f t="shared" si="21"/>
        <v>30</v>
      </c>
      <c r="AB23" s="156">
        <f t="shared" si="21"/>
        <v>212.5</v>
      </c>
      <c r="AC23" s="190">
        <f t="shared" si="21"/>
        <v>450</v>
      </c>
      <c r="AD23" s="156">
        <f t="shared" si="21"/>
        <v>16</v>
      </c>
      <c r="AE23" s="156">
        <f t="shared" si="21"/>
        <v>425</v>
      </c>
      <c r="AF23" s="190">
        <f t="shared" si="21"/>
        <v>480</v>
      </c>
      <c r="AG23" s="190">
        <f t="shared" si="21"/>
        <v>955.5</v>
      </c>
      <c r="AH23" s="190">
        <f t="shared" si="21"/>
        <v>4140.5</v>
      </c>
      <c r="AI23" s="34"/>
      <c r="AJ23" s="187"/>
      <c r="AK23" s="34"/>
      <c r="AL23" s="34"/>
      <c r="AM23" s="51"/>
      <c r="AN23" s="22"/>
      <c r="AO23" s="22"/>
      <c r="AP23" s="22"/>
      <c r="AQ23" s="22"/>
      <c r="AS23" s="51"/>
    </row>
    <row r="24" spans="1:45" s="192" customFormat="1" ht="14.25" customHeight="1" x14ac:dyDescent="0.2">
      <c r="A24" s="33"/>
      <c r="B24" s="22"/>
      <c r="C24" s="191"/>
      <c r="D24" s="22"/>
      <c r="E24" s="22"/>
      <c r="F24" s="22"/>
      <c r="G24" s="39"/>
      <c r="H24" s="39"/>
      <c r="I24" s="39"/>
      <c r="J24" s="39"/>
      <c r="K24" s="39"/>
      <c r="L24" s="39"/>
      <c r="M24" s="39"/>
      <c r="N24" s="39"/>
      <c r="O24" s="39"/>
      <c r="P24" s="39"/>
      <c r="Q24" s="39"/>
      <c r="R24" s="39"/>
      <c r="S24" s="39"/>
      <c r="T24" s="39"/>
      <c r="U24" s="22"/>
      <c r="V24" s="34"/>
      <c r="W24" s="66"/>
      <c r="X24" s="39"/>
      <c r="Y24" s="22"/>
      <c r="Z24" s="22"/>
      <c r="AA24" s="39"/>
      <c r="AB24" s="22"/>
      <c r="AC24" s="22"/>
      <c r="AD24" s="39"/>
      <c r="AE24" s="22"/>
      <c r="AF24" s="22"/>
      <c r="AG24" s="39"/>
      <c r="AH24" s="39"/>
      <c r="AI24" s="34"/>
      <c r="AJ24" s="187"/>
      <c r="AK24" s="34"/>
      <c r="AL24" s="34"/>
      <c r="AM24" s="51"/>
      <c r="AN24" s="22"/>
      <c r="AO24" s="22"/>
      <c r="AP24" s="22"/>
      <c r="AQ24" s="22"/>
      <c r="AS24" s="51"/>
    </row>
    <row r="25" spans="1:45" s="192" customFormat="1" ht="14.25" customHeight="1" x14ac:dyDescent="0.2">
      <c r="A25" s="33"/>
      <c r="B25" s="22"/>
      <c r="C25" s="191"/>
      <c r="D25" s="22"/>
      <c r="E25" s="22"/>
      <c r="F25" s="22"/>
      <c r="G25" s="39"/>
      <c r="H25" s="39"/>
      <c r="I25" s="39"/>
      <c r="J25" s="39"/>
      <c r="K25" s="39"/>
      <c r="L25" s="39"/>
      <c r="M25" s="39"/>
      <c r="N25" s="39"/>
      <c r="O25" s="39"/>
      <c r="P25" s="39"/>
      <c r="Q25" s="39"/>
      <c r="R25" s="39"/>
      <c r="S25" s="39"/>
      <c r="T25" s="39"/>
      <c r="U25" s="22"/>
      <c r="V25" s="66"/>
      <c r="W25" s="34"/>
      <c r="X25" s="39"/>
      <c r="Y25" s="22"/>
      <c r="Z25" s="22"/>
      <c r="AA25" s="39"/>
      <c r="AB25" s="22"/>
      <c r="AC25" s="22"/>
      <c r="AD25" s="39"/>
      <c r="AE25" s="22"/>
      <c r="AF25" s="22"/>
      <c r="AG25" s="39"/>
      <c r="AH25" s="39"/>
      <c r="AI25" s="34"/>
      <c r="AJ25" s="187"/>
      <c r="AK25" s="34"/>
      <c r="AL25" s="34"/>
      <c r="AM25" s="51"/>
      <c r="AN25" s="22"/>
      <c r="AO25" s="22"/>
      <c r="AP25" s="22"/>
      <c r="AQ25" s="22"/>
      <c r="AS25" s="51"/>
    </row>
    <row r="26" spans="1:45" s="192" customFormat="1" ht="58.5" customHeight="1" x14ac:dyDescent="0.2">
      <c r="A26" s="33"/>
      <c r="B26" s="22"/>
      <c r="C26" s="191"/>
      <c r="D26" s="22"/>
      <c r="E26" s="22"/>
      <c r="F26" s="22"/>
      <c r="G26" s="1438" t="s">
        <v>140</v>
      </c>
      <c r="H26" s="1438"/>
      <c r="I26" s="1438" t="s">
        <v>143</v>
      </c>
      <c r="J26" s="1438"/>
      <c r="K26" s="1433" t="s">
        <v>135</v>
      </c>
      <c r="L26" s="1434"/>
      <c r="M26" s="1438" t="s">
        <v>128</v>
      </c>
      <c r="N26" s="1438"/>
      <c r="Q26" s="39"/>
      <c r="R26" s="39"/>
      <c r="S26" s="39"/>
      <c r="T26" s="39"/>
      <c r="U26" s="22"/>
      <c r="V26" s="34"/>
      <c r="W26" s="34"/>
      <c r="X26" s="39"/>
      <c r="Y26" s="22"/>
      <c r="Z26" s="22"/>
      <c r="AA26" s="39"/>
      <c r="AB26" s="22"/>
      <c r="AC26" s="22"/>
      <c r="AD26" s="39"/>
      <c r="AE26" s="22"/>
      <c r="AF26" s="22"/>
      <c r="AG26" s="39"/>
      <c r="AH26" s="39"/>
      <c r="AI26" s="34"/>
      <c r="AJ26" s="187"/>
      <c r="AK26" s="34"/>
      <c r="AL26" s="34"/>
      <c r="AM26" s="51"/>
      <c r="AN26" s="22"/>
      <c r="AO26" s="22"/>
      <c r="AP26" s="22"/>
      <c r="AQ26" s="22"/>
      <c r="AS26" s="51"/>
    </row>
    <row r="27" spans="1:45" s="192" customFormat="1" ht="14.25" customHeight="1" x14ac:dyDescent="0.2">
      <c r="A27" s="33"/>
      <c r="B27" s="22"/>
      <c r="C27" s="191"/>
      <c r="D27" s="22"/>
      <c r="E27" s="22"/>
      <c r="F27" s="22"/>
      <c r="G27" s="279">
        <v>991</v>
      </c>
      <c r="H27" s="279">
        <v>992</v>
      </c>
      <c r="I27" s="279">
        <v>991</v>
      </c>
      <c r="J27" s="279">
        <v>992</v>
      </c>
      <c r="K27" s="279">
        <v>991</v>
      </c>
      <c r="L27" s="279">
        <v>992</v>
      </c>
      <c r="M27" s="279">
        <v>991</v>
      </c>
      <c r="N27" s="279">
        <v>992</v>
      </c>
      <c r="Q27" s="39"/>
      <c r="R27" s="39"/>
      <c r="S27" s="39"/>
      <c r="T27" s="39"/>
      <c r="U27" s="22"/>
      <c r="V27" s="34"/>
      <c r="W27" s="34"/>
      <c r="X27" s="39"/>
      <c r="Y27" s="22"/>
      <c r="Z27" s="22"/>
      <c r="AA27" s="39"/>
      <c r="AB27" s="22"/>
      <c r="AC27" s="22"/>
      <c r="AD27" s="39"/>
      <c r="AE27" s="22"/>
      <c r="AF27" s="22"/>
      <c r="AG27" s="39"/>
      <c r="AH27" s="39"/>
      <c r="AI27" s="34"/>
      <c r="AJ27" s="187"/>
      <c r="AK27" s="34"/>
      <c r="AL27" s="34"/>
      <c r="AM27" s="51"/>
      <c r="AN27" s="22"/>
      <c r="AO27" s="22"/>
      <c r="AP27" s="22"/>
      <c r="AQ27" s="22"/>
      <c r="AS27" s="51"/>
    </row>
    <row r="28" spans="1:45" s="192" customFormat="1" ht="14.25" customHeight="1" x14ac:dyDescent="0.2">
      <c r="A28" s="33"/>
      <c r="B28" s="22"/>
      <c r="C28" s="191"/>
      <c r="D28" s="22"/>
      <c r="E28" s="22"/>
      <c r="F28" s="22"/>
      <c r="G28" s="29">
        <f>76536+3092.6+824.1</f>
        <v>80452.7</v>
      </c>
      <c r="H28" s="29">
        <v>24137.9</v>
      </c>
      <c r="I28" s="29">
        <v>312.5</v>
      </c>
      <c r="J28" s="29">
        <v>94.4</v>
      </c>
      <c r="K28" s="29">
        <f>V23</f>
        <v>80140.2</v>
      </c>
      <c r="L28" s="29">
        <f>W23</f>
        <v>24003.599999999999</v>
      </c>
      <c r="M28" s="29">
        <f>G28-I28-K28</f>
        <v>0</v>
      </c>
      <c r="N28" s="29">
        <f>H28-J28-L28</f>
        <v>39.9</v>
      </c>
      <c r="Q28" s="39"/>
      <c r="R28" s="39"/>
      <c r="S28" s="39"/>
      <c r="T28" s="39"/>
      <c r="U28" s="22"/>
      <c r="V28" s="34"/>
      <c r="W28" s="34"/>
      <c r="X28" s="39"/>
      <c r="Y28" s="22"/>
      <c r="Z28" s="22"/>
      <c r="AA28" s="39"/>
      <c r="AB28" s="22"/>
      <c r="AC28" s="22"/>
      <c r="AD28" s="39"/>
      <c r="AE28" s="22"/>
      <c r="AF28" s="22"/>
      <c r="AG28" s="39"/>
      <c r="AH28" s="39"/>
      <c r="AI28" s="34"/>
      <c r="AJ28" s="187"/>
      <c r="AK28" s="34"/>
      <c r="AL28" s="34"/>
      <c r="AM28" s="51"/>
      <c r="AN28" s="22"/>
      <c r="AO28" s="22"/>
      <c r="AP28" s="22"/>
      <c r="AQ28" s="22"/>
      <c r="AS28" s="51"/>
    </row>
    <row r="29" spans="1:45" s="192" customFormat="1" ht="14.25" customHeight="1" x14ac:dyDescent="0.2">
      <c r="A29" s="33"/>
      <c r="B29" s="22"/>
      <c r="C29" s="191"/>
      <c r="D29" s="22"/>
      <c r="E29" s="22"/>
      <c r="F29" s="22"/>
      <c r="G29" s="39"/>
      <c r="H29" s="39"/>
      <c r="I29" s="157"/>
      <c r="J29" s="157"/>
      <c r="K29" s="157"/>
      <c r="L29" s="157"/>
      <c r="M29" s="39"/>
      <c r="N29" s="39"/>
      <c r="O29" s="39"/>
      <c r="P29" s="39"/>
      <c r="Q29" s="39"/>
      <c r="R29" s="39"/>
      <c r="S29" s="39"/>
      <c r="T29" s="39"/>
      <c r="U29" s="22"/>
      <c r="V29" s="34"/>
      <c r="W29" s="34"/>
      <c r="X29" s="39"/>
      <c r="Y29" s="22"/>
      <c r="Z29" s="22"/>
      <c r="AA29" s="39"/>
      <c r="AB29" s="22"/>
      <c r="AC29" s="22"/>
      <c r="AD29" s="39"/>
      <c r="AE29" s="22"/>
      <c r="AF29" s="22"/>
      <c r="AG29" s="39"/>
      <c r="AH29" s="39"/>
      <c r="AI29" s="34"/>
      <c r="AJ29" s="187"/>
      <c r="AK29" s="34"/>
      <c r="AL29" s="34"/>
      <c r="AM29" s="51"/>
      <c r="AN29" s="22"/>
      <c r="AO29" s="22"/>
      <c r="AP29" s="22"/>
      <c r="AQ29" s="22"/>
      <c r="AS29" s="51"/>
    </row>
    <row r="30" spans="1:45" s="192" customFormat="1" ht="14.25" customHeight="1" x14ac:dyDescent="0.2">
      <c r="A30" s="33"/>
      <c r="B30" s="22"/>
      <c r="C30" s="191"/>
      <c r="D30" s="22"/>
      <c r="E30" s="22"/>
      <c r="F30" s="22"/>
      <c r="G30" s="39"/>
      <c r="H30" s="39"/>
      <c r="I30" s="157"/>
      <c r="J30" s="157"/>
      <c r="K30" s="157"/>
      <c r="L30" s="157"/>
      <c r="M30" s="39"/>
      <c r="N30" s="39"/>
      <c r="O30" s="39"/>
      <c r="P30" s="39"/>
      <c r="Q30" s="39"/>
      <c r="R30" s="39"/>
      <c r="S30" s="39"/>
      <c r="T30" s="39"/>
      <c r="U30" s="22"/>
      <c r="V30" s="34"/>
      <c r="W30" s="34"/>
      <c r="X30" s="39"/>
      <c r="Y30" s="22"/>
      <c r="Z30" s="22"/>
      <c r="AA30" s="39"/>
      <c r="AB30" s="22"/>
      <c r="AC30" s="22"/>
      <c r="AD30" s="39"/>
      <c r="AE30" s="22"/>
      <c r="AF30" s="22"/>
      <c r="AG30" s="39"/>
      <c r="AH30" s="39"/>
      <c r="AI30" s="34"/>
      <c r="AJ30" s="187"/>
      <c r="AK30" s="34"/>
      <c r="AL30" s="34"/>
      <c r="AM30" s="51"/>
      <c r="AN30" s="22"/>
      <c r="AO30" s="22"/>
      <c r="AP30" s="22"/>
      <c r="AQ30" s="22"/>
      <c r="AS30" s="51"/>
    </row>
    <row r="31" spans="1:45" s="192" customFormat="1" ht="14.25" customHeight="1" x14ac:dyDescent="0.2">
      <c r="A31" s="33"/>
      <c r="B31" s="22"/>
      <c r="C31" s="191"/>
      <c r="D31" s="22"/>
      <c r="E31" s="22"/>
      <c r="F31" s="22"/>
      <c r="G31" s="39"/>
      <c r="H31" s="39"/>
      <c r="I31" s="39"/>
      <c r="J31" s="39"/>
      <c r="K31" s="39"/>
      <c r="L31" s="39"/>
      <c r="M31" s="39"/>
      <c r="N31" s="39"/>
      <c r="O31" s="39"/>
      <c r="P31" s="39"/>
      <c r="Q31" s="39"/>
      <c r="R31" s="39"/>
      <c r="S31" s="39"/>
      <c r="T31" s="39"/>
      <c r="U31" s="22"/>
      <c r="V31" s="34"/>
      <c r="W31" s="34"/>
      <c r="X31" s="39"/>
      <c r="Y31" s="22"/>
      <c r="Z31" s="22"/>
      <c r="AA31" s="39"/>
      <c r="AB31" s="22"/>
      <c r="AC31" s="22"/>
      <c r="AD31" s="39"/>
      <c r="AE31" s="22"/>
      <c r="AF31" s="22"/>
      <c r="AG31" s="39"/>
      <c r="AH31" s="39"/>
      <c r="AI31" s="34"/>
      <c r="AJ31" s="187"/>
      <c r="AK31" s="34"/>
      <c r="AL31" s="34"/>
      <c r="AM31" s="51"/>
      <c r="AN31" s="22"/>
      <c r="AO31" s="22"/>
      <c r="AP31" s="22"/>
      <c r="AQ31" s="22"/>
      <c r="AS31" s="51"/>
    </row>
    <row r="32" spans="1:45" s="192" customFormat="1" ht="14.25" customHeight="1" x14ac:dyDescent="0.2">
      <c r="A32" s="33"/>
      <c r="B32" s="22"/>
      <c r="C32" s="191"/>
      <c r="D32" s="22"/>
      <c r="E32" s="22"/>
      <c r="F32" s="22"/>
      <c r="G32" s="39"/>
      <c r="H32" s="39"/>
      <c r="I32" s="39"/>
      <c r="J32" s="39"/>
      <c r="K32" s="39"/>
      <c r="L32" s="39"/>
      <c r="M32" s="39"/>
      <c r="N32" s="39"/>
      <c r="O32" s="39"/>
      <c r="P32" s="39"/>
      <c r="Q32" s="39"/>
      <c r="R32" s="39"/>
      <c r="S32" s="39"/>
      <c r="T32" s="39"/>
      <c r="U32" s="22"/>
      <c r="V32" s="39"/>
      <c r="W32" s="39"/>
      <c r="X32" s="39"/>
      <c r="Y32" s="22"/>
      <c r="Z32" s="22"/>
      <c r="AA32" s="39"/>
      <c r="AB32" s="22"/>
      <c r="AC32" s="22"/>
      <c r="AD32" s="39"/>
      <c r="AE32" s="22"/>
      <c r="AF32" s="22"/>
      <c r="AG32" s="39"/>
      <c r="AH32" s="39"/>
      <c r="AI32" s="34"/>
      <c r="AJ32" s="187"/>
      <c r="AK32" s="34"/>
      <c r="AL32" s="34"/>
      <c r="AM32" s="51"/>
      <c r="AN32" s="22"/>
      <c r="AO32" s="22"/>
      <c r="AP32" s="22"/>
      <c r="AQ32" s="22"/>
    </row>
    <row r="33" spans="1:43" s="195" customFormat="1" ht="14.25" x14ac:dyDescent="0.2">
      <c r="A33" s="165"/>
      <c r="B33" s="193"/>
      <c r="C33" s="194"/>
      <c r="D33" s="194"/>
      <c r="E33" s="158"/>
      <c r="F33" s="158"/>
      <c r="G33" s="158"/>
      <c r="H33" s="158"/>
      <c r="I33" s="158"/>
      <c r="J33" s="158"/>
      <c r="K33" s="158"/>
      <c r="L33" s="158"/>
      <c r="M33" s="157"/>
      <c r="N33" s="157"/>
      <c r="O33" s="157"/>
      <c r="P33" s="157"/>
      <c r="Q33" s="157"/>
      <c r="R33" s="157"/>
      <c r="S33" s="157"/>
      <c r="T33" s="157"/>
      <c r="V33" s="157"/>
      <c r="W33" s="157"/>
      <c r="Z33" s="157"/>
      <c r="AC33" s="157"/>
      <c r="AF33" s="157"/>
      <c r="AG33" s="157"/>
      <c r="AI33" s="196"/>
      <c r="AN33" s="62"/>
      <c r="AO33" s="62"/>
      <c r="AP33" s="62"/>
      <c r="AQ33" s="62"/>
    </row>
    <row r="34" spans="1:43" s="195" customFormat="1" ht="14.25" x14ac:dyDescent="0.2">
      <c r="A34" s="165"/>
      <c r="B34" s="193"/>
      <c r="C34" s="194"/>
      <c r="D34" s="194"/>
      <c r="E34" s="158"/>
      <c r="F34" s="158"/>
      <c r="G34" s="158"/>
      <c r="H34" s="158"/>
      <c r="I34" s="158"/>
      <c r="J34" s="158"/>
      <c r="K34" s="158"/>
      <c r="L34" s="158"/>
      <c r="M34" s="157"/>
      <c r="N34" s="157"/>
      <c r="O34" s="157"/>
      <c r="P34" s="157"/>
      <c r="Q34" s="157"/>
      <c r="R34" s="157"/>
      <c r="S34" s="157"/>
      <c r="T34" s="157"/>
      <c r="V34" s="157"/>
      <c r="W34" s="157"/>
      <c r="Z34" s="157"/>
      <c r="AC34" s="157"/>
      <c r="AF34" s="157"/>
      <c r="AG34" s="157"/>
      <c r="AI34" s="196"/>
      <c r="AN34" s="62"/>
      <c r="AO34" s="62"/>
      <c r="AP34" s="62"/>
      <c r="AQ34" s="62"/>
    </row>
    <row r="35" spans="1:43" s="282" customFormat="1" ht="20.25" x14ac:dyDescent="0.2">
      <c r="A35" s="81"/>
      <c r="B35" s="82" t="s">
        <v>138</v>
      </c>
      <c r="C35" s="83"/>
      <c r="D35" s="84"/>
      <c r="E35" s="84"/>
      <c r="F35" s="85"/>
      <c r="G35" s="85"/>
      <c r="H35" s="86"/>
      <c r="I35" s="86"/>
      <c r="J35" s="85"/>
      <c r="K35" s="30" t="s">
        <v>166</v>
      </c>
      <c r="L35" s="85"/>
      <c r="M35" s="85"/>
      <c r="N35" s="87"/>
      <c r="O35" s="85"/>
      <c r="P35" s="85"/>
      <c r="Q35" s="85"/>
      <c r="R35" s="85"/>
      <c r="S35" s="85"/>
      <c r="T35" s="85"/>
      <c r="U35" s="85"/>
      <c r="V35" s="85"/>
      <c r="W35" s="85"/>
      <c r="X35" s="85"/>
      <c r="Y35" s="85"/>
      <c r="Z35" s="85"/>
      <c r="AA35" s="85"/>
      <c r="AB35" s="85"/>
      <c r="AC35" s="85"/>
      <c r="AD35" s="85"/>
      <c r="AE35" s="85"/>
      <c r="AF35" s="85"/>
      <c r="AG35" s="85"/>
      <c r="AH35" s="85"/>
      <c r="AI35" s="85"/>
      <c r="AK35" s="88"/>
      <c r="AL35" s="88"/>
      <c r="AM35" s="88"/>
      <c r="AN35" s="88"/>
      <c r="AO35" s="88"/>
    </row>
    <row r="36" spans="1:43" s="205" customFormat="1" ht="15" x14ac:dyDescent="0.2">
      <c r="A36" s="197"/>
      <c r="B36" s="197"/>
      <c r="C36" s="198"/>
      <c r="D36" s="199"/>
      <c r="E36" s="199"/>
      <c r="F36" s="159"/>
      <c r="G36" s="159"/>
      <c r="H36" s="200"/>
      <c r="I36" s="200"/>
      <c r="J36" s="159"/>
      <c r="K36" s="159"/>
      <c r="L36" s="159"/>
      <c r="M36" s="159"/>
      <c r="N36" s="201"/>
      <c r="O36" s="159"/>
      <c r="P36" s="159"/>
      <c r="Q36" s="159"/>
      <c r="R36" s="159"/>
      <c r="S36" s="159"/>
      <c r="T36" s="159"/>
      <c r="U36" s="159"/>
      <c r="V36" s="202"/>
      <c r="W36" s="202"/>
      <c r="X36" s="203"/>
      <c r="Y36" s="159"/>
      <c r="Z36" s="159"/>
      <c r="AA36" s="159"/>
      <c r="AB36" s="159"/>
      <c r="AC36" s="159"/>
      <c r="AD36" s="159"/>
      <c r="AE36" s="159"/>
      <c r="AF36" s="159"/>
      <c r="AG36" s="159"/>
      <c r="AH36" s="204"/>
      <c r="AM36" s="204"/>
      <c r="AN36" s="76"/>
      <c r="AO36" s="76"/>
      <c r="AP36" s="76"/>
      <c r="AQ36" s="76"/>
    </row>
    <row r="37" spans="1:43" s="205" customFormat="1" ht="15.75" x14ac:dyDescent="0.2">
      <c r="A37" s="206" t="s">
        <v>96</v>
      </c>
      <c r="B37" s="206"/>
      <c r="C37" s="160"/>
      <c r="D37" s="160"/>
      <c r="E37" s="160"/>
      <c r="F37" s="160"/>
      <c r="G37" s="160"/>
      <c r="H37" s="160"/>
      <c r="I37" s="160"/>
      <c r="J37" s="160"/>
      <c r="K37" s="160"/>
      <c r="L37" s="207"/>
      <c r="M37" s="207"/>
      <c r="N37" s="208"/>
      <c r="O37" s="207"/>
      <c r="P37" s="207"/>
      <c r="Q37" s="207"/>
      <c r="R37" s="207"/>
      <c r="S37" s="207"/>
      <c r="T37" s="207"/>
      <c r="U37" s="207"/>
      <c r="V37" s="207"/>
      <c r="W37" s="207"/>
      <c r="X37" s="207"/>
      <c r="Y37" s="207"/>
      <c r="Z37" s="207"/>
      <c r="AA37" s="207"/>
      <c r="AB37" s="207"/>
      <c r="AC37" s="207"/>
      <c r="AD37" s="207"/>
      <c r="AE37" s="207"/>
      <c r="AF37" s="207"/>
      <c r="AG37" s="207"/>
      <c r="AH37" s="204"/>
      <c r="AM37" s="204"/>
      <c r="AN37" s="76"/>
      <c r="AO37" s="76"/>
      <c r="AP37" s="76"/>
      <c r="AQ37" s="76"/>
    </row>
    <row r="38" spans="1:43" s="205" customFormat="1" ht="15.75" x14ac:dyDescent="0.2">
      <c r="A38" s="206" t="s">
        <v>139</v>
      </c>
      <c r="B38" s="209"/>
      <c r="C38" s="210"/>
      <c r="D38" s="210"/>
      <c r="E38" s="161"/>
      <c r="F38" s="161"/>
      <c r="G38" s="161"/>
      <c r="H38" s="161"/>
      <c r="I38" s="161"/>
      <c r="J38" s="161"/>
      <c r="K38" s="161"/>
      <c r="L38" s="207"/>
      <c r="M38" s="207"/>
      <c r="N38" s="207"/>
      <c r="O38" s="207"/>
      <c r="P38" s="207"/>
      <c r="Q38" s="207"/>
      <c r="R38" s="207"/>
      <c r="S38" s="207"/>
      <c r="T38" s="207"/>
      <c r="U38" s="207"/>
      <c r="V38" s="207"/>
      <c r="W38" s="207"/>
      <c r="X38" s="207"/>
      <c r="Y38" s="207"/>
      <c r="Z38" s="207"/>
      <c r="AA38" s="207"/>
      <c r="AB38" s="207"/>
      <c r="AC38" s="207"/>
      <c r="AD38" s="207"/>
      <c r="AE38" s="207"/>
      <c r="AF38" s="207"/>
      <c r="AG38" s="207"/>
      <c r="AH38" s="204"/>
      <c r="AM38" s="204"/>
      <c r="AN38" s="76"/>
      <c r="AO38" s="76"/>
      <c r="AP38" s="76"/>
      <c r="AQ38" s="76"/>
    </row>
    <row r="39" spans="1:43" ht="20.25" x14ac:dyDescent="0.2">
      <c r="AN39" s="88"/>
      <c r="AO39" s="88"/>
      <c r="AP39" s="88"/>
      <c r="AQ39" s="88"/>
    </row>
    <row r="40" spans="1:43" x14ac:dyDescent="0.2">
      <c r="E40" s="51"/>
      <c r="F40" s="51"/>
    </row>
    <row r="41" spans="1:43" x14ac:dyDescent="0.2">
      <c r="E41" s="51"/>
      <c r="F41" s="51"/>
    </row>
    <row r="42" spans="1:43" x14ac:dyDescent="0.2">
      <c r="E42" s="51"/>
      <c r="F42" s="51"/>
    </row>
    <row r="43" spans="1:43" x14ac:dyDescent="0.2">
      <c r="E43" s="51"/>
      <c r="F43" s="51"/>
    </row>
    <row r="44" spans="1:43" x14ac:dyDescent="0.2">
      <c r="E44" s="51"/>
      <c r="F44" s="51"/>
    </row>
    <row r="45" spans="1:43" x14ac:dyDescent="0.2">
      <c r="E45" s="51"/>
      <c r="F45" s="51"/>
    </row>
    <row r="46" spans="1:43" x14ac:dyDescent="0.2">
      <c r="E46" s="51"/>
      <c r="F46" s="51"/>
    </row>
    <row r="47" spans="1:43" x14ac:dyDescent="0.2">
      <c r="E47" s="51"/>
      <c r="F47" s="51"/>
    </row>
    <row r="48" spans="1:43" x14ac:dyDescent="0.2">
      <c r="E48" s="51"/>
      <c r="F48" s="51"/>
    </row>
    <row r="49" spans="5:6" x14ac:dyDescent="0.2">
      <c r="E49" s="51"/>
      <c r="F49" s="51"/>
    </row>
    <row r="50" spans="5:6" x14ac:dyDescent="0.2">
      <c r="E50" s="51"/>
      <c r="F50" s="51"/>
    </row>
    <row r="51" spans="5:6" x14ac:dyDescent="0.2">
      <c r="E51" s="51"/>
      <c r="F51" s="51"/>
    </row>
    <row r="52" spans="5:6" x14ac:dyDescent="0.2">
      <c r="E52" s="51"/>
      <c r="F52" s="51"/>
    </row>
    <row r="53" spans="5:6" x14ac:dyDescent="0.2">
      <c r="E53" s="51"/>
    </row>
    <row r="54" spans="5:6" x14ac:dyDescent="0.2">
      <c r="E54" s="51"/>
    </row>
    <row r="55" spans="5:6" x14ac:dyDescent="0.2">
      <c r="E55" s="51"/>
    </row>
    <row r="56" spans="5:6" x14ac:dyDescent="0.2">
      <c r="E56" s="51"/>
    </row>
    <row r="57" spans="5:6" x14ac:dyDescent="0.2">
      <c r="E57" s="51"/>
    </row>
  </sheetData>
  <autoFilter ref="A8:AS24"/>
  <mergeCells count="38">
    <mergeCell ref="AD6:AF6"/>
    <mergeCell ref="Q6:Q7"/>
    <mergeCell ref="G26:H26"/>
    <mergeCell ref="I26:J26"/>
    <mergeCell ref="K26:L26"/>
    <mergeCell ref="M26:N26"/>
    <mergeCell ref="U9:U22"/>
    <mergeCell ref="A23:B23"/>
    <mergeCell ref="S6:S7"/>
    <mergeCell ref="T6:T7"/>
    <mergeCell ref="U6:U7"/>
    <mergeCell ref="F6:F7"/>
    <mergeCell ref="G6:G7"/>
    <mergeCell ref="H6:H7"/>
    <mergeCell ref="I6:I7"/>
    <mergeCell ref="J6:J7"/>
    <mergeCell ref="L6:L7"/>
    <mergeCell ref="M6:M7"/>
    <mergeCell ref="N6:O6"/>
    <mergeCell ref="P6:P7"/>
    <mergeCell ref="R6:R7"/>
    <mergeCell ref="K6:K7"/>
    <mergeCell ref="AE1:AH1"/>
    <mergeCell ref="A2:AH2"/>
    <mergeCell ref="A3:AH3"/>
    <mergeCell ref="A5:A7"/>
    <mergeCell ref="B5:B7"/>
    <mergeCell ref="C5:C7"/>
    <mergeCell ref="D5:W5"/>
    <mergeCell ref="X5:AH5"/>
    <mergeCell ref="D6:D7"/>
    <mergeCell ref="E6:E7"/>
    <mergeCell ref="AA6:AC6"/>
    <mergeCell ref="AG6:AG7"/>
    <mergeCell ref="AH6:AH7"/>
    <mergeCell ref="V6:V7"/>
    <mergeCell ref="W6:W7"/>
    <mergeCell ref="X6:Z6"/>
  </mergeCells>
  <printOptions horizontalCentered="1"/>
  <pageMargins left="0" right="0" top="0" bottom="0" header="0.31496062992125984" footer="0.31496062992125984"/>
  <pageSetup paperSize="9" scale="35" orientation="landscape"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S105"/>
  <sheetViews>
    <sheetView view="pageBreakPreview" zoomScale="80" zoomScaleNormal="80" zoomScaleSheetLayoutView="80" workbookViewId="0">
      <pane xSplit="3" ySplit="8" topLeftCell="D45"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5" x14ac:dyDescent="0.2"/>
  <cols>
    <col min="1" max="1" width="7.83203125" style="33" customWidth="1"/>
    <col min="2" max="2" width="30.83203125" style="22" customWidth="1"/>
    <col min="3" max="3" width="13.83203125" style="22" customWidth="1"/>
    <col min="4" max="4" width="14" style="22" customWidth="1"/>
    <col min="5" max="5" width="13" style="22" customWidth="1"/>
    <col min="6" max="6" width="14.6640625" style="22" customWidth="1"/>
    <col min="7" max="7" width="12.83203125" style="22" customWidth="1"/>
    <col min="8" max="8" width="15.83203125" style="22" customWidth="1"/>
    <col min="9" max="9" width="13.5" style="22" customWidth="1"/>
    <col min="10" max="10" width="16.83203125" style="22" customWidth="1"/>
    <col min="11" max="11" width="13.5" style="22" customWidth="1"/>
    <col min="12" max="12" width="13.33203125" style="22" customWidth="1"/>
    <col min="13" max="13" width="14" style="22" customWidth="1"/>
    <col min="14" max="14" width="11.5" style="22" customWidth="1"/>
    <col min="15" max="15" width="11.6640625" style="22" customWidth="1"/>
    <col min="16" max="16" width="13.33203125" style="22" customWidth="1"/>
    <col min="17" max="17" width="11.5" style="22" customWidth="1"/>
    <col min="18" max="18" width="13" style="22" customWidth="1"/>
    <col min="19" max="19" width="15.5" style="22" customWidth="1"/>
    <col min="20" max="20" width="12.33203125" style="22" customWidth="1"/>
    <col min="21" max="21" width="11.6640625" style="22" customWidth="1"/>
    <col min="22" max="22" width="14.5" style="22" customWidth="1"/>
    <col min="23" max="23" width="16" style="22" customWidth="1"/>
    <col min="24" max="24" width="14.1640625" style="22" customWidth="1"/>
    <col min="25" max="25" width="11.1640625" style="22" customWidth="1"/>
    <col min="26" max="26" width="9.83203125" style="22" customWidth="1"/>
    <col min="27" max="30" width="8.5" style="22" customWidth="1"/>
    <col min="31" max="31" width="15.1640625" style="22" bestFit="1" customWidth="1"/>
    <col min="32" max="32" width="9.6640625" style="22" customWidth="1"/>
    <col min="33" max="33" width="9.33203125" style="22" customWidth="1"/>
    <col min="34" max="34" width="13.5" style="22" customWidth="1"/>
    <col min="35" max="35" width="14.5" style="34" customWidth="1"/>
    <col min="36" max="36" width="9.33203125" style="22"/>
    <col min="37" max="37" width="12.6640625" style="211" customWidth="1"/>
    <col min="38" max="38" width="11.6640625" style="211" hidden="1" customWidth="1"/>
    <col min="39" max="39" width="13" style="211" hidden="1" customWidth="1"/>
    <col min="40" max="40" width="14.1640625" style="211" bestFit="1" customWidth="1"/>
    <col min="41" max="41" width="9.5" style="211" bestFit="1" customWidth="1"/>
    <col min="42" max="43" width="14.1640625" style="211" bestFit="1" customWidth="1"/>
    <col min="44" max="45" width="9.5" style="22" bestFit="1" customWidth="1"/>
    <col min="46" max="16384" width="9.33203125" style="22"/>
  </cols>
  <sheetData>
    <row r="1" spans="1:45" ht="18" customHeight="1" x14ac:dyDescent="0.2">
      <c r="AE1" s="1427"/>
      <c r="AF1" s="1427"/>
      <c r="AG1" s="1427"/>
      <c r="AH1" s="1427"/>
    </row>
    <row r="2" spans="1:45" ht="24" customHeight="1" x14ac:dyDescent="0.2">
      <c r="A2" s="1428" t="s">
        <v>159</v>
      </c>
      <c r="B2" s="1428"/>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8"/>
      <c r="AA2" s="1428"/>
      <c r="AB2" s="1428"/>
      <c r="AC2" s="1428"/>
      <c r="AD2" s="1428"/>
      <c r="AE2" s="1428"/>
      <c r="AF2" s="1428"/>
      <c r="AG2" s="1428"/>
      <c r="AH2" s="1428"/>
      <c r="AI2" s="36"/>
    </row>
    <row r="3" spans="1:45" ht="24.75" customHeight="1" x14ac:dyDescent="0.2">
      <c r="A3" s="1429"/>
      <c r="B3" s="1429"/>
      <c r="C3" s="1429"/>
      <c r="D3" s="1429"/>
      <c r="E3" s="1429"/>
      <c r="F3" s="1429"/>
      <c r="G3" s="1429"/>
      <c r="H3" s="1429"/>
      <c r="I3" s="1429"/>
      <c r="J3" s="1429"/>
      <c r="K3" s="1429"/>
      <c r="L3" s="1429"/>
      <c r="M3" s="1429"/>
      <c r="N3" s="1429"/>
      <c r="O3" s="1429"/>
      <c r="P3" s="1429"/>
      <c r="Q3" s="1429"/>
      <c r="R3" s="1429"/>
      <c r="S3" s="1429"/>
      <c r="T3" s="1429"/>
      <c r="U3" s="1429"/>
      <c r="V3" s="1429"/>
      <c r="W3" s="1429"/>
      <c r="X3" s="1429"/>
      <c r="Y3" s="1429"/>
      <c r="Z3" s="1429"/>
      <c r="AA3" s="1429"/>
      <c r="AB3" s="1429"/>
      <c r="AC3" s="1429"/>
      <c r="AD3" s="1429"/>
      <c r="AE3" s="1429"/>
      <c r="AF3" s="1429"/>
      <c r="AG3" s="1429"/>
      <c r="AH3" s="1429"/>
      <c r="AI3" s="283"/>
    </row>
    <row r="4" spans="1:45" x14ac:dyDescent="0.2">
      <c r="L4" s="38">
        <v>0.33837499999999998</v>
      </c>
      <c r="V4" s="39"/>
      <c r="W4" s="39"/>
    </row>
    <row r="5" spans="1:45" ht="38.25" customHeight="1" x14ac:dyDescent="0.2">
      <c r="A5" s="1430" t="s">
        <v>78</v>
      </c>
      <c r="B5" s="1430" t="s">
        <v>77</v>
      </c>
      <c r="C5" s="1431" t="s">
        <v>0</v>
      </c>
      <c r="D5" s="1431" t="s">
        <v>3</v>
      </c>
      <c r="E5" s="1431"/>
      <c r="F5" s="1431"/>
      <c r="G5" s="1431"/>
      <c r="H5" s="1431"/>
      <c r="I5" s="1431"/>
      <c r="J5" s="1431"/>
      <c r="K5" s="1431"/>
      <c r="L5" s="1431"/>
      <c r="M5" s="1431"/>
      <c r="N5" s="1431"/>
      <c r="O5" s="1431"/>
      <c r="P5" s="1431"/>
      <c r="Q5" s="1431"/>
      <c r="R5" s="1431"/>
      <c r="S5" s="1431"/>
      <c r="T5" s="1431"/>
      <c r="U5" s="1431"/>
      <c r="V5" s="1431"/>
      <c r="W5" s="1431"/>
      <c r="X5" s="1431" t="s">
        <v>4</v>
      </c>
      <c r="Y5" s="1431"/>
      <c r="Z5" s="1431"/>
      <c r="AA5" s="1431"/>
      <c r="AB5" s="1431"/>
      <c r="AC5" s="1431"/>
      <c r="AD5" s="1431"/>
      <c r="AE5" s="1431"/>
      <c r="AF5" s="1431"/>
      <c r="AG5" s="1431"/>
      <c r="AH5" s="1431"/>
    </row>
    <row r="6" spans="1:45" ht="60" customHeight="1" x14ac:dyDescent="0.2">
      <c r="A6" s="1430"/>
      <c r="B6" s="1430"/>
      <c r="C6" s="1431"/>
      <c r="D6" s="1423" t="s">
        <v>68</v>
      </c>
      <c r="E6" s="1423" t="s">
        <v>69</v>
      </c>
      <c r="F6" s="1423" t="s">
        <v>89</v>
      </c>
      <c r="G6" s="1423" t="s">
        <v>1</v>
      </c>
      <c r="H6" s="1423" t="s">
        <v>2</v>
      </c>
      <c r="I6" s="1423" t="s">
        <v>70</v>
      </c>
      <c r="J6" s="1423" t="s">
        <v>61</v>
      </c>
      <c r="K6" s="1423" t="s">
        <v>27</v>
      </c>
      <c r="L6" s="1426" t="s">
        <v>65</v>
      </c>
      <c r="M6" s="1426" t="s">
        <v>93</v>
      </c>
      <c r="N6" s="1432" t="s">
        <v>91</v>
      </c>
      <c r="O6" s="1432"/>
      <c r="P6" s="1432" t="s">
        <v>88</v>
      </c>
      <c r="Q6" s="1426" t="s">
        <v>82</v>
      </c>
      <c r="R6" s="1423" t="s">
        <v>83</v>
      </c>
      <c r="S6" s="1426" t="s">
        <v>87</v>
      </c>
      <c r="T6" s="1423" t="s">
        <v>84</v>
      </c>
      <c r="U6" s="1423" t="s">
        <v>9</v>
      </c>
      <c r="V6" s="1423" t="s">
        <v>7</v>
      </c>
      <c r="W6" s="1423" t="s">
        <v>85</v>
      </c>
      <c r="X6" s="1431" t="s">
        <v>10</v>
      </c>
      <c r="Y6" s="1431"/>
      <c r="Z6" s="1431"/>
      <c r="AA6" s="1431" t="s">
        <v>11</v>
      </c>
      <c r="AB6" s="1431"/>
      <c r="AC6" s="1431"/>
      <c r="AD6" s="1431" t="s">
        <v>12</v>
      </c>
      <c r="AE6" s="1431"/>
      <c r="AF6" s="1431"/>
      <c r="AG6" s="1431" t="s">
        <v>13</v>
      </c>
      <c r="AH6" s="1431" t="s">
        <v>73</v>
      </c>
    </row>
    <row r="7" spans="1:45" ht="97.5" customHeight="1" x14ac:dyDescent="0.2">
      <c r="A7" s="1430"/>
      <c r="B7" s="1430"/>
      <c r="C7" s="1431"/>
      <c r="D7" s="1423"/>
      <c r="E7" s="1423"/>
      <c r="F7" s="1423"/>
      <c r="G7" s="1423"/>
      <c r="H7" s="1423"/>
      <c r="I7" s="1423"/>
      <c r="J7" s="1423"/>
      <c r="K7" s="1423"/>
      <c r="L7" s="1426" t="s">
        <v>66</v>
      </c>
      <c r="M7" s="1426"/>
      <c r="N7" s="281" t="s">
        <v>80</v>
      </c>
      <c r="O7" s="281" t="s">
        <v>81</v>
      </c>
      <c r="P7" s="1432"/>
      <c r="Q7" s="1426"/>
      <c r="R7" s="1423"/>
      <c r="S7" s="1426" t="s">
        <v>67</v>
      </c>
      <c r="T7" s="1423"/>
      <c r="U7" s="1423"/>
      <c r="V7" s="1423"/>
      <c r="W7" s="1423"/>
      <c r="X7" s="280" t="s">
        <v>5</v>
      </c>
      <c r="Y7" s="280" t="s">
        <v>6</v>
      </c>
      <c r="Z7" s="280" t="s">
        <v>74</v>
      </c>
      <c r="AA7" s="280" t="s">
        <v>5</v>
      </c>
      <c r="AB7" s="280" t="s">
        <v>6</v>
      </c>
      <c r="AC7" s="280" t="s">
        <v>75</v>
      </c>
      <c r="AD7" s="280" t="s">
        <v>5</v>
      </c>
      <c r="AE7" s="280" t="s">
        <v>6</v>
      </c>
      <c r="AF7" s="280" t="s">
        <v>76</v>
      </c>
      <c r="AG7" s="1431"/>
      <c r="AH7" s="1431"/>
      <c r="AK7" s="211" t="s">
        <v>64</v>
      </c>
      <c r="AL7" s="211" t="s">
        <v>62</v>
      </c>
      <c r="AM7" s="70" t="s">
        <v>71</v>
      </c>
    </row>
    <row r="8" spans="1:45" x14ac:dyDescent="0.2">
      <c r="A8" s="278">
        <v>1</v>
      </c>
      <c r="B8" s="278">
        <v>2</v>
      </c>
      <c r="C8" s="278">
        <v>3</v>
      </c>
      <c r="D8" s="278">
        <v>4</v>
      </c>
      <c r="E8" s="278">
        <v>5</v>
      </c>
      <c r="F8" s="278">
        <v>6</v>
      </c>
      <c r="G8" s="278">
        <v>7</v>
      </c>
      <c r="H8" s="278">
        <v>8</v>
      </c>
      <c r="I8" s="278">
        <v>9</v>
      </c>
      <c r="J8" s="278">
        <v>10</v>
      </c>
      <c r="K8" s="278">
        <v>11</v>
      </c>
      <c r="L8" s="278">
        <v>12</v>
      </c>
      <c r="M8" s="278">
        <v>13</v>
      </c>
      <c r="N8" s="278">
        <v>14</v>
      </c>
      <c r="O8" s="278">
        <v>15</v>
      </c>
      <c r="P8" s="278">
        <v>16</v>
      </c>
      <c r="Q8" s="278">
        <v>17</v>
      </c>
      <c r="R8" s="278">
        <v>18</v>
      </c>
      <c r="S8" s="278">
        <v>19</v>
      </c>
      <c r="T8" s="278">
        <v>20</v>
      </c>
      <c r="U8" s="278">
        <v>21</v>
      </c>
      <c r="V8" s="278">
        <v>22</v>
      </c>
      <c r="W8" s="278">
        <v>23</v>
      </c>
      <c r="X8" s="278">
        <v>24</v>
      </c>
      <c r="Y8" s="278">
        <v>25</v>
      </c>
      <c r="Z8" s="278">
        <v>26</v>
      </c>
      <c r="AA8" s="278">
        <v>27</v>
      </c>
      <c r="AB8" s="278">
        <v>28</v>
      </c>
      <c r="AC8" s="278">
        <v>29</v>
      </c>
      <c r="AD8" s="278">
        <v>30</v>
      </c>
      <c r="AE8" s="278">
        <v>31</v>
      </c>
      <c r="AF8" s="278">
        <v>32</v>
      </c>
      <c r="AG8" s="278">
        <v>33</v>
      </c>
      <c r="AH8" s="278">
        <v>34</v>
      </c>
      <c r="AN8" s="212" t="s">
        <v>116</v>
      </c>
      <c r="AO8" s="212" t="s">
        <v>117</v>
      </c>
      <c r="AP8" s="212" t="s">
        <v>118</v>
      </c>
      <c r="AQ8" s="212" t="s">
        <v>119</v>
      </c>
    </row>
    <row r="9" spans="1:45" ht="16.5" customHeight="1" x14ac:dyDescent="0.2">
      <c r="A9" s="278">
        <v>1</v>
      </c>
      <c r="B9" s="44" t="s">
        <v>14</v>
      </c>
      <c r="C9" s="278">
        <v>1</v>
      </c>
      <c r="D9" s="213">
        <v>25.596</v>
      </c>
      <c r="E9" s="214">
        <f>C9*D9</f>
        <v>25.6</v>
      </c>
      <c r="F9" s="215">
        <f>E9*12</f>
        <v>307.2</v>
      </c>
      <c r="G9" s="154"/>
      <c r="H9" s="154"/>
      <c r="I9" s="154"/>
      <c r="J9" s="154"/>
      <c r="K9" s="154">
        <f>F9*0.4</f>
        <v>122.9</v>
      </c>
      <c r="L9" s="154">
        <f>F9*$L$4</f>
        <v>103.9</v>
      </c>
      <c r="M9" s="154">
        <f>F9+G9+H9+I9+J9+K9+L9</f>
        <v>534</v>
      </c>
      <c r="N9" s="171">
        <v>0.98</v>
      </c>
      <c r="O9" s="154">
        <f>M9*N9</f>
        <v>523.29999999999995</v>
      </c>
      <c r="P9" s="154">
        <f>M9+O9</f>
        <v>1057.3</v>
      </c>
      <c r="Q9" s="154">
        <f>P9*0.8</f>
        <v>845.8</v>
      </c>
      <c r="R9" s="154">
        <f>P9*0.8</f>
        <v>845.8</v>
      </c>
      <c r="S9" s="154">
        <f>(P9+Q9+R9)*0.032</f>
        <v>88</v>
      </c>
      <c r="T9" s="154">
        <f>P9+Q9+R9+S9</f>
        <v>2836.9</v>
      </c>
      <c r="U9" s="1424">
        <v>1</v>
      </c>
      <c r="V9" s="154">
        <f>T9*$U$9</f>
        <v>2836.9</v>
      </c>
      <c r="W9" s="154">
        <f>AQ9</f>
        <v>597.20000000000005</v>
      </c>
      <c r="X9" s="278">
        <v>1</v>
      </c>
      <c r="Y9" s="24">
        <v>30</v>
      </c>
      <c r="Z9" s="48">
        <f>X9*Y9</f>
        <v>30</v>
      </c>
      <c r="AA9" s="278"/>
      <c r="AB9" s="24">
        <v>15</v>
      </c>
      <c r="AC9" s="48">
        <f>AA9*AB9</f>
        <v>0</v>
      </c>
      <c r="AD9" s="278"/>
      <c r="AE9" s="24">
        <v>30</v>
      </c>
      <c r="AF9" s="48">
        <f>AD9*AE9</f>
        <v>0</v>
      </c>
      <c r="AG9" s="278">
        <f t="shared" ref="AG9:AG51" si="0">(Z9+AC9+AF9)*1%*30</f>
        <v>9</v>
      </c>
      <c r="AH9" s="48">
        <f t="shared" ref="AH9:AH27" si="1">Z9+AC9+AF9+AG9</f>
        <v>39</v>
      </c>
      <c r="AI9" s="34">
        <f t="shared" ref="AI9:AI36" si="2">V9/12/C9*1000</f>
        <v>236408.3</v>
      </c>
      <c r="AJ9" s="34"/>
      <c r="AK9" s="216">
        <f t="shared" ref="AK9:AK41" si="3">V9/C9</f>
        <v>2836.9</v>
      </c>
      <c r="AL9" s="216">
        <f>((979*0.302)+((AK9-979)*0.182))</f>
        <v>633.79999999999995</v>
      </c>
      <c r="AM9" s="217">
        <f>AL9/AK9</f>
        <v>0.223</v>
      </c>
      <c r="AN9" s="50">
        <f>1150*0.22*C9+(V9-1150*C9)*0.1</f>
        <v>421.7</v>
      </c>
      <c r="AO9" s="50">
        <f>865*0.029</f>
        <v>25.1</v>
      </c>
      <c r="AP9" s="50">
        <f>V9*0.053</f>
        <v>150.4</v>
      </c>
      <c r="AQ9" s="50">
        <f>SUM(AN9:AP9)</f>
        <v>597.20000000000005</v>
      </c>
      <c r="AS9" s="66"/>
    </row>
    <row r="10" spans="1:45" x14ac:dyDescent="0.2">
      <c r="A10" s="278">
        <v>2</v>
      </c>
      <c r="B10" s="44" t="s">
        <v>125</v>
      </c>
      <c r="C10" s="278">
        <v>1</v>
      </c>
      <c r="D10" s="177">
        <v>17.917000000000002</v>
      </c>
      <c r="E10" s="214">
        <f>C10*D10</f>
        <v>17.920000000000002</v>
      </c>
      <c r="F10" s="215">
        <f>E10*12</f>
        <v>215</v>
      </c>
      <c r="G10" s="154"/>
      <c r="H10" s="154">
        <v>8.6999999999999993</v>
      </c>
      <c r="I10" s="154"/>
      <c r="J10" s="154"/>
      <c r="K10" s="154">
        <f>F10*0.4</f>
        <v>86</v>
      </c>
      <c r="L10" s="154">
        <f t="shared" ref="L10:L51" si="4">F10*$L$4</f>
        <v>72.8</v>
      </c>
      <c r="M10" s="154">
        <f>F10+G10+H10+I10+J10+K10+L10</f>
        <v>382.5</v>
      </c>
      <c r="N10" s="171">
        <v>0.47</v>
      </c>
      <c r="O10" s="154">
        <f>M10*N10</f>
        <v>179.8</v>
      </c>
      <c r="P10" s="154">
        <f>M10+O10</f>
        <v>562.29999999999995</v>
      </c>
      <c r="Q10" s="154">
        <f>P10*0.8</f>
        <v>449.8</v>
      </c>
      <c r="R10" s="154">
        <f>P10*0.8</f>
        <v>449.8</v>
      </c>
      <c r="S10" s="154">
        <f>(P10+Q10+R10)*0.032</f>
        <v>46.8</v>
      </c>
      <c r="T10" s="154">
        <f>P10+Q10+R10+S10</f>
        <v>1508.7</v>
      </c>
      <c r="U10" s="1425"/>
      <c r="V10" s="154">
        <f t="shared" ref="V10:V50" si="5">T10*$U$9</f>
        <v>1508.7</v>
      </c>
      <c r="W10" s="154">
        <f>AQ10</f>
        <v>394</v>
      </c>
      <c r="X10" s="278"/>
      <c r="Y10" s="24">
        <v>30</v>
      </c>
      <c r="Z10" s="48">
        <f>X10*Y10</f>
        <v>0</v>
      </c>
      <c r="AA10" s="278"/>
      <c r="AB10" s="24">
        <v>15</v>
      </c>
      <c r="AC10" s="48">
        <f>AA10*AB10</f>
        <v>0</v>
      </c>
      <c r="AD10" s="278"/>
      <c r="AE10" s="24">
        <v>30</v>
      </c>
      <c r="AF10" s="48">
        <f>AD10*AE10</f>
        <v>0</v>
      </c>
      <c r="AG10" s="278">
        <f t="shared" si="0"/>
        <v>0</v>
      </c>
      <c r="AH10" s="48">
        <f t="shared" si="1"/>
        <v>0</v>
      </c>
      <c r="AI10" s="34">
        <f t="shared" si="2"/>
        <v>125725</v>
      </c>
      <c r="AJ10" s="34"/>
      <c r="AK10" s="216">
        <f t="shared" si="3"/>
        <v>1508.7</v>
      </c>
      <c r="AL10" s="216">
        <f t="shared" ref="AL10:AL41" si="6">((979*0.302)+((AK10-979)*0.182))</f>
        <v>392.1</v>
      </c>
      <c r="AM10" s="217">
        <f>AL10/AK10</f>
        <v>0.26</v>
      </c>
      <c r="AN10" s="50">
        <f>1150*0.22*C10+(V10-1150*C10)*0.1</f>
        <v>288.89999999999998</v>
      </c>
      <c r="AO10" s="50">
        <f>865*0.029</f>
        <v>25.1</v>
      </c>
      <c r="AP10" s="50">
        <f>V10*0.053</f>
        <v>80</v>
      </c>
      <c r="AQ10" s="50">
        <f t="shared" ref="AQ10:AQ52" si="7">SUM(AN10:AP10)</f>
        <v>394</v>
      </c>
      <c r="AS10" s="66"/>
    </row>
    <row r="11" spans="1:45" x14ac:dyDescent="0.2">
      <c r="A11" s="278">
        <v>3</v>
      </c>
      <c r="B11" s="44" t="s">
        <v>125</v>
      </c>
      <c r="C11" s="278">
        <v>1</v>
      </c>
      <c r="D11" s="177">
        <v>17.917000000000002</v>
      </c>
      <c r="E11" s="214">
        <f>C11*D11</f>
        <v>17.920000000000002</v>
      </c>
      <c r="F11" s="215">
        <f>E11*12</f>
        <v>215</v>
      </c>
      <c r="G11" s="154"/>
      <c r="H11" s="154">
        <v>7.9</v>
      </c>
      <c r="I11" s="154"/>
      <c r="J11" s="154"/>
      <c r="K11" s="154">
        <f>F11*0.25</f>
        <v>53.8</v>
      </c>
      <c r="L11" s="154">
        <f t="shared" si="4"/>
        <v>72.8</v>
      </c>
      <c r="M11" s="154">
        <f>F11+G11+H11+I11+J11+K11+L11</f>
        <v>349.5</v>
      </c>
      <c r="N11" s="171">
        <v>0.47</v>
      </c>
      <c r="O11" s="154">
        <f>M11*N11</f>
        <v>164.3</v>
      </c>
      <c r="P11" s="154">
        <f>M11+O11</f>
        <v>513.79999999999995</v>
      </c>
      <c r="Q11" s="154">
        <f>P11*0.8</f>
        <v>411</v>
      </c>
      <c r="R11" s="154">
        <f>P11*0.8</f>
        <v>411</v>
      </c>
      <c r="S11" s="154">
        <f>(P11+Q11+R11)*0.032</f>
        <v>42.7</v>
      </c>
      <c r="T11" s="154">
        <f>P11+Q11+R11+S11</f>
        <v>1378.5</v>
      </c>
      <c r="U11" s="1425"/>
      <c r="V11" s="154">
        <f t="shared" si="5"/>
        <v>1378.5</v>
      </c>
      <c r="W11" s="154">
        <f>AQ11</f>
        <v>374.1</v>
      </c>
      <c r="X11" s="278">
        <v>1</v>
      </c>
      <c r="Y11" s="24">
        <v>30</v>
      </c>
      <c r="Z11" s="48">
        <f>X11*Y11</f>
        <v>30</v>
      </c>
      <c r="AA11" s="278"/>
      <c r="AB11" s="24">
        <v>15</v>
      </c>
      <c r="AC11" s="48">
        <f>AA11*AB11</f>
        <v>0</v>
      </c>
      <c r="AD11" s="278"/>
      <c r="AE11" s="24">
        <v>30</v>
      </c>
      <c r="AF11" s="48">
        <f>AD11*AE11</f>
        <v>0</v>
      </c>
      <c r="AG11" s="278">
        <f t="shared" si="0"/>
        <v>9</v>
      </c>
      <c r="AH11" s="48">
        <f t="shared" si="1"/>
        <v>39</v>
      </c>
      <c r="AI11" s="34">
        <f t="shared" si="2"/>
        <v>114875</v>
      </c>
      <c r="AJ11" s="34"/>
      <c r="AK11" s="216">
        <f t="shared" si="3"/>
        <v>1378.5</v>
      </c>
      <c r="AL11" s="216">
        <f t="shared" si="6"/>
        <v>368.4</v>
      </c>
      <c r="AM11" s="217">
        <f>AL11/AK11</f>
        <v>0.26700000000000002</v>
      </c>
      <c r="AN11" s="50">
        <f>1150*0.22*C11+(V11-1150*C11)*0.1</f>
        <v>275.89999999999998</v>
      </c>
      <c r="AO11" s="50">
        <f>865*0.029</f>
        <v>25.1</v>
      </c>
      <c r="AP11" s="50">
        <f>V11*0.053</f>
        <v>73.099999999999994</v>
      </c>
      <c r="AQ11" s="50">
        <f t="shared" si="7"/>
        <v>374.1</v>
      </c>
      <c r="AS11" s="66"/>
    </row>
    <row r="12" spans="1:45" x14ac:dyDescent="0.2">
      <c r="A12" s="278">
        <v>4</v>
      </c>
      <c r="B12" s="44" t="s">
        <v>125</v>
      </c>
      <c r="C12" s="278">
        <v>1</v>
      </c>
      <c r="D12" s="177">
        <v>17.917000000000002</v>
      </c>
      <c r="E12" s="214">
        <f>C12*D12</f>
        <v>17.920000000000002</v>
      </c>
      <c r="F12" s="215">
        <f>E12*12</f>
        <v>215</v>
      </c>
      <c r="G12" s="154"/>
      <c r="H12" s="154"/>
      <c r="I12" s="154"/>
      <c r="J12" s="154"/>
      <c r="K12" s="154"/>
      <c r="L12" s="154">
        <f t="shared" si="4"/>
        <v>72.8</v>
      </c>
      <c r="M12" s="154">
        <f>F12+G12+H12+I12+J12+K12+L12</f>
        <v>287.8</v>
      </c>
      <c r="N12" s="171">
        <v>0.47</v>
      </c>
      <c r="O12" s="154">
        <f>M12*N12</f>
        <v>135.30000000000001</v>
      </c>
      <c r="P12" s="154">
        <f>M12+O12</f>
        <v>423.1</v>
      </c>
      <c r="Q12" s="154">
        <f>P12*0.8</f>
        <v>338.5</v>
      </c>
      <c r="R12" s="154">
        <f>P12*0.8</f>
        <v>338.5</v>
      </c>
      <c r="S12" s="154">
        <f>(P12+Q12+R12)*0.032</f>
        <v>35.200000000000003</v>
      </c>
      <c r="T12" s="154">
        <f>P12+Q12+R12+S12</f>
        <v>1135.3</v>
      </c>
      <c r="U12" s="1425"/>
      <c r="V12" s="154">
        <f t="shared" si="5"/>
        <v>1135.3</v>
      </c>
      <c r="W12" s="154">
        <f>AQ12</f>
        <v>336.8</v>
      </c>
      <c r="X12" s="278">
        <v>1</v>
      </c>
      <c r="Y12" s="24">
        <v>30</v>
      </c>
      <c r="Z12" s="48">
        <f>X12*Y12</f>
        <v>30</v>
      </c>
      <c r="AA12" s="278">
        <v>2</v>
      </c>
      <c r="AB12" s="24">
        <v>15</v>
      </c>
      <c r="AC12" s="48">
        <f>AA12*AB12</f>
        <v>30</v>
      </c>
      <c r="AD12" s="278">
        <v>1</v>
      </c>
      <c r="AE12" s="24">
        <v>30</v>
      </c>
      <c r="AF12" s="48">
        <f>AD12*AE12</f>
        <v>30</v>
      </c>
      <c r="AG12" s="278">
        <f t="shared" si="0"/>
        <v>27</v>
      </c>
      <c r="AH12" s="48">
        <f t="shared" si="1"/>
        <v>117</v>
      </c>
      <c r="AI12" s="34">
        <f t="shared" si="2"/>
        <v>94608.3</v>
      </c>
      <c r="AJ12" s="34"/>
      <c r="AK12" s="216">
        <f t="shared" si="3"/>
        <v>1135.3</v>
      </c>
      <c r="AL12" s="216">
        <f t="shared" si="6"/>
        <v>324.10000000000002</v>
      </c>
      <c r="AM12" s="217">
        <f>AL12/AK12</f>
        <v>0.28499999999999998</v>
      </c>
      <c r="AN12" s="50">
        <f>1150*0.22*C12+(V12-1150*C12)*0.1</f>
        <v>251.5</v>
      </c>
      <c r="AO12" s="50">
        <f>865*0.029</f>
        <v>25.1</v>
      </c>
      <c r="AP12" s="50">
        <f>AK12*0.053</f>
        <v>60.2</v>
      </c>
      <c r="AQ12" s="50">
        <f>SUM(AN12:AP12)*C12</f>
        <v>336.8</v>
      </c>
      <c r="AS12" s="66"/>
    </row>
    <row r="13" spans="1:45" ht="14.25" customHeight="1" x14ac:dyDescent="0.2">
      <c r="A13" s="278">
        <v>5</v>
      </c>
      <c r="B13" s="218" t="s">
        <v>16</v>
      </c>
      <c r="C13" s="278">
        <v>7</v>
      </c>
      <c r="D13" s="177">
        <v>11.061999999999999</v>
      </c>
      <c r="E13" s="171">
        <f t="shared" ref="E13:E19" si="8">C13*D13</f>
        <v>77.430000000000007</v>
      </c>
      <c r="F13" s="154">
        <f t="shared" ref="F13:F19" si="9">E13*12</f>
        <v>929.2</v>
      </c>
      <c r="G13" s="154"/>
      <c r="H13" s="154">
        <f>0.539+1.617+0.539+2.696+1.078</f>
        <v>6.5</v>
      </c>
      <c r="I13" s="154"/>
      <c r="J13" s="154"/>
      <c r="K13" s="154">
        <f>D13*0.2*12+D13*0.25*4*12+D13*0.4*2</f>
        <v>168.1</v>
      </c>
      <c r="L13" s="154">
        <f t="shared" si="4"/>
        <v>314.39999999999998</v>
      </c>
      <c r="M13" s="154">
        <f t="shared" ref="M13:M19" si="10">F13+G13+H13+I13+J13+K13+L13</f>
        <v>1418.2</v>
      </c>
      <c r="N13" s="171">
        <v>0.43</v>
      </c>
      <c r="O13" s="154">
        <f t="shared" ref="O13:O19" si="11">M13*N13</f>
        <v>609.79999999999995</v>
      </c>
      <c r="P13" s="154">
        <f t="shared" ref="P13:P19" si="12">M13+O13</f>
        <v>2028</v>
      </c>
      <c r="Q13" s="154">
        <f t="shared" ref="Q13:Q19" si="13">P13*0.8</f>
        <v>1622.4</v>
      </c>
      <c r="R13" s="154">
        <f t="shared" ref="R13:R19" si="14">P13*0.8</f>
        <v>1622.4</v>
      </c>
      <c r="S13" s="154">
        <f t="shared" ref="S13:S19" si="15">(P13+Q13+R13)*0.032</f>
        <v>168.7</v>
      </c>
      <c r="T13" s="154">
        <f t="shared" ref="T13:T19" si="16">P13+Q13+R13+S13</f>
        <v>5441.5</v>
      </c>
      <c r="U13" s="1425"/>
      <c r="V13" s="154">
        <f t="shared" si="5"/>
        <v>5441.5</v>
      </c>
      <c r="W13" s="154">
        <f>V13*0.302</f>
        <v>1643.3</v>
      </c>
      <c r="X13" s="54">
        <v>4</v>
      </c>
      <c r="Y13" s="24">
        <v>30</v>
      </c>
      <c r="Z13" s="48">
        <f t="shared" ref="Z13:Z19" si="17">X13*Y13</f>
        <v>120</v>
      </c>
      <c r="AA13" s="54">
        <v>1</v>
      </c>
      <c r="AB13" s="24">
        <v>15</v>
      </c>
      <c r="AC13" s="48">
        <f t="shared" ref="AC13:AC19" si="18">AA13*AB13</f>
        <v>15</v>
      </c>
      <c r="AD13" s="54"/>
      <c r="AE13" s="24">
        <v>30</v>
      </c>
      <c r="AF13" s="48">
        <f t="shared" ref="AF13:AF19" si="19">AD13*AE13</f>
        <v>0</v>
      </c>
      <c r="AG13" s="278">
        <f t="shared" si="0"/>
        <v>40.5</v>
      </c>
      <c r="AH13" s="48">
        <f t="shared" si="1"/>
        <v>175.5</v>
      </c>
      <c r="AI13" s="34">
        <f t="shared" si="2"/>
        <v>64779.8</v>
      </c>
      <c r="AJ13" s="34"/>
      <c r="AK13" s="216">
        <f t="shared" si="3"/>
        <v>777.4</v>
      </c>
      <c r="AL13" s="216">
        <f t="shared" si="6"/>
        <v>259</v>
      </c>
      <c r="AM13" s="217">
        <v>0.30199999999999999</v>
      </c>
      <c r="AN13" s="50"/>
      <c r="AQ13" s="50">
        <f t="shared" si="7"/>
        <v>0</v>
      </c>
      <c r="AS13" s="66"/>
    </row>
    <row r="14" spans="1:45" x14ac:dyDescent="0.2">
      <c r="A14" s="278">
        <v>6</v>
      </c>
      <c r="B14" s="218" t="s">
        <v>16</v>
      </c>
      <c r="C14" s="278">
        <v>1</v>
      </c>
      <c r="D14" s="177">
        <v>11.061999999999999</v>
      </c>
      <c r="E14" s="171">
        <f>C14*D14</f>
        <v>11.06</v>
      </c>
      <c r="F14" s="154">
        <f t="shared" si="9"/>
        <v>132.69999999999999</v>
      </c>
      <c r="G14" s="154"/>
      <c r="H14" s="34">
        <f>5.4+1.617</f>
        <v>7</v>
      </c>
      <c r="I14" s="154"/>
      <c r="J14" s="154"/>
      <c r="K14" s="154">
        <f>F14*0.4</f>
        <v>53.1</v>
      </c>
      <c r="L14" s="154">
        <f t="shared" si="4"/>
        <v>44.9</v>
      </c>
      <c r="M14" s="154">
        <f t="shared" si="10"/>
        <v>237.7</v>
      </c>
      <c r="N14" s="171">
        <v>0.43</v>
      </c>
      <c r="O14" s="154">
        <f t="shared" si="11"/>
        <v>102.2</v>
      </c>
      <c r="P14" s="154">
        <f t="shared" si="12"/>
        <v>339.9</v>
      </c>
      <c r="Q14" s="154">
        <f t="shared" si="13"/>
        <v>271.89999999999998</v>
      </c>
      <c r="R14" s="154">
        <f t="shared" si="14"/>
        <v>271.89999999999998</v>
      </c>
      <c r="S14" s="154">
        <f t="shared" si="15"/>
        <v>28.3</v>
      </c>
      <c r="T14" s="154">
        <f t="shared" si="16"/>
        <v>912</v>
      </c>
      <c r="U14" s="1425"/>
      <c r="V14" s="154">
        <f t="shared" si="5"/>
        <v>912</v>
      </c>
      <c r="W14" s="154">
        <f>AQ14</f>
        <v>274</v>
      </c>
      <c r="X14" s="54">
        <v>1</v>
      </c>
      <c r="Y14" s="24">
        <v>30</v>
      </c>
      <c r="Z14" s="48">
        <f t="shared" si="17"/>
        <v>30</v>
      </c>
      <c r="AA14" s="54"/>
      <c r="AB14" s="24">
        <v>15</v>
      </c>
      <c r="AC14" s="48">
        <f t="shared" si="18"/>
        <v>0</v>
      </c>
      <c r="AD14" s="54"/>
      <c r="AE14" s="24">
        <v>30</v>
      </c>
      <c r="AF14" s="48">
        <f>AD14*AE14</f>
        <v>0</v>
      </c>
      <c r="AG14" s="278">
        <f t="shared" si="0"/>
        <v>9</v>
      </c>
      <c r="AH14" s="48">
        <f t="shared" si="1"/>
        <v>39</v>
      </c>
      <c r="AI14" s="34">
        <f t="shared" si="2"/>
        <v>76000</v>
      </c>
      <c r="AJ14" s="34"/>
      <c r="AK14" s="216">
        <f t="shared" si="3"/>
        <v>912</v>
      </c>
      <c r="AL14" s="216">
        <f t="shared" si="6"/>
        <v>283.5</v>
      </c>
      <c r="AM14" s="217">
        <f>AL14/AK14</f>
        <v>0.311</v>
      </c>
      <c r="AN14" s="50">
        <f>AK14*0.22</f>
        <v>200.6</v>
      </c>
      <c r="AO14" s="50">
        <f>865*0.029</f>
        <v>25.1</v>
      </c>
      <c r="AP14" s="50">
        <f>AK14*0.053</f>
        <v>48.3</v>
      </c>
      <c r="AQ14" s="50">
        <f>SUM(AN14:AP14)*C14</f>
        <v>274</v>
      </c>
      <c r="AS14" s="66"/>
    </row>
    <row r="15" spans="1:45" ht="25.5" x14ac:dyDescent="0.2">
      <c r="A15" s="278">
        <v>8</v>
      </c>
      <c r="B15" s="218" t="s">
        <v>45</v>
      </c>
      <c r="C15" s="278">
        <v>1</v>
      </c>
      <c r="D15" s="177">
        <v>11.061999999999999</v>
      </c>
      <c r="E15" s="171">
        <f t="shared" si="8"/>
        <v>11.06</v>
      </c>
      <c r="F15" s="154">
        <f t="shared" si="9"/>
        <v>132.69999999999999</v>
      </c>
      <c r="G15" s="154"/>
      <c r="H15" s="154">
        <v>2.4</v>
      </c>
      <c r="I15" s="154"/>
      <c r="J15" s="154"/>
      <c r="K15" s="154">
        <f>F15*0.4</f>
        <v>53.1</v>
      </c>
      <c r="L15" s="154">
        <f t="shared" si="4"/>
        <v>44.9</v>
      </c>
      <c r="M15" s="154">
        <f t="shared" si="10"/>
        <v>233.1</v>
      </c>
      <c r="N15" s="171">
        <v>0.43</v>
      </c>
      <c r="O15" s="154">
        <f t="shared" si="11"/>
        <v>100.2</v>
      </c>
      <c r="P15" s="154">
        <f t="shared" si="12"/>
        <v>333.3</v>
      </c>
      <c r="Q15" s="154">
        <f t="shared" si="13"/>
        <v>266.60000000000002</v>
      </c>
      <c r="R15" s="154">
        <f t="shared" si="14"/>
        <v>266.60000000000002</v>
      </c>
      <c r="S15" s="154">
        <f t="shared" si="15"/>
        <v>27.7</v>
      </c>
      <c r="T15" s="154">
        <f t="shared" si="16"/>
        <v>894.2</v>
      </c>
      <c r="U15" s="1425"/>
      <c r="V15" s="154">
        <f t="shared" si="5"/>
        <v>894.2</v>
      </c>
      <c r="W15" s="154">
        <f>AQ15</f>
        <v>269.2</v>
      </c>
      <c r="X15" s="54"/>
      <c r="Y15" s="24">
        <v>30</v>
      </c>
      <c r="Z15" s="48">
        <f t="shared" si="17"/>
        <v>0</v>
      </c>
      <c r="AA15" s="54"/>
      <c r="AB15" s="24">
        <v>15</v>
      </c>
      <c r="AC15" s="48">
        <f t="shared" si="18"/>
        <v>0</v>
      </c>
      <c r="AD15" s="54"/>
      <c r="AE15" s="24">
        <v>30</v>
      </c>
      <c r="AF15" s="48">
        <f t="shared" si="19"/>
        <v>0</v>
      </c>
      <c r="AG15" s="278">
        <f t="shared" si="0"/>
        <v>0</v>
      </c>
      <c r="AH15" s="48">
        <f t="shared" si="1"/>
        <v>0</v>
      </c>
      <c r="AI15" s="34">
        <f t="shared" si="2"/>
        <v>74516.7</v>
      </c>
      <c r="AJ15" s="34"/>
      <c r="AK15" s="216">
        <f t="shared" si="3"/>
        <v>894.2</v>
      </c>
      <c r="AL15" s="216">
        <f t="shared" si="6"/>
        <v>280.2</v>
      </c>
      <c r="AM15" s="217">
        <v>0.30199999999999999</v>
      </c>
      <c r="AN15" s="50">
        <f>AK15*0.22</f>
        <v>196.7</v>
      </c>
      <c r="AO15" s="50">
        <f>865*0.029</f>
        <v>25.1</v>
      </c>
      <c r="AP15" s="50">
        <f>AK15*0.053</f>
        <v>47.4</v>
      </c>
      <c r="AQ15" s="50">
        <f t="shared" si="7"/>
        <v>269.2</v>
      </c>
      <c r="AS15" s="66"/>
    </row>
    <row r="16" spans="1:45" ht="25.5" x14ac:dyDescent="0.2">
      <c r="A16" s="278">
        <v>9</v>
      </c>
      <c r="B16" s="218" t="s">
        <v>46</v>
      </c>
      <c r="C16" s="278">
        <v>1</v>
      </c>
      <c r="D16" s="177">
        <v>11.061999999999999</v>
      </c>
      <c r="E16" s="171">
        <f t="shared" si="8"/>
        <v>11.06</v>
      </c>
      <c r="F16" s="154">
        <f t="shared" si="9"/>
        <v>132.69999999999999</v>
      </c>
      <c r="G16" s="154"/>
      <c r="H16" s="154">
        <v>2.4</v>
      </c>
      <c r="I16" s="154"/>
      <c r="J16" s="154"/>
      <c r="K16" s="154">
        <f>F16*0.4</f>
        <v>53.1</v>
      </c>
      <c r="L16" s="154">
        <f t="shared" si="4"/>
        <v>44.9</v>
      </c>
      <c r="M16" s="154">
        <f t="shared" si="10"/>
        <v>233.1</v>
      </c>
      <c r="N16" s="171">
        <v>0.43</v>
      </c>
      <c r="O16" s="154">
        <f t="shared" si="11"/>
        <v>100.2</v>
      </c>
      <c r="P16" s="154">
        <f t="shared" si="12"/>
        <v>333.3</v>
      </c>
      <c r="Q16" s="154">
        <f t="shared" si="13"/>
        <v>266.60000000000002</v>
      </c>
      <c r="R16" s="154">
        <f t="shared" si="14"/>
        <v>266.60000000000002</v>
      </c>
      <c r="S16" s="154">
        <f t="shared" si="15"/>
        <v>27.7</v>
      </c>
      <c r="T16" s="154">
        <f t="shared" si="16"/>
        <v>894.2</v>
      </c>
      <c r="U16" s="1425"/>
      <c r="V16" s="154">
        <f t="shared" si="5"/>
        <v>894.2</v>
      </c>
      <c r="W16" s="154">
        <f>AQ16</f>
        <v>269.2</v>
      </c>
      <c r="X16" s="54">
        <v>1</v>
      </c>
      <c r="Y16" s="24">
        <v>30</v>
      </c>
      <c r="Z16" s="48">
        <f t="shared" si="17"/>
        <v>30</v>
      </c>
      <c r="AA16" s="54">
        <v>1</v>
      </c>
      <c r="AB16" s="24">
        <v>15</v>
      </c>
      <c r="AC16" s="48">
        <f t="shared" si="18"/>
        <v>15</v>
      </c>
      <c r="AD16" s="54">
        <v>1</v>
      </c>
      <c r="AE16" s="24">
        <v>30</v>
      </c>
      <c r="AF16" s="48">
        <f t="shared" si="19"/>
        <v>30</v>
      </c>
      <c r="AG16" s="278">
        <f t="shared" si="0"/>
        <v>22.5</v>
      </c>
      <c r="AH16" s="48">
        <f t="shared" si="1"/>
        <v>97.5</v>
      </c>
      <c r="AI16" s="34">
        <f t="shared" si="2"/>
        <v>74516.7</v>
      </c>
      <c r="AJ16" s="34"/>
      <c r="AK16" s="216">
        <f t="shared" si="3"/>
        <v>894.2</v>
      </c>
      <c r="AL16" s="216">
        <f t="shared" si="6"/>
        <v>280.2</v>
      </c>
      <c r="AM16" s="217">
        <f>AL16/AK16</f>
        <v>0.313</v>
      </c>
      <c r="AN16" s="50">
        <f>AK16*0.22</f>
        <v>196.7</v>
      </c>
      <c r="AO16" s="50">
        <f>865*0.029</f>
        <v>25.1</v>
      </c>
      <c r="AP16" s="50">
        <f>AK16*0.053</f>
        <v>47.4</v>
      </c>
      <c r="AQ16" s="50">
        <f t="shared" si="7"/>
        <v>269.2</v>
      </c>
      <c r="AS16" s="66"/>
    </row>
    <row r="17" spans="1:45" ht="25.5" x14ac:dyDescent="0.2">
      <c r="A17" s="278">
        <v>10</v>
      </c>
      <c r="B17" s="218" t="s">
        <v>100</v>
      </c>
      <c r="C17" s="278">
        <v>1</v>
      </c>
      <c r="D17" s="177">
        <v>11.061999999999999</v>
      </c>
      <c r="E17" s="171">
        <f>C17*D17</f>
        <v>11.06</v>
      </c>
      <c r="F17" s="154">
        <f>E17*12</f>
        <v>132.69999999999999</v>
      </c>
      <c r="G17" s="154"/>
      <c r="H17" s="154">
        <v>5.4</v>
      </c>
      <c r="I17" s="154"/>
      <c r="J17" s="154"/>
      <c r="K17" s="154"/>
      <c r="L17" s="154">
        <f t="shared" si="4"/>
        <v>44.9</v>
      </c>
      <c r="M17" s="154">
        <f>F17+G17+H17+I17+J17+K17+L17</f>
        <v>183</v>
      </c>
      <c r="N17" s="171">
        <v>0.43</v>
      </c>
      <c r="O17" s="154">
        <f>M17*N17</f>
        <v>78.7</v>
      </c>
      <c r="P17" s="154">
        <f>M17+O17</f>
        <v>261.7</v>
      </c>
      <c r="Q17" s="154">
        <f>P17*0.8</f>
        <v>209.4</v>
      </c>
      <c r="R17" s="154">
        <f>P17*0.8</f>
        <v>209.4</v>
      </c>
      <c r="S17" s="154">
        <f>(P17+Q17+R17)*0.032</f>
        <v>21.8</v>
      </c>
      <c r="T17" s="154">
        <f>P17+Q17+R17+S17</f>
        <v>702.3</v>
      </c>
      <c r="U17" s="1425"/>
      <c r="V17" s="154">
        <f t="shared" si="5"/>
        <v>702.3</v>
      </c>
      <c r="W17" s="154">
        <f>V17*0.302</f>
        <v>212.1</v>
      </c>
      <c r="X17" s="54">
        <v>1</v>
      </c>
      <c r="Y17" s="24">
        <v>30</v>
      </c>
      <c r="Z17" s="48">
        <f>X17*Y17</f>
        <v>30</v>
      </c>
      <c r="AA17" s="54"/>
      <c r="AB17" s="24">
        <v>15</v>
      </c>
      <c r="AC17" s="48">
        <f>AA17*AB17</f>
        <v>0</v>
      </c>
      <c r="AD17" s="54"/>
      <c r="AE17" s="24">
        <v>30</v>
      </c>
      <c r="AF17" s="48">
        <f>AD17*AE17</f>
        <v>0</v>
      </c>
      <c r="AG17" s="278">
        <f t="shared" si="0"/>
        <v>9</v>
      </c>
      <c r="AH17" s="48">
        <f t="shared" si="1"/>
        <v>39</v>
      </c>
      <c r="AI17" s="34">
        <f t="shared" si="2"/>
        <v>58525</v>
      </c>
      <c r="AJ17" s="34"/>
      <c r="AK17" s="216">
        <f t="shared" si="3"/>
        <v>702.3</v>
      </c>
      <c r="AL17" s="216">
        <f t="shared" si="6"/>
        <v>245.3</v>
      </c>
      <c r="AM17" s="217">
        <f>AL17/AK17</f>
        <v>0.34899999999999998</v>
      </c>
      <c r="AN17" s="50"/>
      <c r="AO17" s="50"/>
      <c r="AP17" s="50"/>
      <c r="AQ17" s="50">
        <f t="shared" si="7"/>
        <v>0</v>
      </c>
      <c r="AS17" s="66"/>
    </row>
    <row r="18" spans="1:45" x14ac:dyDescent="0.2">
      <c r="A18" s="278">
        <v>11</v>
      </c>
      <c r="B18" s="218" t="s">
        <v>105</v>
      </c>
      <c r="C18" s="278">
        <v>2</v>
      </c>
      <c r="D18" s="177">
        <v>8.4730000000000008</v>
      </c>
      <c r="E18" s="171">
        <f t="shared" si="8"/>
        <v>16.95</v>
      </c>
      <c r="F18" s="154">
        <f t="shared" si="9"/>
        <v>203.4</v>
      </c>
      <c r="G18" s="154"/>
      <c r="H18" s="154">
        <v>2.1</v>
      </c>
      <c r="I18" s="154"/>
      <c r="J18" s="154"/>
      <c r="K18" s="154">
        <f>D18*0.35*12+D18*0.3*12+D18*9.5*0.05</f>
        <v>70.099999999999994</v>
      </c>
      <c r="L18" s="154">
        <f t="shared" si="4"/>
        <v>68.8</v>
      </c>
      <c r="M18" s="154">
        <f t="shared" si="10"/>
        <v>344.4</v>
      </c>
      <c r="N18" s="171">
        <v>0.41</v>
      </c>
      <c r="O18" s="154">
        <f t="shared" si="11"/>
        <v>141.19999999999999</v>
      </c>
      <c r="P18" s="154">
        <f t="shared" si="12"/>
        <v>485.6</v>
      </c>
      <c r="Q18" s="154">
        <f t="shared" si="13"/>
        <v>388.5</v>
      </c>
      <c r="R18" s="154">
        <f t="shared" si="14"/>
        <v>388.5</v>
      </c>
      <c r="S18" s="154">
        <f t="shared" si="15"/>
        <v>40.4</v>
      </c>
      <c r="T18" s="154">
        <f t="shared" si="16"/>
        <v>1303</v>
      </c>
      <c r="U18" s="1425"/>
      <c r="V18" s="154">
        <f t="shared" si="5"/>
        <v>1303</v>
      </c>
      <c r="W18" s="154">
        <f>V18*0.302</f>
        <v>393.5</v>
      </c>
      <c r="X18" s="54"/>
      <c r="Y18" s="24">
        <v>30</v>
      </c>
      <c r="Z18" s="48">
        <f t="shared" si="17"/>
        <v>0</v>
      </c>
      <c r="AA18" s="54"/>
      <c r="AB18" s="24">
        <v>15</v>
      </c>
      <c r="AC18" s="48">
        <f t="shared" si="18"/>
        <v>0</v>
      </c>
      <c r="AD18" s="54"/>
      <c r="AE18" s="24">
        <v>30</v>
      </c>
      <c r="AF18" s="48">
        <f t="shared" si="19"/>
        <v>0</v>
      </c>
      <c r="AG18" s="278">
        <f t="shared" si="0"/>
        <v>0</v>
      </c>
      <c r="AH18" s="48">
        <f t="shared" si="1"/>
        <v>0</v>
      </c>
      <c r="AI18" s="34">
        <f t="shared" si="2"/>
        <v>54291.7</v>
      </c>
      <c r="AJ18" s="34"/>
      <c r="AK18" s="216">
        <f t="shared" si="3"/>
        <v>651.5</v>
      </c>
      <c r="AL18" s="216">
        <f t="shared" si="6"/>
        <v>236.1</v>
      </c>
      <c r="AM18" s="217">
        <v>0.30199999999999999</v>
      </c>
      <c r="AQ18" s="50">
        <f t="shared" si="7"/>
        <v>0</v>
      </c>
      <c r="AS18" s="66"/>
    </row>
    <row r="19" spans="1:45" x14ac:dyDescent="0.2">
      <c r="A19" s="278">
        <v>12</v>
      </c>
      <c r="B19" s="218" t="s">
        <v>47</v>
      </c>
      <c r="C19" s="219">
        <v>1</v>
      </c>
      <c r="D19" s="177">
        <v>6.2859999999999996</v>
      </c>
      <c r="E19" s="171">
        <f t="shared" si="8"/>
        <v>6.29</v>
      </c>
      <c r="F19" s="154">
        <f t="shared" si="9"/>
        <v>75.5</v>
      </c>
      <c r="G19" s="154"/>
      <c r="H19" s="154">
        <v>2.8</v>
      </c>
      <c r="I19" s="154"/>
      <c r="J19" s="154"/>
      <c r="K19" s="154">
        <f>F19*0.2+D19*0.05*9.5</f>
        <v>18.100000000000001</v>
      </c>
      <c r="L19" s="154">
        <f t="shared" si="4"/>
        <v>25.5</v>
      </c>
      <c r="M19" s="154">
        <f t="shared" si="10"/>
        <v>121.9</v>
      </c>
      <c r="N19" s="171">
        <v>0.45</v>
      </c>
      <c r="O19" s="154">
        <f t="shared" si="11"/>
        <v>54.9</v>
      </c>
      <c r="P19" s="154">
        <f t="shared" si="12"/>
        <v>176.8</v>
      </c>
      <c r="Q19" s="154">
        <f t="shared" si="13"/>
        <v>141.4</v>
      </c>
      <c r="R19" s="154">
        <f t="shared" si="14"/>
        <v>141.4</v>
      </c>
      <c r="S19" s="154">
        <f t="shared" si="15"/>
        <v>14.7</v>
      </c>
      <c r="T19" s="154">
        <f t="shared" si="16"/>
        <v>474.3</v>
      </c>
      <c r="U19" s="1425"/>
      <c r="V19" s="154">
        <f t="shared" si="5"/>
        <v>474.3</v>
      </c>
      <c r="W19" s="154">
        <f>V19*0.302</f>
        <v>143.19999999999999</v>
      </c>
      <c r="X19" s="54">
        <v>1</v>
      </c>
      <c r="Y19" s="24">
        <v>30</v>
      </c>
      <c r="Z19" s="48">
        <f t="shared" si="17"/>
        <v>30</v>
      </c>
      <c r="AA19" s="54"/>
      <c r="AB19" s="24">
        <v>15</v>
      </c>
      <c r="AC19" s="48">
        <f t="shared" si="18"/>
        <v>0</v>
      </c>
      <c r="AD19" s="54">
        <v>1</v>
      </c>
      <c r="AE19" s="24">
        <v>30</v>
      </c>
      <c r="AF19" s="48">
        <f t="shared" si="19"/>
        <v>30</v>
      </c>
      <c r="AG19" s="278">
        <f t="shared" si="0"/>
        <v>18</v>
      </c>
      <c r="AH19" s="48">
        <f t="shared" si="1"/>
        <v>78</v>
      </c>
      <c r="AI19" s="34">
        <f t="shared" si="2"/>
        <v>39525</v>
      </c>
      <c r="AJ19" s="34"/>
      <c r="AK19" s="216">
        <f t="shared" si="3"/>
        <v>474.3</v>
      </c>
      <c r="AL19" s="216">
        <f t="shared" si="6"/>
        <v>203.8</v>
      </c>
      <c r="AM19" s="217">
        <v>0.30199999999999999</v>
      </c>
      <c r="AQ19" s="50">
        <f t="shared" si="7"/>
        <v>0</v>
      </c>
      <c r="AS19" s="66"/>
    </row>
    <row r="20" spans="1:45" s="33" customFormat="1" x14ac:dyDescent="0.2">
      <c r="A20" s="278">
        <v>13</v>
      </c>
      <c r="B20" s="218" t="s">
        <v>48</v>
      </c>
      <c r="C20" s="278">
        <v>1</v>
      </c>
      <c r="D20" s="177">
        <v>11.061999999999999</v>
      </c>
      <c r="E20" s="171">
        <f>C20*D20</f>
        <v>11.06</v>
      </c>
      <c r="F20" s="154">
        <f>E20*12</f>
        <v>132.69999999999999</v>
      </c>
      <c r="G20" s="154"/>
      <c r="H20" s="154">
        <v>1.8</v>
      </c>
      <c r="I20" s="154"/>
      <c r="J20" s="154"/>
      <c r="K20" s="154">
        <f>F20*0.35</f>
        <v>46.4</v>
      </c>
      <c r="L20" s="154">
        <f t="shared" si="4"/>
        <v>44.9</v>
      </c>
      <c r="M20" s="154">
        <f>F20+G20+H20+I20+J20+K20+L20</f>
        <v>225.8</v>
      </c>
      <c r="N20" s="171">
        <v>0.47</v>
      </c>
      <c r="O20" s="154">
        <f>M20*N20</f>
        <v>106.1</v>
      </c>
      <c r="P20" s="154">
        <f>M20+O20</f>
        <v>331.9</v>
      </c>
      <c r="Q20" s="154">
        <f>P20*0.8</f>
        <v>265.5</v>
      </c>
      <c r="R20" s="154">
        <f>P20*0.8</f>
        <v>265.5</v>
      </c>
      <c r="S20" s="154">
        <f>(P20+Q20+R20)*0.032</f>
        <v>27.6</v>
      </c>
      <c r="T20" s="154">
        <f>P20+Q20+R20+S20</f>
        <v>890.5</v>
      </c>
      <c r="U20" s="1425"/>
      <c r="V20" s="154">
        <f t="shared" si="5"/>
        <v>890.5</v>
      </c>
      <c r="W20" s="154">
        <f>AQ20</f>
        <v>268.2</v>
      </c>
      <c r="X20" s="54">
        <v>1</v>
      </c>
      <c r="Y20" s="24">
        <v>30</v>
      </c>
      <c r="Z20" s="48">
        <f>X20*Y20</f>
        <v>30</v>
      </c>
      <c r="AA20" s="54"/>
      <c r="AB20" s="24">
        <v>15</v>
      </c>
      <c r="AC20" s="48">
        <f>AA20*AB20</f>
        <v>0</v>
      </c>
      <c r="AD20" s="54"/>
      <c r="AE20" s="24">
        <v>30</v>
      </c>
      <c r="AF20" s="48">
        <f>AD20*AE20</f>
        <v>0</v>
      </c>
      <c r="AG20" s="278">
        <f t="shared" si="0"/>
        <v>9</v>
      </c>
      <c r="AH20" s="48">
        <f t="shared" si="1"/>
        <v>39</v>
      </c>
      <c r="AI20" s="34">
        <f t="shared" si="2"/>
        <v>74208.3</v>
      </c>
      <c r="AJ20" s="220"/>
      <c r="AK20" s="216">
        <f t="shared" si="3"/>
        <v>890.5</v>
      </c>
      <c r="AL20" s="216">
        <f t="shared" si="6"/>
        <v>279.60000000000002</v>
      </c>
      <c r="AM20" s="217">
        <f>AL20/AK20</f>
        <v>0.314</v>
      </c>
      <c r="AN20" s="50">
        <f>AK20*0.22</f>
        <v>195.9</v>
      </c>
      <c r="AO20" s="50">
        <f>865*0.029</f>
        <v>25.1</v>
      </c>
      <c r="AP20" s="50">
        <f>AK20*0.053</f>
        <v>47.2</v>
      </c>
      <c r="AQ20" s="50">
        <f t="shared" si="7"/>
        <v>268.2</v>
      </c>
      <c r="AS20" s="66"/>
    </row>
    <row r="21" spans="1:45" s="33" customFormat="1" ht="25.5" x14ac:dyDescent="0.2">
      <c r="A21" s="278">
        <v>14</v>
      </c>
      <c r="B21" s="218" t="s">
        <v>31</v>
      </c>
      <c r="C21" s="278">
        <v>5</v>
      </c>
      <c r="D21" s="177">
        <v>11.061999999999999</v>
      </c>
      <c r="E21" s="171">
        <f>C21*D21</f>
        <v>55.31</v>
      </c>
      <c r="F21" s="154">
        <f>E21*12</f>
        <v>663.7</v>
      </c>
      <c r="G21" s="154"/>
      <c r="H21" s="154">
        <f>40.443+1.617+1.078</f>
        <v>43.1</v>
      </c>
      <c r="I21" s="154"/>
      <c r="J21" s="154"/>
      <c r="K21" s="154">
        <f>D21*0.4*4*12+D21*0.35*12+D21*0.05*3</f>
        <v>260.5</v>
      </c>
      <c r="L21" s="154">
        <f t="shared" si="4"/>
        <v>224.6</v>
      </c>
      <c r="M21" s="154">
        <f>F21+G21+H21+I21+J21+K21+L21</f>
        <v>1191.9000000000001</v>
      </c>
      <c r="N21" s="171">
        <v>0.47</v>
      </c>
      <c r="O21" s="154">
        <f>M21*N21</f>
        <v>560.20000000000005</v>
      </c>
      <c r="P21" s="154">
        <f>M21+O21</f>
        <v>1752.1</v>
      </c>
      <c r="Q21" s="154">
        <f>P21*0.8</f>
        <v>1401.7</v>
      </c>
      <c r="R21" s="154">
        <f>P21*0.8</f>
        <v>1401.7</v>
      </c>
      <c r="S21" s="154">
        <f>(P21+Q21+R21)*0.032</f>
        <v>145.80000000000001</v>
      </c>
      <c r="T21" s="154">
        <f>P21+Q21+R21+S21</f>
        <v>4701.3</v>
      </c>
      <c r="U21" s="1425"/>
      <c r="V21" s="154">
        <f t="shared" si="5"/>
        <v>4701.3</v>
      </c>
      <c r="W21" s="154">
        <f>AQ21*C21</f>
        <v>1409</v>
      </c>
      <c r="X21" s="54">
        <v>4</v>
      </c>
      <c r="Y21" s="24">
        <v>30</v>
      </c>
      <c r="Z21" s="48">
        <f>X21*Y21</f>
        <v>120</v>
      </c>
      <c r="AA21" s="54">
        <v>2</v>
      </c>
      <c r="AB21" s="24">
        <v>15</v>
      </c>
      <c r="AC21" s="48">
        <f>AA21*AB21</f>
        <v>30</v>
      </c>
      <c r="AD21" s="54">
        <v>1</v>
      </c>
      <c r="AE21" s="24">
        <v>30</v>
      </c>
      <c r="AF21" s="48">
        <f>AD21*AE21</f>
        <v>30</v>
      </c>
      <c r="AG21" s="278">
        <f t="shared" si="0"/>
        <v>54</v>
      </c>
      <c r="AH21" s="48">
        <f t="shared" si="1"/>
        <v>234</v>
      </c>
      <c r="AI21" s="34">
        <f t="shared" si="2"/>
        <v>78355</v>
      </c>
      <c r="AJ21" s="220"/>
      <c r="AK21" s="216">
        <f t="shared" si="3"/>
        <v>940.3</v>
      </c>
      <c r="AL21" s="216">
        <f t="shared" si="6"/>
        <v>288.60000000000002</v>
      </c>
      <c r="AM21" s="217">
        <v>0.30199999999999999</v>
      </c>
      <c r="AN21" s="211">
        <f>AK21*0.22</f>
        <v>206.86600000000001</v>
      </c>
      <c r="AO21" s="50">
        <f>865*0.029</f>
        <v>25.1</v>
      </c>
      <c r="AP21" s="50">
        <f>AK21*0.053</f>
        <v>49.8</v>
      </c>
      <c r="AQ21" s="50">
        <f>SUM(AN21:AP21)</f>
        <v>281.8</v>
      </c>
      <c r="AS21" s="66"/>
    </row>
    <row r="22" spans="1:45" s="33" customFormat="1" ht="25.5" x14ac:dyDescent="0.2">
      <c r="A22" s="278">
        <v>15</v>
      </c>
      <c r="B22" s="218" t="s">
        <v>110</v>
      </c>
      <c r="C22" s="278">
        <v>1</v>
      </c>
      <c r="D22" s="177">
        <v>6.2859999999999996</v>
      </c>
      <c r="E22" s="171">
        <f>C22*D22</f>
        <v>6.29</v>
      </c>
      <c r="F22" s="154">
        <f>E22*12</f>
        <v>75.5</v>
      </c>
      <c r="G22" s="154"/>
      <c r="H22" s="154"/>
      <c r="I22" s="154"/>
      <c r="J22" s="154"/>
      <c r="K22" s="154">
        <f>F22*0.2</f>
        <v>15.1</v>
      </c>
      <c r="L22" s="154">
        <f t="shared" si="4"/>
        <v>25.5</v>
      </c>
      <c r="M22" s="154">
        <f>F22+G22+H22+I22+J22+K22+L22</f>
        <v>116.1</v>
      </c>
      <c r="N22" s="171">
        <v>0.45</v>
      </c>
      <c r="O22" s="154">
        <f>M22*N22</f>
        <v>52.2</v>
      </c>
      <c r="P22" s="154">
        <f>M22+O22</f>
        <v>168.3</v>
      </c>
      <c r="Q22" s="154">
        <f>P22*0.8</f>
        <v>134.6</v>
      </c>
      <c r="R22" s="154">
        <f>P22*0.8</f>
        <v>134.6</v>
      </c>
      <c r="S22" s="154">
        <f>(P22+Q22+R22)*0.032</f>
        <v>14</v>
      </c>
      <c r="T22" s="154">
        <f>P22+Q22+R22+S22</f>
        <v>451.5</v>
      </c>
      <c r="U22" s="1425"/>
      <c r="V22" s="154">
        <f t="shared" si="5"/>
        <v>451.5</v>
      </c>
      <c r="W22" s="154">
        <f t="shared" ref="W22:W51" si="20">V22*0.302</f>
        <v>136.4</v>
      </c>
      <c r="X22" s="54">
        <v>1</v>
      </c>
      <c r="Y22" s="24">
        <v>30</v>
      </c>
      <c r="Z22" s="48">
        <f>X22*Y22</f>
        <v>30</v>
      </c>
      <c r="AA22" s="54"/>
      <c r="AB22" s="24">
        <v>15</v>
      </c>
      <c r="AC22" s="48">
        <f>AA22*AB22</f>
        <v>0</v>
      </c>
      <c r="AD22" s="54"/>
      <c r="AE22" s="24">
        <v>30</v>
      </c>
      <c r="AF22" s="48">
        <f>AD22*AE22</f>
        <v>0</v>
      </c>
      <c r="AG22" s="278">
        <f t="shared" si="0"/>
        <v>9</v>
      </c>
      <c r="AH22" s="48">
        <f t="shared" si="1"/>
        <v>39</v>
      </c>
      <c r="AI22" s="34">
        <f t="shared" si="2"/>
        <v>37625</v>
      </c>
      <c r="AJ22" s="220"/>
      <c r="AK22" s="216">
        <f t="shared" si="3"/>
        <v>451.5</v>
      </c>
      <c r="AL22" s="216">
        <f t="shared" si="6"/>
        <v>199.7</v>
      </c>
      <c r="AM22" s="217">
        <v>0.30199999999999999</v>
      </c>
      <c r="AN22" s="211"/>
      <c r="AO22" s="211"/>
      <c r="AP22" s="211"/>
      <c r="AQ22" s="50">
        <f t="shared" si="7"/>
        <v>0</v>
      </c>
      <c r="AS22" s="66"/>
    </row>
    <row r="23" spans="1:45" x14ac:dyDescent="0.2">
      <c r="A23" s="278">
        <v>16</v>
      </c>
      <c r="B23" s="218" t="s">
        <v>49</v>
      </c>
      <c r="C23" s="54">
        <v>1</v>
      </c>
      <c r="D23" s="177">
        <v>8.4730000000000008</v>
      </c>
      <c r="E23" s="171">
        <f>C23*D23</f>
        <v>8.4700000000000006</v>
      </c>
      <c r="F23" s="154">
        <f t="shared" ref="F23:F41" si="21">E23*12</f>
        <v>101.6</v>
      </c>
      <c r="G23" s="154"/>
      <c r="H23" s="154">
        <v>3.7</v>
      </c>
      <c r="I23" s="154"/>
      <c r="J23" s="154">
        <f>F23*0.1</f>
        <v>10.199999999999999</v>
      </c>
      <c r="K23" s="154">
        <f>F23*0.3</f>
        <v>30.5</v>
      </c>
      <c r="L23" s="154">
        <f t="shared" si="4"/>
        <v>34.4</v>
      </c>
      <c r="M23" s="154">
        <f t="shared" ref="M23:M41" si="22">F23+G23+H23+I23+J23+K23+L23</f>
        <v>180.4</v>
      </c>
      <c r="N23" s="171">
        <v>0.41</v>
      </c>
      <c r="O23" s="154">
        <f t="shared" ref="O23:O41" si="23">M23*N23</f>
        <v>74</v>
      </c>
      <c r="P23" s="154">
        <f t="shared" ref="P23:P41" si="24">M23+O23</f>
        <v>254.4</v>
      </c>
      <c r="Q23" s="154">
        <f t="shared" ref="Q23:Q41" si="25">P23*0.8</f>
        <v>203.5</v>
      </c>
      <c r="R23" s="154">
        <f t="shared" ref="R23:R41" si="26">P23*0.8</f>
        <v>203.5</v>
      </c>
      <c r="S23" s="154">
        <f t="shared" ref="S23:S41" si="27">(P23+Q23+R23)*0.032</f>
        <v>21.2</v>
      </c>
      <c r="T23" s="154">
        <f t="shared" ref="T23:T41" si="28">P23+Q23+R23+S23</f>
        <v>682.6</v>
      </c>
      <c r="U23" s="1425"/>
      <c r="V23" s="154">
        <f t="shared" si="5"/>
        <v>682.6</v>
      </c>
      <c r="W23" s="154">
        <f t="shared" si="20"/>
        <v>206.1</v>
      </c>
      <c r="X23" s="278">
        <v>1</v>
      </c>
      <c r="Y23" s="24">
        <v>30</v>
      </c>
      <c r="Z23" s="48">
        <f>X23*Y23</f>
        <v>30</v>
      </c>
      <c r="AA23" s="54">
        <v>1</v>
      </c>
      <c r="AB23" s="24">
        <v>15</v>
      </c>
      <c r="AC23" s="48">
        <f>AA23*AB23</f>
        <v>15</v>
      </c>
      <c r="AD23" s="54"/>
      <c r="AE23" s="24">
        <v>30</v>
      </c>
      <c r="AF23" s="48">
        <f>AD23*AE23</f>
        <v>0</v>
      </c>
      <c r="AG23" s="278">
        <f t="shared" si="0"/>
        <v>13.5</v>
      </c>
      <c r="AH23" s="48">
        <f t="shared" si="1"/>
        <v>58.5</v>
      </c>
      <c r="AI23" s="34">
        <f t="shared" si="2"/>
        <v>56883.3</v>
      </c>
      <c r="AJ23" s="34"/>
      <c r="AK23" s="216">
        <f t="shared" si="3"/>
        <v>682.6</v>
      </c>
      <c r="AL23" s="216">
        <f t="shared" si="6"/>
        <v>241.7</v>
      </c>
      <c r="AM23" s="217">
        <v>0.30199999999999999</v>
      </c>
      <c r="AQ23" s="50">
        <f t="shared" si="7"/>
        <v>0</v>
      </c>
      <c r="AS23" s="66"/>
    </row>
    <row r="24" spans="1:45" x14ac:dyDescent="0.2">
      <c r="A24" s="278">
        <v>17</v>
      </c>
      <c r="B24" s="218" t="s">
        <v>50</v>
      </c>
      <c r="C24" s="54">
        <v>1</v>
      </c>
      <c r="D24" s="177">
        <v>8.4730000000000008</v>
      </c>
      <c r="E24" s="171">
        <f>C24*D24</f>
        <v>8.4700000000000006</v>
      </c>
      <c r="F24" s="154">
        <f t="shared" si="21"/>
        <v>101.6</v>
      </c>
      <c r="G24" s="154"/>
      <c r="H24" s="154">
        <v>0.4</v>
      </c>
      <c r="I24" s="154"/>
      <c r="J24" s="154">
        <f>F24*0.1</f>
        <v>10.199999999999999</v>
      </c>
      <c r="K24" s="154">
        <f>F24*0.4</f>
        <v>40.6</v>
      </c>
      <c r="L24" s="154">
        <f t="shared" si="4"/>
        <v>34.4</v>
      </c>
      <c r="M24" s="154">
        <f t="shared" si="22"/>
        <v>187.2</v>
      </c>
      <c r="N24" s="171">
        <v>0.41</v>
      </c>
      <c r="O24" s="154">
        <f t="shared" si="23"/>
        <v>76.8</v>
      </c>
      <c r="P24" s="154">
        <f t="shared" si="24"/>
        <v>264</v>
      </c>
      <c r="Q24" s="154">
        <f t="shared" si="25"/>
        <v>211.2</v>
      </c>
      <c r="R24" s="154">
        <f t="shared" si="26"/>
        <v>211.2</v>
      </c>
      <c r="S24" s="154">
        <f t="shared" si="27"/>
        <v>22</v>
      </c>
      <c r="T24" s="154">
        <f t="shared" si="28"/>
        <v>708.4</v>
      </c>
      <c r="U24" s="1425"/>
      <c r="V24" s="154">
        <f t="shared" si="5"/>
        <v>708.4</v>
      </c>
      <c r="W24" s="154">
        <f t="shared" si="20"/>
        <v>213.9</v>
      </c>
      <c r="X24" s="278"/>
      <c r="Y24" s="24">
        <v>30</v>
      </c>
      <c r="Z24" s="48">
        <f>X24*Y24</f>
        <v>0</v>
      </c>
      <c r="AA24" s="54"/>
      <c r="AB24" s="24">
        <v>15</v>
      </c>
      <c r="AC24" s="48">
        <f>AA24*AB24</f>
        <v>0</v>
      </c>
      <c r="AD24" s="54"/>
      <c r="AE24" s="24">
        <v>30</v>
      </c>
      <c r="AF24" s="48">
        <f>AD24*AE24</f>
        <v>0</v>
      </c>
      <c r="AG24" s="278">
        <f t="shared" si="0"/>
        <v>0</v>
      </c>
      <c r="AH24" s="48">
        <f t="shared" si="1"/>
        <v>0</v>
      </c>
      <c r="AI24" s="34">
        <f t="shared" si="2"/>
        <v>59033.3</v>
      </c>
      <c r="AJ24" s="34"/>
      <c r="AK24" s="216">
        <f t="shared" si="3"/>
        <v>708.4</v>
      </c>
      <c r="AL24" s="216">
        <f t="shared" si="6"/>
        <v>246.4</v>
      </c>
      <c r="AM24" s="217">
        <v>0.30199999999999999</v>
      </c>
      <c r="AQ24" s="50">
        <f t="shared" si="7"/>
        <v>0</v>
      </c>
      <c r="AS24" s="66"/>
    </row>
    <row r="25" spans="1:45" ht="25.5" x14ac:dyDescent="0.2">
      <c r="A25" s="278">
        <v>18</v>
      </c>
      <c r="B25" s="218" t="s">
        <v>51</v>
      </c>
      <c r="C25" s="54">
        <v>1</v>
      </c>
      <c r="D25" s="177">
        <v>8.4730000000000008</v>
      </c>
      <c r="E25" s="171">
        <f t="shared" ref="E25:E40" si="29">C25*D25</f>
        <v>8.4700000000000006</v>
      </c>
      <c r="F25" s="154">
        <f t="shared" si="21"/>
        <v>101.6</v>
      </c>
      <c r="G25" s="154"/>
      <c r="H25" s="154">
        <v>2.1</v>
      </c>
      <c r="I25" s="154"/>
      <c r="J25" s="154">
        <f>F25*0.1</f>
        <v>10.199999999999999</v>
      </c>
      <c r="K25" s="154">
        <f>F25*0.4</f>
        <v>40.6</v>
      </c>
      <c r="L25" s="154">
        <f t="shared" si="4"/>
        <v>34.4</v>
      </c>
      <c r="M25" s="154">
        <f t="shared" si="22"/>
        <v>188.9</v>
      </c>
      <c r="N25" s="171">
        <v>0.41</v>
      </c>
      <c r="O25" s="154">
        <f t="shared" si="23"/>
        <v>77.400000000000006</v>
      </c>
      <c r="P25" s="154">
        <f t="shared" si="24"/>
        <v>266.3</v>
      </c>
      <c r="Q25" s="154">
        <f t="shared" si="25"/>
        <v>213</v>
      </c>
      <c r="R25" s="154">
        <f t="shared" si="26"/>
        <v>213</v>
      </c>
      <c r="S25" s="154">
        <f t="shared" si="27"/>
        <v>22.2</v>
      </c>
      <c r="T25" s="154">
        <f t="shared" si="28"/>
        <v>714.5</v>
      </c>
      <c r="U25" s="1425"/>
      <c r="V25" s="154">
        <f t="shared" si="5"/>
        <v>714.5</v>
      </c>
      <c r="W25" s="154">
        <f t="shared" si="20"/>
        <v>215.8</v>
      </c>
      <c r="X25" s="278">
        <v>1</v>
      </c>
      <c r="Y25" s="24">
        <v>30</v>
      </c>
      <c r="Z25" s="48">
        <f t="shared" ref="Z25:Z38" si="30">X25*Y25</f>
        <v>30</v>
      </c>
      <c r="AA25" s="54"/>
      <c r="AB25" s="24">
        <v>15</v>
      </c>
      <c r="AC25" s="48">
        <f t="shared" ref="AC25:AC38" si="31">AA25*AB25</f>
        <v>0</v>
      </c>
      <c r="AD25" s="54"/>
      <c r="AE25" s="24">
        <v>30</v>
      </c>
      <c r="AF25" s="48">
        <f t="shared" ref="AF25:AF41" si="32">AD25*AE25</f>
        <v>0</v>
      </c>
      <c r="AG25" s="278">
        <f t="shared" si="0"/>
        <v>9</v>
      </c>
      <c r="AH25" s="48">
        <f t="shared" si="1"/>
        <v>39</v>
      </c>
      <c r="AI25" s="34">
        <f t="shared" si="2"/>
        <v>59541.7</v>
      </c>
      <c r="AJ25" s="34"/>
      <c r="AK25" s="216">
        <f t="shared" si="3"/>
        <v>714.5</v>
      </c>
      <c r="AL25" s="216">
        <f t="shared" si="6"/>
        <v>247.5</v>
      </c>
      <c r="AM25" s="217">
        <v>0.30199999999999999</v>
      </c>
      <c r="AQ25" s="50">
        <f t="shared" si="7"/>
        <v>0</v>
      </c>
      <c r="AS25" s="66"/>
    </row>
    <row r="26" spans="1:45" x14ac:dyDescent="0.2">
      <c r="A26" s="278">
        <v>19</v>
      </c>
      <c r="B26" s="218" t="s">
        <v>52</v>
      </c>
      <c r="C26" s="54">
        <v>1</v>
      </c>
      <c r="D26" s="177">
        <v>8.4730000000000008</v>
      </c>
      <c r="E26" s="171">
        <f t="shared" si="29"/>
        <v>8.4700000000000006</v>
      </c>
      <c r="F26" s="154">
        <f t="shared" si="21"/>
        <v>101.6</v>
      </c>
      <c r="G26" s="154"/>
      <c r="H26" s="154">
        <v>1.4</v>
      </c>
      <c r="I26" s="154"/>
      <c r="J26" s="154"/>
      <c r="K26" s="154">
        <f>D26*0.25*7.7+D26*0.3*4.3</f>
        <v>27.2</v>
      </c>
      <c r="L26" s="154">
        <f t="shared" si="4"/>
        <v>34.4</v>
      </c>
      <c r="M26" s="154">
        <f t="shared" si="22"/>
        <v>164.6</v>
      </c>
      <c r="N26" s="171">
        <v>0.41</v>
      </c>
      <c r="O26" s="154">
        <f t="shared" si="23"/>
        <v>67.5</v>
      </c>
      <c r="P26" s="154">
        <f t="shared" si="24"/>
        <v>232.1</v>
      </c>
      <c r="Q26" s="154">
        <f t="shared" si="25"/>
        <v>185.7</v>
      </c>
      <c r="R26" s="154">
        <f t="shared" si="26"/>
        <v>185.7</v>
      </c>
      <c r="S26" s="154">
        <f t="shared" si="27"/>
        <v>19.3</v>
      </c>
      <c r="T26" s="154">
        <f t="shared" si="28"/>
        <v>622.79999999999995</v>
      </c>
      <c r="U26" s="1425"/>
      <c r="V26" s="154">
        <f t="shared" si="5"/>
        <v>622.79999999999995</v>
      </c>
      <c r="W26" s="154">
        <f t="shared" si="20"/>
        <v>188.1</v>
      </c>
      <c r="X26" s="278">
        <v>1</v>
      </c>
      <c r="Y26" s="24">
        <v>30</v>
      </c>
      <c r="Z26" s="48">
        <f t="shared" si="30"/>
        <v>30</v>
      </c>
      <c r="AA26" s="54"/>
      <c r="AB26" s="24">
        <v>15</v>
      </c>
      <c r="AC26" s="48">
        <f t="shared" si="31"/>
        <v>0</v>
      </c>
      <c r="AD26" s="54"/>
      <c r="AE26" s="24">
        <v>30</v>
      </c>
      <c r="AF26" s="48">
        <f t="shared" si="32"/>
        <v>0</v>
      </c>
      <c r="AG26" s="278">
        <f t="shared" si="0"/>
        <v>9</v>
      </c>
      <c r="AH26" s="48">
        <f t="shared" si="1"/>
        <v>39</v>
      </c>
      <c r="AI26" s="34">
        <f t="shared" si="2"/>
        <v>51900</v>
      </c>
      <c r="AJ26" s="34"/>
      <c r="AK26" s="216">
        <f t="shared" si="3"/>
        <v>622.79999999999995</v>
      </c>
      <c r="AL26" s="216">
        <f t="shared" si="6"/>
        <v>230.8</v>
      </c>
      <c r="AM26" s="217">
        <v>0.30199999999999999</v>
      </c>
      <c r="AQ26" s="50">
        <f t="shared" si="7"/>
        <v>0</v>
      </c>
      <c r="AS26" s="66"/>
    </row>
    <row r="27" spans="1:45" ht="26.25" customHeight="1" x14ac:dyDescent="0.2">
      <c r="A27" s="278">
        <v>20</v>
      </c>
      <c r="B27" s="218" t="s">
        <v>53</v>
      </c>
      <c r="C27" s="49">
        <f>1-0.5</f>
        <v>0.5</v>
      </c>
      <c r="D27" s="177">
        <v>8.4730000000000008</v>
      </c>
      <c r="E27" s="171">
        <f t="shared" si="29"/>
        <v>4.24</v>
      </c>
      <c r="F27" s="154">
        <f t="shared" si="21"/>
        <v>50.9</v>
      </c>
      <c r="G27" s="154"/>
      <c r="H27" s="154"/>
      <c r="I27" s="154"/>
      <c r="J27" s="154"/>
      <c r="K27" s="154"/>
      <c r="L27" s="154">
        <f t="shared" si="4"/>
        <v>17.2</v>
      </c>
      <c r="M27" s="154">
        <f t="shared" si="22"/>
        <v>68.099999999999994</v>
      </c>
      <c r="N27" s="171">
        <v>0.41</v>
      </c>
      <c r="O27" s="154">
        <f t="shared" si="23"/>
        <v>27.9</v>
      </c>
      <c r="P27" s="154">
        <f t="shared" si="24"/>
        <v>96</v>
      </c>
      <c r="Q27" s="154">
        <f t="shared" si="25"/>
        <v>76.8</v>
      </c>
      <c r="R27" s="154">
        <f t="shared" si="26"/>
        <v>76.8</v>
      </c>
      <c r="S27" s="154">
        <f t="shared" si="27"/>
        <v>8</v>
      </c>
      <c r="T27" s="154">
        <f t="shared" si="28"/>
        <v>257.60000000000002</v>
      </c>
      <c r="U27" s="1425"/>
      <c r="V27" s="154">
        <f t="shared" si="5"/>
        <v>257.60000000000002</v>
      </c>
      <c r="W27" s="154">
        <f t="shared" si="20"/>
        <v>77.8</v>
      </c>
      <c r="X27" s="278"/>
      <c r="Y27" s="24">
        <v>30</v>
      </c>
      <c r="Z27" s="48">
        <f t="shared" si="30"/>
        <v>0</v>
      </c>
      <c r="AA27" s="54"/>
      <c r="AB27" s="24">
        <v>15</v>
      </c>
      <c r="AC27" s="48">
        <f t="shared" si="31"/>
        <v>0</v>
      </c>
      <c r="AD27" s="54"/>
      <c r="AE27" s="24">
        <v>30</v>
      </c>
      <c r="AF27" s="48">
        <f t="shared" si="32"/>
        <v>0</v>
      </c>
      <c r="AG27" s="278">
        <f t="shared" si="0"/>
        <v>0</v>
      </c>
      <c r="AH27" s="48">
        <f t="shared" si="1"/>
        <v>0</v>
      </c>
      <c r="AI27" s="34">
        <f t="shared" si="2"/>
        <v>42933.3</v>
      </c>
      <c r="AJ27" s="34"/>
      <c r="AK27" s="216">
        <f t="shared" si="3"/>
        <v>515.20000000000005</v>
      </c>
      <c r="AL27" s="216">
        <f t="shared" si="6"/>
        <v>211.2</v>
      </c>
      <c r="AM27" s="217">
        <v>0.30199999999999999</v>
      </c>
      <c r="AQ27" s="50">
        <f t="shared" si="7"/>
        <v>0</v>
      </c>
      <c r="AS27" s="66"/>
    </row>
    <row r="28" spans="1:45" x14ac:dyDescent="0.2">
      <c r="A28" s="278">
        <v>21</v>
      </c>
      <c r="B28" s="218" t="s">
        <v>54</v>
      </c>
      <c r="C28" s="54">
        <v>1</v>
      </c>
      <c r="D28" s="177">
        <v>11.061999999999999</v>
      </c>
      <c r="E28" s="171">
        <f t="shared" si="29"/>
        <v>11.06</v>
      </c>
      <c r="F28" s="154">
        <f t="shared" si="21"/>
        <v>132.69999999999999</v>
      </c>
      <c r="G28" s="154"/>
      <c r="H28" s="154">
        <v>3.2</v>
      </c>
      <c r="I28" s="154"/>
      <c r="J28" s="154">
        <f>F28*0.1</f>
        <v>13.3</v>
      </c>
      <c r="K28" s="154">
        <f>F28*0.3</f>
        <v>39.799999999999997</v>
      </c>
      <c r="L28" s="154">
        <f t="shared" si="4"/>
        <v>44.9</v>
      </c>
      <c r="M28" s="154">
        <f t="shared" si="22"/>
        <v>233.9</v>
      </c>
      <c r="N28" s="171">
        <v>0.43</v>
      </c>
      <c r="O28" s="154">
        <f t="shared" si="23"/>
        <v>100.6</v>
      </c>
      <c r="P28" s="154">
        <f t="shared" si="24"/>
        <v>334.5</v>
      </c>
      <c r="Q28" s="154">
        <f t="shared" si="25"/>
        <v>267.60000000000002</v>
      </c>
      <c r="R28" s="154">
        <f t="shared" si="26"/>
        <v>267.60000000000002</v>
      </c>
      <c r="S28" s="154">
        <f t="shared" si="27"/>
        <v>27.8</v>
      </c>
      <c r="T28" s="154">
        <f t="shared" si="28"/>
        <v>897.5</v>
      </c>
      <c r="U28" s="1425"/>
      <c r="V28" s="154">
        <f t="shared" si="5"/>
        <v>897.5</v>
      </c>
      <c r="W28" s="154">
        <f>AQ28</f>
        <v>270.2</v>
      </c>
      <c r="X28" s="278"/>
      <c r="Y28" s="24">
        <v>30</v>
      </c>
      <c r="Z28" s="48">
        <f t="shared" si="30"/>
        <v>0</v>
      </c>
      <c r="AA28" s="54"/>
      <c r="AB28" s="24">
        <v>15</v>
      </c>
      <c r="AC28" s="48">
        <f t="shared" si="31"/>
        <v>0</v>
      </c>
      <c r="AD28" s="54"/>
      <c r="AE28" s="24">
        <v>30</v>
      </c>
      <c r="AF28" s="48">
        <f t="shared" si="32"/>
        <v>0</v>
      </c>
      <c r="AG28" s="278">
        <f t="shared" si="0"/>
        <v>0</v>
      </c>
      <c r="AH28" s="48">
        <f>Z28+AC28+AF28+AG28</f>
        <v>0</v>
      </c>
      <c r="AI28" s="34">
        <f t="shared" si="2"/>
        <v>74791.7</v>
      </c>
      <c r="AJ28" s="34"/>
      <c r="AK28" s="216">
        <f t="shared" si="3"/>
        <v>897.5</v>
      </c>
      <c r="AL28" s="216">
        <f t="shared" si="6"/>
        <v>280.8</v>
      </c>
      <c r="AM28" s="217">
        <v>0.30199999999999999</v>
      </c>
      <c r="AN28" s="221">
        <f>AK28*0.22</f>
        <v>197.5</v>
      </c>
      <c r="AO28" s="50">
        <f>865*0.029</f>
        <v>25.1</v>
      </c>
      <c r="AP28" s="50">
        <f>AK28*0.053</f>
        <v>47.6</v>
      </c>
      <c r="AQ28" s="50">
        <f t="shared" si="7"/>
        <v>270.2</v>
      </c>
      <c r="AS28" s="66"/>
    </row>
    <row r="29" spans="1:45" x14ac:dyDescent="0.2">
      <c r="A29" s="278">
        <v>22</v>
      </c>
      <c r="B29" s="218" t="s">
        <v>40</v>
      </c>
      <c r="C29" s="54">
        <v>2</v>
      </c>
      <c r="D29" s="177">
        <v>11.061999999999999</v>
      </c>
      <c r="E29" s="171">
        <f t="shared" si="29"/>
        <v>22.12</v>
      </c>
      <c r="F29" s="154">
        <f t="shared" si="21"/>
        <v>265.39999999999998</v>
      </c>
      <c r="G29" s="154"/>
      <c r="H29" s="154">
        <v>3.2</v>
      </c>
      <c r="I29" s="154"/>
      <c r="J29" s="154"/>
      <c r="K29" s="154">
        <f>D29*0.4*12+D29*0.35*12</f>
        <v>99.6</v>
      </c>
      <c r="L29" s="154">
        <f t="shared" si="4"/>
        <v>89.8</v>
      </c>
      <c r="M29" s="154">
        <f t="shared" si="22"/>
        <v>458</v>
      </c>
      <c r="N29" s="171">
        <v>0.43</v>
      </c>
      <c r="O29" s="154">
        <f t="shared" si="23"/>
        <v>196.9</v>
      </c>
      <c r="P29" s="154">
        <f t="shared" si="24"/>
        <v>654.9</v>
      </c>
      <c r="Q29" s="154">
        <f t="shared" si="25"/>
        <v>523.9</v>
      </c>
      <c r="R29" s="154">
        <f t="shared" si="26"/>
        <v>523.9</v>
      </c>
      <c r="S29" s="154">
        <f t="shared" si="27"/>
        <v>54.5</v>
      </c>
      <c r="T29" s="154">
        <f t="shared" si="28"/>
        <v>1757.2</v>
      </c>
      <c r="U29" s="1425"/>
      <c r="V29" s="154">
        <f t="shared" si="5"/>
        <v>1757.2</v>
      </c>
      <c r="W29" s="154">
        <f>AQ29*C29</f>
        <v>530</v>
      </c>
      <c r="X29" s="278">
        <v>1</v>
      </c>
      <c r="Y29" s="24">
        <v>30</v>
      </c>
      <c r="Z29" s="48">
        <f t="shared" si="30"/>
        <v>30</v>
      </c>
      <c r="AA29" s="54">
        <v>2</v>
      </c>
      <c r="AB29" s="24">
        <v>15</v>
      </c>
      <c r="AC29" s="48">
        <f t="shared" si="31"/>
        <v>30</v>
      </c>
      <c r="AD29" s="54"/>
      <c r="AE29" s="24">
        <v>30</v>
      </c>
      <c r="AF29" s="48">
        <f t="shared" si="32"/>
        <v>0</v>
      </c>
      <c r="AG29" s="278">
        <f t="shared" si="0"/>
        <v>18</v>
      </c>
      <c r="AH29" s="48">
        <f t="shared" ref="AH29:AH41" si="33">Z29+AC29+AF29+AG29</f>
        <v>78</v>
      </c>
      <c r="AI29" s="34">
        <f t="shared" si="2"/>
        <v>73216.7</v>
      </c>
      <c r="AJ29" s="34"/>
      <c r="AK29" s="216">
        <f t="shared" si="3"/>
        <v>878.6</v>
      </c>
      <c r="AL29" s="216">
        <f t="shared" si="6"/>
        <v>277.39999999999998</v>
      </c>
      <c r="AM29" s="217">
        <v>0.30199999999999999</v>
      </c>
      <c r="AN29" s="221">
        <f>AK29*0.22</f>
        <v>193.3</v>
      </c>
      <c r="AO29" s="50">
        <f>865*0.029</f>
        <v>25.1</v>
      </c>
      <c r="AP29" s="50">
        <f>AK29*0.053</f>
        <v>46.6</v>
      </c>
      <c r="AQ29" s="50">
        <f t="shared" si="7"/>
        <v>265</v>
      </c>
      <c r="AS29" s="66"/>
    </row>
    <row r="30" spans="1:45" x14ac:dyDescent="0.2">
      <c r="A30" s="278">
        <v>23</v>
      </c>
      <c r="B30" s="218" t="s">
        <v>55</v>
      </c>
      <c r="C30" s="54">
        <v>1</v>
      </c>
      <c r="D30" s="213">
        <v>8.4730000000000008</v>
      </c>
      <c r="E30" s="171">
        <f t="shared" si="29"/>
        <v>8.4700000000000006</v>
      </c>
      <c r="F30" s="154">
        <f t="shared" si="21"/>
        <v>101.6</v>
      </c>
      <c r="G30" s="154"/>
      <c r="H30" s="154">
        <v>2.1</v>
      </c>
      <c r="I30" s="154"/>
      <c r="J30" s="154">
        <f>F30*0.1</f>
        <v>10.199999999999999</v>
      </c>
      <c r="K30" s="154">
        <f>D30*0.3*12</f>
        <v>30.5</v>
      </c>
      <c r="L30" s="154">
        <f t="shared" si="4"/>
        <v>34.4</v>
      </c>
      <c r="M30" s="154">
        <f t="shared" si="22"/>
        <v>178.8</v>
      </c>
      <c r="N30" s="171">
        <v>0.41</v>
      </c>
      <c r="O30" s="154">
        <f t="shared" si="23"/>
        <v>73.3</v>
      </c>
      <c r="P30" s="154">
        <f t="shared" si="24"/>
        <v>252.1</v>
      </c>
      <c r="Q30" s="154">
        <f t="shared" si="25"/>
        <v>201.7</v>
      </c>
      <c r="R30" s="154">
        <f t="shared" si="26"/>
        <v>201.7</v>
      </c>
      <c r="S30" s="154">
        <f t="shared" si="27"/>
        <v>21</v>
      </c>
      <c r="T30" s="154">
        <f t="shared" si="28"/>
        <v>676.5</v>
      </c>
      <c r="U30" s="1425"/>
      <c r="V30" s="154">
        <f t="shared" si="5"/>
        <v>676.5</v>
      </c>
      <c r="W30" s="154">
        <f t="shared" si="20"/>
        <v>204.3</v>
      </c>
      <c r="X30" s="278">
        <v>1</v>
      </c>
      <c r="Y30" s="24">
        <v>30</v>
      </c>
      <c r="Z30" s="48">
        <f t="shared" si="30"/>
        <v>30</v>
      </c>
      <c r="AA30" s="54">
        <v>1</v>
      </c>
      <c r="AB30" s="24">
        <v>15</v>
      </c>
      <c r="AC30" s="48">
        <f t="shared" si="31"/>
        <v>15</v>
      </c>
      <c r="AD30" s="54">
        <v>1</v>
      </c>
      <c r="AE30" s="24">
        <v>30</v>
      </c>
      <c r="AF30" s="48">
        <f t="shared" si="32"/>
        <v>30</v>
      </c>
      <c r="AG30" s="278">
        <f t="shared" si="0"/>
        <v>22.5</v>
      </c>
      <c r="AH30" s="48">
        <f t="shared" si="33"/>
        <v>97.5</v>
      </c>
      <c r="AI30" s="34">
        <f t="shared" si="2"/>
        <v>56375</v>
      </c>
      <c r="AJ30" s="34"/>
      <c r="AK30" s="216">
        <f t="shared" si="3"/>
        <v>676.5</v>
      </c>
      <c r="AL30" s="216">
        <f t="shared" si="6"/>
        <v>240.6</v>
      </c>
      <c r="AM30" s="217">
        <f>AL30/AK30</f>
        <v>0.35599999999999998</v>
      </c>
      <c r="AN30" s="222"/>
      <c r="AO30" s="50"/>
      <c r="AP30" s="50"/>
      <c r="AQ30" s="50">
        <f t="shared" si="7"/>
        <v>0</v>
      </c>
      <c r="AS30" s="66"/>
    </row>
    <row r="31" spans="1:45" x14ac:dyDescent="0.2">
      <c r="A31" s="278">
        <v>24</v>
      </c>
      <c r="B31" s="218" t="s">
        <v>29</v>
      </c>
      <c r="C31" s="54">
        <v>3</v>
      </c>
      <c r="D31" s="213">
        <v>8.4730000000000008</v>
      </c>
      <c r="E31" s="171">
        <f t="shared" si="29"/>
        <v>25.42</v>
      </c>
      <c r="F31" s="154">
        <f t="shared" si="21"/>
        <v>305</v>
      </c>
      <c r="G31" s="154"/>
      <c r="H31" s="154">
        <v>61.7</v>
      </c>
      <c r="I31" s="154"/>
      <c r="J31" s="154"/>
      <c r="K31" s="154">
        <f>D31*0.3*12+D31*0.05*2</f>
        <v>31.4</v>
      </c>
      <c r="L31" s="154">
        <f t="shared" si="4"/>
        <v>103.2</v>
      </c>
      <c r="M31" s="154">
        <f t="shared" si="22"/>
        <v>501.3</v>
      </c>
      <c r="N31" s="171">
        <v>0.41</v>
      </c>
      <c r="O31" s="154">
        <f t="shared" si="23"/>
        <v>205.5</v>
      </c>
      <c r="P31" s="154">
        <f t="shared" si="24"/>
        <v>706.8</v>
      </c>
      <c r="Q31" s="154">
        <f t="shared" si="25"/>
        <v>565.4</v>
      </c>
      <c r="R31" s="154">
        <f t="shared" si="26"/>
        <v>565.4</v>
      </c>
      <c r="S31" s="154">
        <f t="shared" si="27"/>
        <v>58.8</v>
      </c>
      <c r="T31" s="154">
        <f t="shared" si="28"/>
        <v>1896.4</v>
      </c>
      <c r="U31" s="1425"/>
      <c r="V31" s="154">
        <f t="shared" si="5"/>
        <v>1896.4</v>
      </c>
      <c r="W31" s="154">
        <f t="shared" si="20"/>
        <v>572.70000000000005</v>
      </c>
      <c r="X31" s="278">
        <v>1</v>
      </c>
      <c r="Y31" s="24">
        <v>30</v>
      </c>
      <c r="Z31" s="48">
        <f t="shared" si="30"/>
        <v>30</v>
      </c>
      <c r="AA31" s="54">
        <v>3</v>
      </c>
      <c r="AB31" s="24">
        <v>15</v>
      </c>
      <c r="AC31" s="48">
        <f t="shared" si="31"/>
        <v>45</v>
      </c>
      <c r="AD31" s="54"/>
      <c r="AE31" s="24">
        <v>30</v>
      </c>
      <c r="AF31" s="48">
        <f t="shared" si="32"/>
        <v>0</v>
      </c>
      <c r="AG31" s="278">
        <f t="shared" si="0"/>
        <v>22.5</v>
      </c>
      <c r="AH31" s="48">
        <f t="shared" si="33"/>
        <v>97.5</v>
      </c>
      <c r="AI31" s="34">
        <f t="shared" si="2"/>
        <v>52677.8</v>
      </c>
      <c r="AJ31" s="34"/>
      <c r="AK31" s="216">
        <f t="shared" si="3"/>
        <v>632.1</v>
      </c>
      <c r="AL31" s="216">
        <f t="shared" si="6"/>
        <v>232.5</v>
      </c>
      <c r="AM31" s="217">
        <v>0.30199999999999999</v>
      </c>
      <c r="AN31" s="223"/>
      <c r="AO31" s="62"/>
      <c r="AP31" s="62"/>
      <c r="AQ31" s="50">
        <f t="shared" si="7"/>
        <v>0</v>
      </c>
      <c r="AS31" s="66"/>
    </row>
    <row r="32" spans="1:45" ht="13.5" customHeight="1" x14ac:dyDescent="0.2">
      <c r="A32" s="278">
        <v>25</v>
      </c>
      <c r="B32" s="218" t="s">
        <v>42</v>
      </c>
      <c r="C32" s="54">
        <v>1</v>
      </c>
      <c r="D32" s="177">
        <v>11.061999999999999</v>
      </c>
      <c r="E32" s="171">
        <f t="shared" si="29"/>
        <v>11.06</v>
      </c>
      <c r="F32" s="154">
        <f t="shared" si="21"/>
        <v>132.69999999999999</v>
      </c>
      <c r="G32" s="154"/>
      <c r="H32" s="154">
        <v>4.8</v>
      </c>
      <c r="I32" s="154"/>
      <c r="J32" s="154">
        <f>F32*0.1</f>
        <v>13.3</v>
      </c>
      <c r="K32" s="154">
        <f>D32*0.25*12</f>
        <v>33.200000000000003</v>
      </c>
      <c r="L32" s="154">
        <f t="shared" si="4"/>
        <v>44.9</v>
      </c>
      <c r="M32" s="154">
        <f t="shared" si="22"/>
        <v>228.9</v>
      </c>
      <c r="N32" s="171">
        <v>0.43</v>
      </c>
      <c r="O32" s="154">
        <f t="shared" si="23"/>
        <v>98.4</v>
      </c>
      <c r="P32" s="154">
        <f t="shared" si="24"/>
        <v>327.3</v>
      </c>
      <c r="Q32" s="154">
        <f t="shared" si="25"/>
        <v>261.8</v>
      </c>
      <c r="R32" s="154">
        <f t="shared" si="26"/>
        <v>261.8</v>
      </c>
      <c r="S32" s="154">
        <f t="shared" si="27"/>
        <v>27.2</v>
      </c>
      <c r="T32" s="154">
        <f t="shared" si="28"/>
        <v>878.1</v>
      </c>
      <c r="U32" s="1425"/>
      <c r="V32" s="154">
        <f t="shared" si="5"/>
        <v>878.1</v>
      </c>
      <c r="W32" s="154">
        <f>AQ32</f>
        <v>264.8</v>
      </c>
      <c r="X32" s="278"/>
      <c r="Y32" s="24">
        <v>30</v>
      </c>
      <c r="Z32" s="48">
        <f t="shared" si="30"/>
        <v>0</v>
      </c>
      <c r="AA32" s="54"/>
      <c r="AB32" s="24">
        <v>15</v>
      </c>
      <c r="AC32" s="48">
        <f t="shared" si="31"/>
        <v>0</v>
      </c>
      <c r="AD32" s="54"/>
      <c r="AE32" s="24">
        <v>30</v>
      </c>
      <c r="AF32" s="48">
        <f t="shared" si="32"/>
        <v>0</v>
      </c>
      <c r="AG32" s="278">
        <f t="shared" si="0"/>
        <v>0</v>
      </c>
      <c r="AH32" s="48">
        <f t="shared" si="33"/>
        <v>0</v>
      </c>
      <c r="AI32" s="34">
        <f t="shared" si="2"/>
        <v>73175</v>
      </c>
      <c r="AJ32" s="34"/>
      <c r="AK32" s="216">
        <f t="shared" si="3"/>
        <v>878.1</v>
      </c>
      <c r="AL32" s="216">
        <f t="shared" si="6"/>
        <v>277.3</v>
      </c>
      <c r="AM32" s="217">
        <v>0.30199999999999999</v>
      </c>
      <c r="AN32" s="221">
        <f>AK32*0.22</f>
        <v>193.2</v>
      </c>
      <c r="AO32" s="50">
        <f>865*0.029</f>
        <v>25.1</v>
      </c>
      <c r="AP32" s="50">
        <f>AK32*0.053</f>
        <v>46.5</v>
      </c>
      <c r="AQ32" s="50">
        <f>SUM(AN32:AP32)</f>
        <v>264.8</v>
      </c>
      <c r="AS32" s="66"/>
    </row>
    <row r="33" spans="1:45" ht="25.5" x14ac:dyDescent="0.2">
      <c r="A33" s="278">
        <v>26</v>
      </c>
      <c r="B33" s="218" t="s">
        <v>108</v>
      </c>
      <c r="C33" s="54">
        <v>4</v>
      </c>
      <c r="D33" s="177">
        <v>8.4730000000000008</v>
      </c>
      <c r="E33" s="171">
        <f t="shared" si="29"/>
        <v>33.89</v>
      </c>
      <c r="F33" s="154">
        <f t="shared" si="21"/>
        <v>406.7</v>
      </c>
      <c r="G33" s="154"/>
      <c r="H33" s="154">
        <v>1.2</v>
      </c>
      <c r="I33" s="154"/>
      <c r="J33" s="154"/>
      <c r="K33" s="154">
        <f>D33*0.4*12+D33*0.35*12</f>
        <v>76.3</v>
      </c>
      <c r="L33" s="154">
        <f t="shared" si="4"/>
        <v>137.6</v>
      </c>
      <c r="M33" s="154">
        <f t="shared" si="22"/>
        <v>621.79999999999995</v>
      </c>
      <c r="N33" s="171">
        <v>0.47</v>
      </c>
      <c r="O33" s="154">
        <f t="shared" si="23"/>
        <v>292.2</v>
      </c>
      <c r="P33" s="154">
        <f t="shared" si="24"/>
        <v>914</v>
      </c>
      <c r="Q33" s="154">
        <f t="shared" si="25"/>
        <v>731.2</v>
      </c>
      <c r="R33" s="154">
        <f t="shared" si="26"/>
        <v>731.2</v>
      </c>
      <c r="S33" s="154">
        <f t="shared" si="27"/>
        <v>76</v>
      </c>
      <c r="T33" s="154">
        <f t="shared" si="28"/>
        <v>2452.4</v>
      </c>
      <c r="U33" s="1425"/>
      <c r="V33" s="154">
        <f t="shared" si="5"/>
        <v>2452.4</v>
      </c>
      <c r="W33" s="154">
        <f t="shared" si="20"/>
        <v>740.6</v>
      </c>
      <c r="X33" s="278">
        <v>1</v>
      </c>
      <c r="Y33" s="24">
        <v>30</v>
      </c>
      <c r="Z33" s="48">
        <f t="shared" si="30"/>
        <v>30</v>
      </c>
      <c r="AA33" s="54">
        <v>1</v>
      </c>
      <c r="AB33" s="24">
        <v>15</v>
      </c>
      <c r="AC33" s="48">
        <f t="shared" si="31"/>
        <v>15</v>
      </c>
      <c r="AD33" s="54"/>
      <c r="AE33" s="24">
        <v>30</v>
      </c>
      <c r="AF33" s="48">
        <f t="shared" si="32"/>
        <v>0</v>
      </c>
      <c r="AG33" s="278">
        <f t="shared" si="0"/>
        <v>13.5</v>
      </c>
      <c r="AH33" s="48">
        <f t="shared" si="33"/>
        <v>58.5</v>
      </c>
      <c r="AI33" s="34">
        <f t="shared" si="2"/>
        <v>51091.7</v>
      </c>
      <c r="AJ33" s="34"/>
      <c r="AK33" s="216">
        <f t="shared" si="3"/>
        <v>613.1</v>
      </c>
      <c r="AL33" s="216">
        <f t="shared" si="6"/>
        <v>229.1</v>
      </c>
      <c r="AM33" s="217">
        <v>0.30199999999999999</v>
      </c>
      <c r="AN33" s="223"/>
      <c r="AO33" s="62"/>
      <c r="AP33" s="62"/>
      <c r="AQ33" s="50">
        <f t="shared" si="7"/>
        <v>0</v>
      </c>
      <c r="AS33" s="66"/>
    </row>
    <row r="34" spans="1:45" ht="13.5" customHeight="1" x14ac:dyDescent="0.2">
      <c r="A34" s="278">
        <v>27</v>
      </c>
      <c r="B34" s="218" t="s">
        <v>56</v>
      </c>
      <c r="C34" s="57">
        <v>2</v>
      </c>
      <c r="D34" s="177">
        <v>11.061999999999999</v>
      </c>
      <c r="E34" s="171">
        <f t="shared" si="29"/>
        <v>22.12</v>
      </c>
      <c r="F34" s="154">
        <f t="shared" si="21"/>
        <v>265.39999999999998</v>
      </c>
      <c r="G34" s="154"/>
      <c r="H34" s="154">
        <v>1.1000000000000001</v>
      </c>
      <c r="I34" s="154"/>
      <c r="J34" s="154">
        <f>D34*0.1*2*12</f>
        <v>26.5</v>
      </c>
      <c r="K34" s="154">
        <f>D34*0.4*12+D34*0.25*12</f>
        <v>86.3</v>
      </c>
      <c r="L34" s="154">
        <f t="shared" si="4"/>
        <v>89.8</v>
      </c>
      <c r="M34" s="154">
        <f t="shared" si="22"/>
        <v>469.1</v>
      </c>
      <c r="N34" s="171">
        <v>0.43</v>
      </c>
      <c r="O34" s="154">
        <f t="shared" si="23"/>
        <v>201.7</v>
      </c>
      <c r="P34" s="154">
        <f t="shared" si="24"/>
        <v>670.8</v>
      </c>
      <c r="Q34" s="154">
        <f t="shared" si="25"/>
        <v>536.6</v>
      </c>
      <c r="R34" s="154">
        <f t="shared" si="26"/>
        <v>536.6</v>
      </c>
      <c r="S34" s="154">
        <f t="shared" si="27"/>
        <v>55.8</v>
      </c>
      <c r="T34" s="154">
        <f t="shared" si="28"/>
        <v>1799.8</v>
      </c>
      <c r="U34" s="1425"/>
      <c r="V34" s="154">
        <f t="shared" si="5"/>
        <v>1799.8</v>
      </c>
      <c r="W34" s="154">
        <f>AQ34*C34</f>
        <v>541.6</v>
      </c>
      <c r="X34" s="278">
        <v>2</v>
      </c>
      <c r="Y34" s="24">
        <v>30</v>
      </c>
      <c r="Z34" s="48">
        <f t="shared" si="30"/>
        <v>60</v>
      </c>
      <c r="AA34" s="54">
        <v>2</v>
      </c>
      <c r="AB34" s="24">
        <v>15</v>
      </c>
      <c r="AC34" s="48">
        <f t="shared" si="31"/>
        <v>30</v>
      </c>
      <c r="AD34" s="54"/>
      <c r="AE34" s="24">
        <v>30</v>
      </c>
      <c r="AF34" s="48">
        <f t="shared" si="32"/>
        <v>0</v>
      </c>
      <c r="AG34" s="278">
        <f t="shared" si="0"/>
        <v>27</v>
      </c>
      <c r="AH34" s="48">
        <f t="shared" si="33"/>
        <v>117</v>
      </c>
      <c r="AI34" s="34">
        <f t="shared" si="2"/>
        <v>74991.7</v>
      </c>
      <c r="AJ34" s="34"/>
      <c r="AK34" s="216">
        <f t="shared" si="3"/>
        <v>899.9</v>
      </c>
      <c r="AL34" s="216">
        <f t="shared" si="6"/>
        <v>281.3</v>
      </c>
      <c r="AM34" s="217">
        <v>0.30199999999999999</v>
      </c>
      <c r="AN34" s="221">
        <f>AK34*0.22</f>
        <v>198</v>
      </c>
      <c r="AO34" s="50">
        <f>865*0.029</f>
        <v>25.1</v>
      </c>
      <c r="AP34" s="50">
        <f>AK34*0.053</f>
        <v>47.7</v>
      </c>
      <c r="AQ34" s="50">
        <f>SUM(AN34:AP34)</f>
        <v>270.8</v>
      </c>
      <c r="AS34" s="66"/>
    </row>
    <row r="35" spans="1:45" ht="25.5" x14ac:dyDescent="0.2">
      <c r="A35" s="278">
        <v>28</v>
      </c>
      <c r="B35" s="218" t="s">
        <v>101</v>
      </c>
      <c r="C35" s="57">
        <v>1</v>
      </c>
      <c r="D35" s="177">
        <v>11.061999999999999</v>
      </c>
      <c r="E35" s="171">
        <f>C35*D35</f>
        <v>11.06</v>
      </c>
      <c r="F35" s="154">
        <f t="shared" si="21"/>
        <v>132.69999999999999</v>
      </c>
      <c r="G35" s="154"/>
      <c r="H35" s="154">
        <v>4.8</v>
      </c>
      <c r="I35" s="154"/>
      <c r="J35" s="154"/>
      <c r="K35" s="154">
        <f>D35*0.25*12</f>
        <v>33.200000000000003</v>
      </c>
      <c r="L35" s="154">
        <f t="shared" si="4"/>
        <v>44.9</v>
      </c>
      <c r="M35" s="154">
        <f t="shared" si="22"/>
        <v>215.6</v>
      </c>
      <c r="N35" s="171">
        <v>0.43</v>
      </c>
      <c r="O35" s="154">
        <f t="shared" si="23"/>
        <v>92.7</v>
      </c>
      <c r="P35" s="154">
        <f t="shared" si="24"/>
        <v>308.3</v>
      </c>
      <c r="Q35" s="154">
        <f t="shared" si="25"/>
        <v>246.6</v>
      </c>
      <c r="R35" s="154">
        <f t="shared" si="26"/>
        <v>246.6</v>
      </c>
      <c r="S35" s="154">
        <f t="shared" si="27"/>
        <v>25.6</v>
      </c>
      <c r="T35" s="154">
        <f t="shared" si="28"/>
        <v>827.1</v>
      </c>
      <c r="U35" s="1425"/>
      <c r="V35" s="154">
        <f t="shared" si="5"/>
        <v>827.1</v>
      </c>
      <c r="W35" s="154">
        <f t="shared" si="20"/>
        <v>249.8</v>
      </c>
      <c r="X35" s="278">
        <v>1</v>
      </c>
      <c r="Y35" s="24">
        <v>30</v>
      </c>
      <c r="Z35" s="48">
        <f t="shared" si="30"/>
        <v>30</v>
      </c>
      <c r="AA35" s="54"/>
      <c r="AB35" s="24">
        <v>15</v>
      </c>
      <c r="AC35" s="48">
        <f t="shared" si="31"/>
        <v>0</v>
      </c>
      <c r="AD35" s="54"/>
      <c r="AE35" s="24">
        <v>30</v>
      </c>
      <c r="AF35" s="48">
        <f t="shared" si="32"/>
        <v>0</v>
      </c>
      <c r="AG35" s="278">
        <f t="shared" si="0"/>
        <v>9</v>
      </c>
      <c r="AH35" s="48">
        <f t="shared" si="33"/>
        <v>39</v>
      </c>
      <c r="AI35" s="34">
        <f t="shared" si="2"/>
        <v>68925</v>
      </c>
      <c r="AJ35" s="34"/>
      <c r="AK35" s="216">
        <f t="shared" si="3"/>
        <v>827.1</v>
      </c>
      <c r="AL35" s="216">
        <f t="shared" si="6"/>
        <v>268</v>
      </c>
      <c r="AM35" s="217">
        <v>0.30199999999999999</v>
      </c>
      <c r="AN35" s="62"/>
      <c r="AO35" s="62"/>
      <c r="AP35" s="62"/>
      <c r="AQ35" s="50">
        <f t="shared" si="7"/>
        <v>0</v>
      </c>
      <c r="AS35" s="66"/>
    </row>
    <row r="36" spans="1:45" x14ac:dyDescent="0.2">
      <c r="A36" s="278">
        <v>29</v>
      </c>
      <c r="B36" s="218" t="s">
        <v>33</v>
      </c>
      <c r="C36" s="57">
        <v>1</v>
      </c>
      <c r="D36" s="177">
        <v>8.4730000000000008</v>
      </c>
      <c r="E36" s="171">
        <f>C36*D36</f>
        <v>8.4700000000000006</v>
      </c>
      <c r="F36" s="154">
        <f t="shared" si="21"/>
        <v>101.6</v>
      </c>
      <c r="G36" s="154"/>
      <c r="H36" s="154">
        <v>2.9</v>
      </c>
      <c r="I36" s="154"/>
      <c r="J36" s="154"/>
      <c r="K36" s="154"/>
      <c r="L36" s="154">
        <f t="shared" si="4"/>
        <v>34.4</v>
      </c>
      <c r="M36" s="154">
        <f t="shared" si="22"/>
        <v>138.9</v>
      </c>
      <c r="N36" s="171">
        <v>0.41</v>
      </c>
      <c r="O36" s="154">
        <f t="shared" si="23"/>
        <v>56.9</v>
      </c>
      <c r="P36" s="154">
        <f t="shared" si="24"/>
        <v>195.8</v>
      </c>
      <c r="Q36" s="154">
        <f t="shared" si="25"/>
        <v>156.6</v>
      </c>
      <c r="R36" s="154">
        <f t="shared" si="26"/>
        <v>156.6</v>
      </c>
      <c r="S36" s="154">
        <f t="shared" si="27"/>
        <v>16.3</v>
      </c>
      <c r="T36" s="154">
        <f t="shared" si="28"/>
        <v>525.29999999999995</v>
      </c>
      <c r="U36" s="1425"/>
      <c r="V36" s="154">
        <f t="shared" si="5"/>
        <v>525.29999999999995</v>
      </c>
      <c r="W36" s="154">
        <f t="shared" si="20"/>
        <v>158.6</v>
      </c>
      <c r="X36" s="278"/>
      <c r="Y36" s="24">
        <v>30</v>
      </c>
      <c r="Z36" s="48">
        <f t="shared" si="30"/>
        <v>0</v>
      </c>
      <c r="AA36" s="54"/>
      <c r="AB36" s="24">
        <v>15</v>
      </c>
      <c r="AC36" s="48">
        <f t="shared" si="31"/>
        <v>0</v>
      </c>
      <c r="AD36" s="54"/>
      <c r="AE36" s="24">
        <v>30</v>
      </c>
      <c r="AF36" s="48">
        <f t="shared" si="32"/>
        <v>0</v>
      </c>
      <c r="AG36" s="278">
        <f t="shared" si="0"/>
        <v>0</v>
      </c>
      <c r="AH36" s="48">
        <f t="shared" si="33"/>
        <v>0</v>
      </c>
      <c r="AI36" s="34">
        <f t="shared" si="2"/>
        <v>43775</v>
      </c>
      <c r="AJ36" s="34"/>
      <c r="AK36" s="216">
        <f t="shared" si="3"/>
        <v>525.29999999999995</v>
      </c>
      <c r="AL36" s="216">
        <f t="shared" si="6"/>
        <v>213.1</v>
      </c>
      <c r="AM36" s="217">
        <v>0.30199999999999999</v>
      </c>
      <c r="AN36" s="76"/>
      <c r="AO36" s="76"/>
      <c r="AP36" s="76"/>
      <c r="AQ36" s="50">
        <f t="shared" si="7"/>
        <v>0</v>
      </c>
      <c r="AS36" s="66"/>
    </row>
    <row r="37" spans="1:45" ht="25.5" x14ac:dyDescent="0.2">
      <c r="A37" s="278">
        <v>30</v>
      </c>
      <c r="B37" s="218" t="s">
        <v>130</v>
      </c>
      <c r="C37" s="57">
        <v>1</v>
      </c>
      <c r="D37" s="177">
        <v>8.4730000000000008</v>
      </c>
      <c r="E37" s="171">
        <f>C37*D37</f>
        <v>8.4700000000000006</v>
      </c>
      <c r="F37" s="154">
        <f>E37*12</f>
        <v>101.6</v>
      </c>
      <c r="G37" s="154"/>
      <c r="H37" s="154"/>
      <c r="I37" s="154"/>
      <c r="J37" s="154"/>
      <c r="K37" s="154"/>
      <c r="L37" s="154">
        <f t="shared" si="4"/>
        <v>34.4</v>
      </c>
      <c r="M37" s="154">
        <f t="shared" si="22"/>
        <v>136</v>
      </c>
      <c r="N37" s="171">
        <v>0.47</v>
      </c>
      <c r="O37" s="154">
        <f t="shared" si="23"/>
        <v>63.9</v>
      </c>
      <c r="P37" s="154">
        <f t="shared" si="24"/>
        <v>199.9</v>
      </c>
      <c r="Q37" s="154">
        <f t="shared" si="25"/>
        <v>159.9</v>
      </c>
      <c r="R37" s="154">
        <f t="shared" si="26"/>
        <v>159.9</v>
      </c>
      <c r="S37" s="154">
        <f t="shared" si="27"/>
        <v>16.600000000000001</v>
      </c>
      <c r="T37" s="154">
        <f t="shared" si="28"/>
        <v>536.29999999999995</v>
      </c>
      <c r="U37" s="1425"/>
      <c r="V37" s="154">
        <f t="shared" si="5"/>
        <v>536.29999999999995</v>
      </c>
      <c r="W37" s="154">
        <f t="shared" si="20"/>
        <v>162</v>
      </c>
      <c r="X37" s="278"/>
      <c r="Y37" s="24">
        <v>30</v>
      </c>
      <c r="Z37" s="48">
        <f t="shared" si="30"/>
        <v>0</v>
      </c>
      <c r="AA37" s="54"/>
      <c r="AB37" s="24">
        <v>15</v>
      </c>
      <c r="AC37" s="48">
        <f t="shared" si="31"/>
        <v>0</v>
      </c>
      <c r="AD37" s="54"/>
      <c r="AE37" s="24">
        <v>30</v>
      </c>
      <c r="AF37" s="48">
        <f t="shared" si="32"/>
        <v>0</v>
      </c>
      <c r="AG37" s="278">
        <f t="shared" si="0"/>
        <v>0</v>
      </c>
      <c r="AH37" s="48">
        <f t="shared" si="33"/>
        <v>0</v>
      </c>
      <c r="AI37" s="34">
        <f>V37/11/C37*1000</f>
        <v>48754.5</v>
      </c>
      <c r="AJ37" s="34"/>
      <c r="AK37" s="216">
        <f t="shared" si="3"/>
        <v>536.29999999999995</v>
      </c>
      <c r="AL37" s="216">
        <f t="shared" si="6"/>
        <v>215.1</v>
      </c>
      <c r="AM37" s="217">
        <v>0.30199999999999999</v>
      </c>
      <c r="AN37" s="62"/>
      <c r="AO37" s="62"/>
      <c r="AP37" s="62"/>
      <c r="AQ37" s="50">
        <f t="shared" si="7"/>
        <v>0</v>
      </c>
      <c r="AS37" s="66"/>
    </row>
    <row r="38" spans="1:45" ht="25.5" x14ac:dyDescent="0.2">
      <c r="A38" s="278">
        <v>31</v>
      </c>
      <c r="B38" s="218" t="s">
        <v>109</v>
      </c>
      <c r="C38" s="57">
        <v>1</v>
      </c>
      <c r="D38" s="177">
        <v>4.4569999999999999</v>
      </c>
      <c r="E38" s="171">
        <f t="shared" si="29"/>
        <v>4.46</v>
      </c>
      <c r="F38" s="154">
        <f t="shared" si="21"/>
        <v>53.5</v>
      </c>
      <c r="G38" s="154"/>
      <c r="H38" s="154">
        <v>1.7</v>
      </c>
      <c r="I38" s="154"/>
      <c r="J38" s="154"/>
      <c r="K38" s="154"/>
      <c r="L38" s="154">
        <v>26</v>
      </c>
      <c r="M38" s="154">
        <f t="shared" si="22"/>
        <v>81.2</v>
      </c>
      <c r="N38" s="171">
        <v>0.61</v>
      </c>
      <c r="O38" s="154">
        <f t="shared" si="23"/>
        <v>49.5</v>
      </c>
      <c r="P38" s="154">
        <f t="shared" si="24"/>
        <v>130.69999999999999</v>
      </c>
      <c r="Q38" s="154">
        <f t="shared" si="25"/>
        <v>104.6</v>
      </c>
      <c r="R38" s="154">
        <f t="shared" si="26"/>
        <v>104.6</v>
      </c>
      <c r="S38" s="154">
        <f t="shared" si="27"/>
        <v>10.9</v>
      </c>
      <c r="T38" s="154">
        <f t="shared" si="28"/>
        <v>350.8</v>
      </c>
      <c r="U38" s="1425"/>
      <c r="V38" s="154">
        <f t="shared" si="5"/>
        <v>350.8</v>
      </c>
      <c r="W38" s="154">
        <f t="shared" si="20"/>
        <v>105.9</v>
      </c>
      <c r="X38" s="278">
        <v>1</v>
      </c>
      <c r="Y38" s="24">
        <v>30</v>
      </c>
      <c r="Z38" s="48">
        <f t="shared" si="30"/>
        <v>30</v>
      </c>
      <c r="AA38" s="278">
        <v>1</v>
      </c>
      <c r="AB38" s="24">
        <v>15</v>
      </c>
      <c r="AC38" s="48">
        <f t="shared" si="31"/>
        <v>15</v>
      </c>
      <c r="AD38" s="278"/>
      <c r="AE38" s="24">
        <v>30</v>
      </c>
      <c r="AF38" s="48">
        <f t="shared" si="32"/>
        <v>0</v>
      </c>
      <c r="AG38" s="278">
        <f t="shared" si="0"/>
        <v>13.5</v>
      </c>
      <c r="AH38" s="48">
        <f t="shared" si="33"/>
        <v>58.5</v>
      </c>
      <c r="AI38" s="34">
        <f>V38/12/C38*1000</f>
        <v>29233.3</v>
      </c>
      <c r="AJ38" s="34"/>
      <c r="AK38" s="216">
        <f t="shared" si="3"/>
        <v>350.8</v>
      </c>
      <c r="AL38" s="216">
        <f t="shared" si="6"/>
        <v>181.3</v>
      </c>
      <c r="AM38" s="217">
        <v>0.30199999999999999</v>
      </c>
      <c r="AN38" s="76"/>
      <c r="AO38" s="76"/>
      <c r="AP38" s="76"/>
      <c r="AQ38" s="50">
        <f t="shared" si="7"/>
        <v>0</v>
      </c>
      <c r="AS38" s="66"/>
    </row>
    <row r="39" spans="1:45" ht="15.75" customHeight="1" x14ac:dyDescent="0.2">
      <c r="A39" s="278">
        <v>32</v>
      </c>
      <c r="B39" s="218" t="s">
        <v>57</v>
      </c>
      <c r="C39" s="49">
        <f>2-0.5</f>
        <v>1.5</v>
      </c>
      <c r="D39" s="177">
        <v>4.3769999999999998</v>
      </c>
      <c r="E39" s="171">
        <f t="shared" si="29"/>
        <v>6.57</v>
      </c>
      <c r="F39" s="215">
        <f t="shared" si="21"/>
        <v>78.8</v>
      </c>
      <c r="G39" s="154"/>
      <c r="H39" s="154">
        <v>1.4</v>
      </c>
      <c r="I39" s="154"/>
      <c r="J39" s="154"/>
      <c r="K39" s="154"/>
      <c r="L39" s="154">
        <v>70</v>
      </c>
      <c r="M39" s="154">
        <f t="shared" si="22"/>
        <v>150.19999999999999</v>
      </c>
      <c r="N39" s="171">
        <v>0.49</v>
      </c>
      <c r="O39" s="154">
        <f t="shared" si="23"/>
        <v>73.599999999999994</v>
      </c>
      <c r="P39" s="154">
        <f t="shared" si="24"/>
        <v>223.8</v>
      </c>
      <c r="Q39" s="154">
        <f t="shared" si="25"/>
        <v>179</v>
      </c>
      <c r="R39" s="154">
        <f t="shared" si="26"/>
        <v>179</v>
      </c>
      <c r="S39" s="154">
        <f t="shared" si="27"/>
        <v>18.600000000000001</v>
      </c>
      <c r="T39" s="154">
        <f t="shared" si="28"/>
        <v>600.4</v>
      </c>
      <c r="U39" s="1425"/>
      <c r="V39" s="154">
        <f t="shared" si="5"/>
        <v>600.4</v>
      </c>
      <c r="W39" s="154">
        <f t="shared" si="20"/>
        <v>181.3</v>
      </c>
      <c r="X39" s="278"/>
      <c r="Y39" s="24">
        <v>30</v>
      </c>
      <c r="Z39" s="48">
        <f>X39*Y39</f>
        <v>0</v>
      </c>
      <c r="AA39" s="278"/>
      <c r="AB39" s="24">
        <v>15</v>
      </c>
      <c r="AC39" s="48">
        <f>AA39*AB39</f>
        <v>0</v>
      </c>
      <c r="AD39" s="278"/>
      <c r="AE39" s="24">
        <v>30</v>
      </c>
      <c r="AF39" s="48">
        <f t="shared" si="32"/>
        <v>0</v>
      </c>
      <c r="AG39" s="278">
        <f t="shared" si="0"/>
        <v>0</v>
      </c>
      <c r="AH39" s="48">
        <f t="shared" si="33"/>
        <v>0</v>
      </c>
      <c r="AI39" s="34">
        <f>V39/12/C39*1000</f>
        <v>33355.599999999999</v>
      </c>
      <c r="AJ39" s="34"/>
      <c r="AK39" s="216">
        <f t="shared" si="3"/>
        <v>400.3</v>
      </c>
      <c r="AL39" s="216">
        <f t="shared" si="6"/>
        <v>190.3</v>
      </c>
      <c r="AM39" s="217">
        <v>0.30199999999999999</v>
      </c>
      <c r="AN39" s="76"/>
      <c r="AO39" s="76"/>
      <c r="AP39" s="76"/>
      <c r="AQ39" s="50">
        <f t="shared" si="7"/>
        <v>0</v>
      </c>
      <c r="AS39" s="66"/>
    </row>
    <row r="40" spans="1:45" x14ac:dyDescent="0.2">
      <c r="A40" s="278">
        <v>33</v>
      </c>
      <c r="B40" s="218" t="s">
        <v>92</v>
      </c>
      <c r="C40" s="224">
        <v>1</v>
      </c>
      <c r="D40" s="177">
        <v>4.3769999999999998</v>
      </c>
      <c r="E40" s="171">
        <f t="shared" si="29"/>
        <v>4.38</v>
      </c>
      <c r="F40" s="154">
        <f t="shared" si="21"/>
        <v>52.6</v>
      </c>
      <c r="G40" s="154"/>
      <c r="H40" s="154">
        <f>2773.8/1000</f>
        <v>2.8</v>
      </c>
      <c r="I40" s="154"/>
      <c r="J40" s="154"/>
      <c r="K40" s="154"/>
      <c r="L40" s="154">
        <v>38.1</v>
      </c>
      <c r="M40" s="154">
        <f t="shared" si="22"/>
        <v>93.5</v>
      </c>
      <c r="N40" s="171">
        <v>0.47</v>
      </c>
      <c r="O40" s="154">
        <f t="shared" si="23"/>
        <v>43.9</v>
      </c>
      <c r="P40" s="154">
        <f t="shared" si="24"/>
        <v>137.4</v>
      </c>
      <c r="Q40" s="154">
        <f t="shared" si="25"/>
        <v>109.9</v>
      </c>
      <c r="R40" s="154">
        <f t="shared" si="26"/>
        <v>109.9</v>
      </c>
      <c r="S40" s="154">
        <f t="shared" si="27"/>
        <v>11.4</v>
      </c>
      <c r="T40" s="154">
        <f t="shared" si="28"/>
        <v>368.6</v>
      </c>
      <c r="U40" s="1425"/>
      <c r="V40" s="154">
        <f t="shared" si="5"/>
        <v>368.6</v>
      </c>
      <c r="W40" s="154">
        <f t="shared" si="20"/>
        <v>111.3</v>
      </c>
      <c r="X40" s="278">
        <v>1</v>
      </c>
      <c r="Y40" s="24">
        <v>30</v>
      </c>
      <c r="Z40" s="48">
        <f>X40*Y40</f>
        <v>30</v>
      </c>
      <c r="AA40" s="278"/>
      <c r="AB40" s="24">
        <v>15</v>
      </c>
      <c r="AC40" s="48">
        <f>AA40*AB40</f>
        <v>0</v>
      </c>
      <c r="AD40" s="278"/>
      <c r="AE40" s="24">
        <v>30</v>
      </c>
      <c r="AF40" s="48">
        <f t="shared" si="32"/>
        <v>0</v>
      </c>
      <c r="AG40" s="278">
        <f t="shared" si="0"/>
        <v>9</v>
      </c>
      <c r="AH40" s="48">
        <f t="shared" si="33"/>
        <v>39</v>
      </c>
      <c r="AI40" s="34">
        <f>V40/12/C40*1000</f>
        <v>30716.7</v>
      </c>
      <c r="AJ40" s="34"/>
      <c r="AK40" s="216">
        <f t="shared" si="3"/>
        <v>368.6</v>
      </c>
      <c r="AL40" s="216">
        <f t="shared" si="6"/>
        <v>184.6</v>
      </c>
      <c r="AM40" s="217">
        <v>0.30199999999999999</v>
      </c>
      <c r="AN40" s="76"/>
      <c r="AO40" s="76"/>
      <c r="AP40" s="76"/>
      <c r="AQ40" s="50">
        <f t="shared" si="7"/>
        <v>0</v>
      </c>
      <c r="AS40" s="66"/>
    </row>
    <row r="41" spans="1:45" ht="25.5" x14ac:dyDescent="0.2">
      <c r="A41" s="278">
        <v>34</v>
      </c>
      <c r="B41" s="218" t="s">
        <v>102</v>
      </c>
      <c r="C41" s="58">
        <v>2</v>
      </c>
      <c r="D41" s="177">
        <v>4.3769999999999998</v>
      </c>
      <c r="E41" s="171">
        <f>C41*D41</f>
        <v>8.75</v>
      </c>
      <c r="F41" s="215">
        <f t="shared" si="21"/>
        <v>105</v>
      </c>
      <c r="G41" s="154"/>
      <c r="H41" s="154">
        <v>3.3</v>
      </c>
      <c r="I41" s="154"/>
      <c r="J41" s="154"/>
      <c r="K41" s="154"/>
      <c r="L41" s="154">
        <v>70</v>
      </c>
      <c r="M41" s="154">
        <f t="shared" si="22"/>
        <v>178.3</v>
      </c>
      <c r="N41" s="171">
        <v>0.49</v>
      </c>
      <c r="O41" s="154">
        <f t="shared" si="23"/>
        <v>87.4</v>
      </c>
      <c r="P41" s="154">
        <f t="shared" si="24"/>
        <v>265.7</v>
      </c>
      <c r="Q41" s="154">
        <f t="shared" si="25"/>
        <v>212.6</v>
      </c>
      <c r="R41" s="154">
        <f t="shared" si="26"/>
        <v>212.6</v>
      </c>
      <c r="S41" s="154">
        <f t="shared" si="27"/>
        <v>22.1</v>
      </c>
      <c r="T41" s="154">
        <f t="shared" si="28"/>
        <v>713</v>
      </c>
      <c r="U41" s="1425"/>
      <c r="V41" s="154">
        <f t="shared" si="5"/>
        <v>713</v>
      </c>
      <c r="W41" s="154">
        <f t="shared" si="20"/>
        <v>215.3</v>
      </c>
      <c r="X41" s="278">
        <v>1</v>
      </c>
      <c r="Y41" s="24">
        <v>30</v>
      </c>
      <c r="Z41" s="48">
        <f>X41*Y41</f>
        <v>30</v>
      </c>
      <c r="AA41" s="278"/>
      <c r="AB41" s="24">
        <v>15</v>
      </c>
      <c r="AC41" s="48">
        <f>AA41*AB41</f>
        <v>0</v>
      </c>
      <c r="AD41" s="278"/>
      <c r="AE41" s="24">
        <v>30</v>
      </c>
      <c r="AF41" s="48">
        <f t="shared" si="32"/>
        <v>0</v>
      </c>
      <c r="AG41" s="278">
        <f t="shared" si="0"/>
        <v>9</v>
      </c>
      <c r="AH41" s="48">
        <f t="shared" si="33"/>
        <v>39</v>
      </c>
      <c r="AI41" s="34">
        <f>V41/12/C41*1000</f>
        <v>29708.3</v>
      </c>
      <c r="AJ41" s="34"/>
      <c r="AK41" s="216">
        <f t="shared" si="3"/>
        <v>356.5</v>
      </c>
      <c r="AL41" s="216">
        <f t="shared" si="6"/>
        <v>182.4</v>
      </c>
      <c r="AM41" s="217">
        <v>0.30199999999999999</v>
      </c>
      <c r="AN41" s="76"/>
      <c r="AO41" s="76"/>
      <c r="AP41" s="76"/>
      <c r="AQ41" s="50">
        <f t="shared" si="7"/>
        <v>0</v>
      </c>
      <c r="AS41" s="66"/>
    </row>
    <row r="42" spans="1:45" x14ac:dyDescent="0.2">
      <c r="A42" s="225" t="s">
        <v>126</v>
      </c>
      <c r="B42" s="218"/>
      <c r="C42" s="58"/>
      <c r="D42" s="177"/>
      <c r="E42" s="171"/>
      <c r="F42" s="215"/>
      <c r="G42" s="154"/>
      <c r="H42" s="154"/>
      <c r="I42" s="154"/>
      <c r="J42" s="154"/>
      <c r="K42" s="154"/>
      <c r="L42" s="154"/>
      <c r="M42" s="154"/>
      <c r="N42" s="171"/>
      <c r="O42" s="154"/>
      <c r="P42" s="154"/>
      <c r="Q42" s="154"/>
      <c r="R42" s="154"/>
      <c r="S42" s="154"/>
      <c r="T42" s="154"/>
      <c r="U42" s="1425"/>
      <c r="V42" s="154"/>
      <c r="W42" s="154">
        <f t="shared" si="20"/>
        <v>0</v>
      </c>
      <c r="X42" s="278"/>
      <c r="Y42" s="24"/>
      <c r="Z42" s="48"/>
      <c r="AA42" s="278"/>
      <c r="AB42" s="24"/>
      <c r="AC42" s="48"/>
      <c r="AD42" s="278"/>
      <c r="AE42" s="24"/>
      <c r="AF42" s="48"/>
      <c r="AG42" s="278">
        <f t="shared" si="0"/>
        <v>0</v>
      </c>
      <c r="AH42" s="48"/>
      <c r="AJ42" s="34"/>
      <c r="AK42" s="216"/>
      <c r="AL42" s="216"/>
      <c r="AM42" s="217"/>
      <c r="AN42" s="76"/>
      <c r="AO42" s="76"/>
      <c r="AP42" s="76"/>
      <c r="AQ42" s="50">
        <f t="shared" si="7"/>
        <v>0</v>
      </c>
      <c r="AS42" s="66"/>
    </row>
    <row r="43" spans="1:45" x14ac:dyDescent="0.2">
      <c r="A43" s="278">
        <v>35</v>
      </c>
      <c r="B43" s="52" t="s">
        <v>17</v>
      </c>
      <c r="C43" s="278">
        <v>1</v>
      </c>
      <c r="D43" s="177">
        <v>12.335000000000001</v>
      </c>
      <c r="E43" s="226">
        <f>C43*D43</f>
        <v>12.34</v>
      </c>
      <c r="F43" s="227">
        <f>E43*12</f>
        <v>148.1</v>
      </c>
      <c r="G43" s="154"/>
      <c r="H43" s="154">
        <v>1.3</v>
      </c>
      <c r="I43" s="154"/>
      <c r="J43" s="154"/>
      <c r="K43" s="154">
        <f>F43*0.4</f>
        <v>59.2</v>
      </c>
      <c r="L43" s="154">
        <f t="shared" si="4"/>
        <v>50.1</v>
      </c>
      <c r="M43" s="154">
        <f>F43+G43+H43+I43+J43+K43+L43</f>
        <v>258.7</v>
      </c>
      <c r="N43" s="171">
        <v>0.47</v>
      </c>
      <c r="O43" s="154">
        <f>M43*N43</f>
        <v>121.6</v>
      </c>
      <c r="P43" s="154">
        <f>M43+O43</f>
        <v>380.3</v>
      </c>
      <c r="Q43" s="154">
        <f>P43*0.8</f>
        <v>304.2</v>
      </c>
      <c r="R43" s="154">
        <f>P43*0.8</f>
        <v>304.2</v>
      </c>
      <c r="S43" s="154">
        <f>(P43+Q43+R43)*0.032</f>
        <v>31.6</v>
      </c>
      <c r="T43" s="154">
        <f>P43+Q43+R43+S43</f>
        <v>1020.3</v>
      </c>
      <c r="U43" s="1425"/>
      <c r="V43" s="154">
        <f t="shared" si="5"/>
        <v>1020.3</v>
      </c>
      <c r="W43" s="154">
        <f>AQ43</f>
        <v>303.7</v>
      </c>
      <c r="X43" s="278">
        <v>1</v>
      </c>
      <c r="Y43" s="24">
        <v>35</v>
      </c>
      <c r="Z43" s="48">
        <f>X43*Y43</f>
        <v>35</v>
      </c>
      <c r="AA43" s="278"/>
      <c r="AB43" s="24">
        <v>17.5</v>
      </c>
      <c r="AC43" s="48">
        <f>AA43*AB43</f>
        <v>0</v>
      </c>
      <c r="AD43" s="278"/>
      <c r="AE43" s="24">
        <v>35</v>
      </c>
      <c r="AF43" s="48">
        <f>AD43*AE43</f>
        <v>0</v>
      </c>
      <c r="AG43" s="278">
        <f t="shared" si="0"/>
        <v>10.5</v>
      </c>
      <c r="AH43" s="48">
        <f>Z43+AC43+AF43+AG43</f>
        <v>45.5</v>
      </c>
      <c r="AI43" s="39">
        <f t="shared" ref="AI43:AI51" si="34">V43/12/C43*1000</f>
        <v>85025</v>
      </c>
      <c r="AJ43" s="34"/>
      <c r="AK43" s="34">
        <f t="shared" ref="AK43:AK51" si="35">V43/C43</f>
        <v>1020.3</v>
      </c>
      <c r="AL43" s="34">
        <f>((979*0.302)+((AK43-979)*0.182))</f>
        <v>303.2</v>
      </c>
      <c r="AM43" s="51">
        <f>AL43/AK43</f>
        <v>0.29699999999999999</v>
      </c>
      <c r="AN43" s="50">
        <f>AK43*0.22</f>
        <v>224.5</v>
      </c>
      <c r="AO43" s="50">
        <f>865*0.029</f>
        <v>25.1</v>
      </c>
      <c r="AP43" s="50">
        <f>AK43*0.053</f>
        <v>54.1</v>
      </c>
      <c r="AQ43" s="50">
        <f t="shared" si="7"/>
        <v>303.7</v>
      </c>
      <c r="AR43" s="51"/>
    </row>
    <row r="44" spans="1:45" x14ac:dyDescent="0.2">
      <c r="A44" s="278">
        <v>36</v>
      </c>
      <c r="B44" s="52" t="s">
        <v>38</v>
      </c>
      <c r="C44" s="167">
        <f>2-0.25</f>
        <v>1.75</v>
      </c>
      <c r="D44" s="177">
        <v>6.2859999999999996</v>
      </c>
      <c r="E44" s="171">
        <f t="shared" ref="E44:E51" si="36">C44*D44</f>
        <v>11</v>
      </c>
      <c r="F44" s="154">
        <f t="shared" ref="F44:F51" si="37">E44*12</f>
        <v>132</v>
      </c>
      <c r="G44" s="154">
        <f>74.5/1000</f>
        <v>0.1</v>
      </c>
      <c r="H44" s="154">
        <v>2</v>
      </c>
      <c r="I44" s="154"/>
      <c r="J44" s="154"/>
      <c r="K44" s="154"/>
      <c r="L44" s="154">
        <f t="shared" si="4"/>
        <v>44.7</v>
      </c>
      <c r="M44" s="154">
        <f t="shared" ref="M44:M51" si="38">F44+G44+H44+I44+J44+K44+L44</f>
        <v>178.8</v>
      </c>
      <c r="N44" s="171">
        <v>0.45</v>
      </c>
      <c r="O44" s="154">
        <f t="shared" ref="O44:O51" si="39">M44*N44</f>
        <v>80.5</v>
      </c>
      <c r="P44" s="154">
        <f t="shared" ref="P44:P51" si="40">M44+O44</f>
        <v>259.3</v>
      </c>
      <c r="Q44" s="154">
        <f t="shared" ref="Q44:Q51" si="41">P44*0.8</f>
        <v>207.4</v>
      </c>
      <c r="R44" s="154">
        <f t="shared" ref="R44:R51" si="42">P44*0.8</f>
        <v>207.4</v>
      </c>
      <c r="S44" s="154">
        <f t="shared" ref="S44:S51" si="43">(P44+Q44+R44)*0.032</f>
        <v>21.6</v>
      </c>
      <c r="T44" s="154">
        <f t="shared" ref="T44:T51" si="44">P44+Q44+R44+S44</f>
        <v>695.7</v>
      </c>
      <c r="U44" s="1425"/>
      <c r="V44" s="154">
        <f t="shared" si="5"/>
        <v>695.7</v>
      </c>
      <c r="W44" s="154">
        <f t="shared" si="20"/>
        <v>210.1</v>
      </c>
      <c r="X44" s="278">
        <v>1</v>
      </c>
      <c r="Y44" s="24">
        <v>35</v>
      </c>
      <c r="Z44" s="48">
        <f t="shared" ref="Z44:Z51" si="45">X44*Y44</f>
        <v>35</v>
      </c>
      <c r="AA44" s="54"/>
      <c r="AB44" s="24">
        <v>17.5</v>
      </c>
      <c r="AC44" s="48">
        <f t="shared" ref="AC44:AC51" si="46">AA44*AB44</f>
        <v>0</v>
      </c>
      <c r="AD44" s="54"/>
      <c r="AE44" s="24">
        <v>35</v>
      </c>
      <c r="AF44" s="48">
        <f t="shared" ref="AF44:AF51" si="47">AD44*AE44</f>
        <v>0</v>
      </c>
      <c r="AG44" s="278">
        <f t="shared" si="0"/>
        <v>10.5</v>
      </c>
      <c r="AH44" s="48">
        <f t="shared" ref="AH44:AH51" si="48">Z44+AC44+AF44+AG44</f>
        <v>45.5</v>
      </c>
      <c r="AI44" s="39">
        <f t="shared" si="34"/>
        <v>33128.57</v>
      </c>
      <c r="AJ44" s="34"/>
      <c r="AK44" s="34">
        <f t="shared" si="35"/>
        <v>397.5</v>
      </c>
      <c r="AL44" s="34">
        <f t="shared" ref="AL44:AL51" si="49">((979*0.302)+((AK44-979)*0.182))</f>
        <v>189.8</v>
      </c>
      <c r="AM44" s="51">
        <v>0.30199999999999999</v>
      </c>
      <c r="AN44" s="50"/>
      <c r="AO44" s="50"/>
      <c r="AP44" s="50"/>
      <c r="AQ44" s="50">
        <f t="shared" si="7"/>
        <v>0</v>
      </c>
      <c r="AR44" s="51"/>
    </row>
    <row r="45" spans="1:45" ht="12" customHeight="1" x14ac:dyDescent="0.2">
      <c r="A45" s="278">
        <v>37</v>
      </c>
      <c r="B45" s="44" t="s">
        <v>104</v>
      </c>
      <c r="C45" s="54">
        <v>1</v>
      </c>
      <c r="D45" s="177">
        <v>8.4730000000000008</v>
      </c>
      <c r="E45" s="171">
        <f t="shared" si="36"/>
        <v>8.4700000000000006</v>
      </c>
      <c r="F45" s="154">
        <f t="shared" si="37"/>
        <v>101.6</v>
      </c>
      <c r="G45" s="154"/>
      <c r="H45" s="154"/>
      <c r="I45" s="154"/>
      <c r="J45" s="154"/>
      <c r="K45" s="154"/>
      <c r="L45" s="154">
        <f t="shared" si="4"/>
        <v>34.4</v>
      </c>
      <c r="M45" s="154">
        <f t="shared" si="38"/>
        <v>136</v>
      </c>
      <c r="N45" s="171">
        <v>0.41</v>
      </c>
      <c r="O45" s="154">
        <f t="shared" si="39"/>
        <v>55.8</v>
      </c>
      <c r="P45" s="154">
        <f t="shared" si="40"/>
        <v>191.8</v>
      </c>
      <c r="Q45" s="154">
        <f t="shared" si="41"/>
        <v>153.4</v>
      </c>
      <c r="R45" s="154">
        <f t="shared" si="42"/>
        <v>153.4</v>
      </c>
      <c r="S45" s="154">
        <f t="shared" si="43"/>
        <v>16</v>
      </c>
      <c r="T45" s="154">
        <f t="shared" si="44"/>
        <v>514.6</v>
      </c>
      <c r="U45" s="1425"/>
      <c r="V45" s="154">
        <f t="shared" si="5"/>
        <v>514.6</v>
      </c>
      <c r="W45" s="154">
        <f t="shared" si="20"/>
        <v>155.4</v>
      </c>
      <c r="X45" s="278">
        <v>1</v>
      </c>
      <c r="Y45" s="24">
        <v>35</v>
      </c>
      <c r="Z45" s="48">
        <f t="shared" si="45"/>
        <v>35</v>
      </c>
      <c r="AA45" s="54"/>
      <c r="AB45" s="24">
        <v>17.5</v>
      </c>
      <c r="AC45" s="48">
        <f t="shared" si="46"/>
        <v>0</v>
      </c>
      <c r="AD45" s="54">
        <v>1</v>
      </c>
      <c r="AE45" s="24">
        <v>35</v>
      </c>
      <c r="AF45" s="48">
        <f t="shared" si="47"/>
        <v>35</v>
      </c>
      <c r="AG45" s="278">
        <f t="shared" si="0"/>
        <v>21</v>
      </c>
      <c r="AH45" s="48">
        <f t="shared" si="48"/>
        <v>91</v>
      </c>
      <c r="AI45" s="39">
        <f t="shared" si="34"/>
        <v>42883.33</v>
      </c>
      <c r="AJ45" s="34"/>
      <c r="AK45" s="34">
        <f t="shared" si="35"/>
        <v>514.6</v>
      </c>
      <c r="AL45" s="34">
        <f t="shared" si="49"/>
        <v>211.1</v>
      </c>
      <c r="AM45" s="51">
        <v>0.30199999999999999</v>
      </c>
      <c r="AN45" s="50"/>
      <c r="AO45" s="50"/>
      <c r="AP45" s="50"/>
      <c r="AQ45" s="50">
        <f t="shared" si="7"/>
        <v>0</v>
      </c>
      <c r="AR45" s="51"/>
    </row>
    <row r="46" spans="1:45" x14ac:dyDescent="0.2">
      <c r="A46" s="278">
        <v>38</v>
      </c>
      <c r="B46" s="52" t="s">
        <v>39</v>
      </c>
      <c r="C46" s="24">
        <v>0.5</v>
      </c>
      <c r="D46" s="177">
        <v>6.2859999999999996</v>
      </c>
      <c r="E46" s="171">
        <f t="shared" si="36"/>
        <v>3.14</v>
      </c>
      <c r="F46" s="154">
        <f t="shared" si="37"/>
        <v>37.700000000000003</v>
      </c>
      <c r="G46" s="154"/>
      <c r="H46" s="154">
        <f>1106.5/1000</f>
        <v>1.1000000000000001</v>
      </c>
      <c r="I46" s="154"/>
      <c r="J46" s="154"/>
      <c r="K46" s="154"/>
      <c r="L46" s="154">
        <f>F46*$L$4</f>
        <v>12.8</v>
      </c>
      <c r="M46" s="154">
        <f t="shared" si="38"/>
        <v>51.6</v>
      </c>
      <c r="N46" s="171">
        <v>0.45</v>
      </c>
      <c r="O46" s="154">
        <f t="shared" si="39"/>
        <v>23.2</v>
      </c>
      <c r="P46" s="154">
        <f t="shared" si="40"/>
        <v>74.8</v>
      </c>
      <c r="Q46" s="154">
        <f t="shared" si="41"/>
        <v>59.8</v>
      </c>
      <c r="R46" s="154">
        <f t="shared" si="42"/>
        <v>59.8</v>
      </c>
      <c r="S46" s="154">
        <f t="shared" si="43"/>
        <v>6.2</v>
      </c>
      <c r="T46" s="154">
        <f t="shared" si="44"/>
        <v>200.6</v>
      </c>
      <c r="U46" s="1425"/>
      <c r="V46" s="154">
        <f t="shared" si="5"/>
        <v>200.6</v>
      </c>
      <c r="W46" s="154">
        <f t="shared" si="20"/>
        <v>60.6</v>
      </c>
      <c r="X46" s="278"/>
      <c r="Y46" s="24">
        <v>35</v>
      </c>
      <c r="Z46" s="48">
        <f t="shared" si="45"/>
        <v>0</v>
      </c>
      <c r="AA46" s="54"/>
      <c r="AB46" s="24">
        <v>17.5</v>
      </c>
      <c r="AC46" s="48">
        <f t="shared" si="46"/>
        <v>0</v>
      </c>
      <c r="AD46" s="54"/>
      <c r="AE46" s="24">
        <v>35</v>
      </c>
      <c r="AF46" s="48">
        <f t="shared" si="47"/>
        <v>0</v>
      </c>
      <c r="AG46" s="278">
        <f t="shared" si="0"/>
        <v>0</v>
      </c>
      <c r="AH46" s="48">
        <f t="shared" si="48"/>
        <v>0</v>
      </c>
      <c r="AI46" s="39">
        <f t="shared" si="34"/>
        <v>33433.33</v>
      </c>
      <c r="AJ46" s="34"/>
      <c r="AK46" s="34">
        <f t="shared" si="35"/>
        <v>401.2</v>
      </c>
      <c r="AL46" s="34">
        <f t="shared" si="49"/>
        <v>190.5</v>
      </c>
      <c r="AM46" s="51">
        <v>0.30199999999999999</v>
      </c>
      <c r="AQ46" s="50">
        <f t="shared" si="7"/>
        <v>0</v>
      </c>
      <c r="AR46" s="51"/>
    </row>
    <row r="47" spans="1:45" x14ac:dyDescent="0.2">
      <c r="A47" s="278">
        <v>39</v>
      </c>
      <c r="B47" s="218" t="s">
        <v>40</v>
      </c>
      <c r="C47" s="54">
        <v>1</v>
      </c>
      <c r="D47" s="177">
        <v>11.061999999999999</v>
      </c>
      <c r="E47" s="171">
        <f t="shared" si="36"/>
        <v>11.06</v>
      </c>
      <c r="F47" s="154">
        <f t="shared" si="37"/>
        <v>132.69999999999999</v>
      </c>
      <c r="G47" s="228">
        <f>131.07/1000</f>
        <v>0.13</v>
      </c>
      <c r="H47" s="154">
        <v>2.1</v>
      </c>
      <c r="I47" s="154"/>
      <c r="J47" s="154"/>
      <c r="K47" s="154">
        <f>D47*2*0.2</f>
        <v>4.4000000000000004</v>
      </c>
      <c r="L47" s="154">
        <f t="shared" si="4"/>
        <v>44.9</v>
      </c>
      <c r="M47" s="154">
        <f t="shared" si="38"/>
        <v>184.2</v>
      </c>
      <c r="N47" s="171">
        <v>0.43</v>
      </c>
      <c r="O47" s="154">
        <f t="shared" si="39"/>
        <v>79.2</v>
      </c>
      <c r="P47" s="154">
        <f t="shared" si="40"/>
        <v>263.39999999999998</v>
      </c>
      <c r="Q47" s="154">
        <f t="shared" si="41"/>
        <v>210.7</v>
      </c>
      <c r="R47" s="154">
        <f t="shared" si="42"/>
        <v>210.7</v>
      </c>
      <c r="S47" s="154">
        <f t="shared" si="43"/>
        <v>21.9</v>
      </c>
      <c r="T47" s="154">
        <f t="shared" si="44"/>
        <v>706.7</v>
      </c>
      <c r="U47" s="1425"/>
      <c r="V47" s="154">
        <f t="shared" si="5"/>
        <v>706.7</v>
      </c>
      <c r="W47" s="154">
        <f t="shared" si="20"/>
        <v>213.4</v>
      </c>
      <c r="X47" s="278"/>
      <c r="Y47" s="24">
        <v>35</v>
      </c>
      <c r="Z47" s="48">
        <f t="shared" si="45"/>
        <v>0</v>
      </c>
      <c r="AA47" s="54"/>
      <c r="AB47" s="24">
        <v>17.5</v>
      </c>
      <c r="AC47" s="48">
        <f t="shared" si="46"/>
        <v>0</v>
      </c>
      <c r="AD47" s="54"/>
      <c r="AE47" s="24">
        <v>35</v>
      </c>
      <c r="AF47" s="48">
        <f t="shared" si="47"/>
        <v>0</v>
      </c>
      <c r="AG47" s="278">
        <f t="shared" si="0"/>
        <v>0</v>
      </c>
      <c r="AH47" s="48">
        <f t="shared" si="48"/>
        <v>0</v>
      </c>
      <c r="AI47" s="39">
        <f t="shared" si="34"/>
        <v>58891.67</v>
      </c>
      <c r="AJ47" s="34"/>
      <c r="AK47" s="34">
        <f t="shared" si="35"/>
        <v>706.7</v>
      </c>
      <c r="AL47" s="34">
        <f t="shared" si="49"/>
        <v>246.1</v>
      </c>
      <c r="AM47" s="51">
        <v>0.30199999999999999</v>
      </c>
      <c r="AN47" s="50"/>
      <c r="AO47" s="50"/>
      <c r="AP47" s="50"/>
      <c r="AQ47" s="50">
        <f t="shared" si="7"/>
        <v>0</v>
      </c>
      <c r="AR47" s="51"/>
    </row>
    <row r="48" spans="1:45" x14ac:dyDescent="0.2">
      <c r="A48" s="278">
        <v>40</v>
      </c>
      <c r="B48" s="218" t="s">
        <v>41</v>
      </c>
      <c r="C48" s="54">
        <v>1</v>
      </c>
      <c r="D48" s="177">
        <v>8.4730000000000008</v>
      </c>
      <c r="E48" s="171">
        <f t="shared" si="36"/>
        <v>8.4700000000000006</v>
      </c>
      <c r="F48" s="154">
        <f t="shared" si="37"/>
        <v>101.6</v>
      </c>
      <c r="G48" s="154">
        <f>100.4/1000</f>
        <v>0.1</v>
      </c>
      <c r="H48" s="154">
        <v>0.5</v>
      </c>
      <c r="I48" s="154"/>
      <c r="J48" s="154"/>
      <c r="K48" s="154">
        <f>D48*8.5*0.2</f>
        <v>14.4</v>
      </c>
      <c r="L48" s="154">
        <f t="shared" si="4"/>
        <v>34.4</v>
      </c>
      <c r="M48" s="154">
        <f t="shared" si="38"/>
        <v>151</v>
      </c>
      <c r="N48" s="171">
        <v>0.41</v>
      </c>
      <c r="O48" s="154">
        <f t="shared" si="39"/>
        <v>61.9</v>
      </c>
      <c r="P48" s="154">
        <f t="shared" si="40"/>
        <v>212.9</v>
      </c>
      <c r="Q48" s="154">
        <f t="shared" si="41"/>
        <v>170.3</v>
      </c>
      <c r="R48" s="154">
        <f t="shared" si="42"/>
        <v>170.3</v>
      </c>
      <c r="S48" s="154">
        <f t="shared" si="43"/>
        <v>17.7</v>
      </c>
      <c r="T48" s="154">
        <f t="shared" si="44"/>
        <v>571.20000000000005</v>
      </c>
      <c r="U48" s="1425"/>
      <c r="V48" s="154">
        <f t="shared" si="5"/>
        <v>571.20000000000005</v>
      </c>
      <c r="W48" s="154">
        <f t="shared" si="20"/>
        <v>172.5</v>
      </c>
      <c r="X48" s="278">
        <v>1</v>
      </c>
      <c r="Y48" s="24">
        <v>35</v>
      </c>
      <c r="Z48" s="48">
        <f t="shared" si="45"/>
        <v>35</v>
      </c>
      <c r="AA48" s="54"/>
      <c r="AB48" s="24">
        <v>17.5</v>
      </c>
      <c r="AC48" s="48">
        <f>AA48*AB48</f>
        <v>0</v>
      </c>
      <c r="AD48" s="54"/>
      <c r="AE48" s="24">
        <v>35</v>
      </c>
      <c r="AF48" s="48">
        <f t="shared" si="47"/>
        <v>0</v>
      </c>
      <c r="AG48" s="278">
        <f t="shared" si="0"/>
        <v>10.5</v>
      </c>
      <c r="AH48" s="48">
        <f t="shared" si="48"/>
        <v>45.5</v>
      </c>
      <c r="AI48" s="39">
        <f t="shared" si="34"/>
        <v>47600</v>
      </c>
      <c r="AJ48" s="34"/>
      <c r="AK48" s="34">
        <f t="shared" si="35"/>
        <v>571.20000000000005</v>
      </c>
      <c r="AL48" s="34">
        <f t="shared" si="49"/>
        <v>221.4</v>
      </c>
      <c r="AM48" s="51">
        <v>0.30199999999999999</v>
      </c>
      <c r="AN48" s="50"/>
      <c r="AO48" s="50"/>
      <c r="AP48" s="50"/>
      <c r="AQ48" s="50">
        <f t="shared" si="7"/>
        <v>0</v>
      </c>
      <c r="AR48" s="51"/>
    </row>
    <row r="49" spans="1:44" x14ac:dyDescent="0.2">
      <c r="A49" s="278">
        <v>41</v>
      </c>
      <c r="B49" s="218" t="s">
        <v>42</v>
      </c>
      <c r="C49" s="24">
        <v>0.5</v>
      </c>
      <c r="D49" s="213">
        <v>11.061999999999999</v>
      </c>
      <c r="E49" s="171">
        <f t="shared" si="36"/>
        <v>5.53</v>
      </c>
      <c r="F49" s="154">
        <f t="shared" si="37"/>
        <v>66.400000000000006</v>
      </c>
      <c r="G49" s="154">
        <f>65.5/1000</f>
        <v>0.1</v>
      </c>
      <c r="H49" s="154">
        <v>3</v>
      </c>
      <c r="I49" s="154"/>
      <c r="J49" s="154"/>
      <c r="K49" s="154"/>
      <c r="L49" s="154">
        <f t="shared" si="4"/>
        <v>22.5</v>
      </c>
      <c r="M49" s="154">
        <f t="shared" si="38"/>
        <v>92</v>
      </c>
      <c r="N49" s="171">
        <v>0.43</v>
      </c>
      <c r="O49" s="154">
        <f t="shared" si="39"/>
        <v>39.6</v>
      </c>
      <c r="P49" s="154">
        <f t="shared" si="40"/>
        <v>131.6</v>
      </c>
      <c r="Q49" s="154">
        <f t="shared" si="41"/>
        <v>105.3</v>
      </c>
      <c r="R49" s="154">
        <f t="shared" si="42"/>
        <v>105.3</v>
      </c>
      <c r="S49" s="154">
        <f t="shared" si="43"/>
        <v>11</v>
      </c>
      <c r="T49" s="154">
        <f t="shared" si="44"/>
        <v>353.2</v>
      </c>
      <c r="U49" s="1425"/>
      <c r="V49" s="154">
        <f t="shared" si="5"/>
        <v>353.2</v>
      </c>
      <c r="W49" s="154">
        <f t="shared" si="20"/>
        <v>106.7</v>
      </c>
      <c r="X49" s="278"/>
      <c r="Y49" s="24">
        <v>35</v>
      </c>
      <c r="Z49" s="48">
        <f t="shared" si="45"/>
        <v>0</v>
      </c>
      <c r="AA49" s="54"/>
      <c r="AB49" s="24">
        <v>17.5</v>
      </c>
      <c r="AC49" s="48">
        <f t="shared" si="46"/>
        <v>0</v>
      </c>
      <c r="AD49" s="54"/>
      <c r="AE49" s="24">
        <v>35</v>
      </c>
      <c r="AF49" s="48">
        <f t="shared" si="47"/>
        <v>0</v>
      </c>
      <c r="AG49" s="278">
        <f t="shared" si="0"/>
        <v>0</v>
      </c>
      <c r="AH49" s="48">
        <f t="shared" si="48"/>
        <v>0</v>
      </c>
      <c r="AI49" s="39">
        <f t="shared" si="34"/>
        <v>58866.67</v>
      </c>
      <c r="AJ49" s="34"/>
      <c r="AK49" s="34">
        <f t="shared" si="35"/>
        <v>706.4</v>
      </c>
      <c r="AL49" s="34">
        <f t="shared" si="49"/>
        <v>246</v>
      </c>
      <c r="AM49" s="51">
        <v>0.30199999999999999</v>
      </c>
      <c r="AO49" s="50"/>
      <c r="AP49" s="50"/>
      <c r="AQ49" s="50">
        <f t="shared" si="7"/>
        <v>0</v>
      </c>
      <c r="AR49" s="51"/>
    </row>
    <row r="50" spans="1:44" x14ac:dyDescent="0.2">
      <c r="A50" s="278">
        <v>42</v>
      </c>
      <c r="B50" s="52" t="s">
        <v>43</v>
      </c>
      <c r="C50" s="167">
        <v>0.25</v>
      </c>
      <c r="D50" s="177">
        <v>8.4730000000000008</v>
      </c>
      <c r="E50" s="171">
        <f t="shared" si="36"/>
        <v>2.12</v>
      </c>
      <c r="F50" s="154">
        <f t="shared" si="37"/>
        <v>25.4</v>
      </c>
      <c r="G50" s="154"/>
      <c r="H50" s="154"/>
      <c r="I50" s="154"/>
      <c r="J50" s="154"/>
      <c r="K50" s="154"/>
      <c r="L50" s="154">
        <f t="shared" si="4"/>
        <v>8.6</v>
      </c>
      <c r="M50" s="154">
        <f t="shared" si="38"/>
        <v>34</v>
      </c>
      <c r="N50" s="171">
        <v>0.41</v>
      </c>
      <c r="O50" s="154">
        <f t="shared" si="39"/>
        <v>13.9</v>
      </c>
      <c r="P50" s="154">
        <f t="shared" si="40"/>
        <v>47.9</v>
      </c>
      <c r="Q50" s="154">
        <f t="shared" si="41"/>
        <v>38.299999999999997</v>
      </c>
      <c r="R50" s="154">
        <f t="shared" si="42"/>
        <v>38.299999999999997</v>
      </c>
      <c r="S50" s="154">
        <f t="shared" si="43"/>
        <v>4</v>
      </c>
      <c r="T50" s="154">
        <f t="shared" si="44"/>
        <v>128.5</v>
      </c>
      <c r="U50" s="1425"/>
      <c r="V50" s="154">
        <f t="shared" si="5"/>
        <v>128.5</v>
      </c>
      <c r="W50" s="154">
        <f t="shared" si="20"/>
        <v>38.799999999999997</v>
      </c>
      <c r="X50" s="278"/>
      <c r="Y50" s="24">
        <v>35</v>
      </c>
      <c r="Z50" s="48">
        <f t="shared" si="45"/>
        <v>0</v>
      </c>
      <c r="AA50" s="54"/>
      <c r="AB50" s="24">
        <v>17.5</v>
      </c>
      <c r="AC50" s="48">
        <f t="shared" si="46"/>
        <v>0</v>
      </c>
      <c r="AD50" s="54"/>
      <c r="AE50" s="24">
        <v>35</v>
      </c>
      <c r="AF50" s="48">
        <f t="shared" si="47"/>
        <v>0</v>
      </c>
      <c r="AG50" s="278">
        <f t="shared" si="0"/>
        <v>0</v>
      </c>
      <c r="AH50" s="48">
        <f t="shared" si="48"/>
        <v>0</v>
      </c>
      <c r="AI50" s="39">
        <f t="shared" si="34"/>
        <v>42833.33</v>
      </c>
      <c r="AJ50" s="34"/>
      <c r="AK50" s="34">
        <f t="shared" si="35"/>
        <v>514</v>
      </c>
      <c r="AL50" s="34">
        <f t="shared" si="49"/>
        <v>211</v>
      </c>
      <c r="AM50" s="51">
        <v>0.30199999999999999</v>
      </c>
      <c r="AN50" s="50"/>
      <c r="AO50" s="50"/>
      <c r="AP50" s="50"/>
      <c r="AQ50" s="50">
        <f t="shared" si="7"/>
        <v>0</v>
      </c>
      <c r="AR50" s="51"/>
    </row>
    <row r="51" spans="1:44" x14ac:dyDescent="0.2">
      <c r="A51" s="278">
        <v>43</v>
      </c>
      <c r="B51" s="229" t="s">
        <v>44</v>
      </c>
      <c r="C51" s="179">
        <f>1-0.25</f>
        <v>0.75</v>
      </c>
      <c r="D51" s="213">
        <v>11.061999999999999</v>
      </c>
      <c r="E51" s="171">
        <f t="shared" si="36"/>
        <v>8.3000000000000007</v>
      </c>
      <c r="F51" s="154">
        <f t="shared" si="37"/>
        <v>99.6</v>
      </c>
      <c r="G51" s="154"/>
      <c r="H51" s="154">
        <v>2.4</v>
      </c>
      <c r="I51" s="154"/>
      <c r="J51" s="154"/>
      <c r="K51" s="154"/>
      <c r="L51" s="154">
        <f t="shared" si="4"/>
        <v>33.700000000000003</v>
      </c>
      <c r="M51" s="154">
        <f t="shared" si="38"/>
        <v>135.69999999999999</v>
      </c>
      <c r="N51" s="171">
        <v>0.43</v>
      </c>
      <c r="O51" s="154">
        <f t="shared" si="39"/>
        <v>58.4</v>
      </c>
      <c r="P51" s="154">
        <f t="shared" si="40"/>
        <v>194.1</v>
      </c>
      <c r="Q51" s="154">
        <f t="shared" si="41"/>
        <v>155.30000000000001</v>
      </c>
      <c r="R51" s="154">
        <f t="shared" si="42"/>
        <v>155.30000000000001</v>
      </c>
      <c r="S51" s="154">
        <f t="shared" si="43"/>
        <v>16.2</v>
      </c>
      <c r="T51" s="154">
        <f t="shared" si="44"/>
        <v>520.9</v>
      </c>
      <c r="U51" s="1425"/>
      <c r="V51" s="154">
        <f>T51*$U$9-0.3</f>
        <v>520.6</v>
      </c>
      <c r="W51" s="154">
        <f t="shared" si="20"/>
        <v>157.19999999999999</v>
      </c>
      <c r="X51" s="278"/>
      <c r="Y51" s="24">
        <v>35</v>
      </c>
      <c r="Z51" s="48">
        <f t="shared" si="45"/>
        <v>0</v>
      </c>
      <c r="AA51" s="54"/>
      <c r="AB51" s="24">
        <v>17.5</v>
      </c>
      <c r="AC51" s="48">
        <f t="shared" si="46"/>
        <v>0</v>
      </c>
      <c r="AD51" s="54"/>
      <c r="AE51" s="24">
        <v>35</v>
      </c>
      <c r="AF51" s="48">
        <f t="shared" si="47"/>
        <v>0</v>
      </c>
      <c r="AG51" s="278">
        <f t="shared" si="0"/>
        <v>0</v>
      </c>
      <c r="AH51" s="48">
        <f t="shared" si="48"/>
        <v>0</v>
      </c>
      <c r="AI51" s="39">
        <f t="shared" si="34"/>
        <v>57844.44</v>
      </c>
      <c r="AJ51" s="34"/>
      <c r="AK51" s="34">
        <f t="shared" si="35"/>
        <v>694.1</v>
      </c>
      <c r="AL51" s="34">
        <f t="shared" si="49"/>
        <v>243.8</v>
      </c>
      <c r="AM51" s="51">
        <v>0.30199999999999999</v>
      </c>
      <c r="AN51" s="50"/>
      <c r="AO51" s="50"/>
      <c r="AP51" s="50"/>
      <c r="AQ51" s="50">
        <f t="shared" si="7"/>
        <v>0</v>
      </c>
      <c r="AR51" s="51"/>
    </row>
    <row r="52" spans="1:44" s="33" customFormat="1" ht="20.25" customHeight="1" x14ac:dyDescent="0.2">
      <c r="A52" s="1438" t="s">
        <v>72</v>
      </c>
      <c r="B52" s="1438"/>
      <c r="C52" s="230">
        <f t="shared" ref="C52:AG52" si="50">SUM(C9:C51)</f>
        <v>59.75</v>
      </c>
      <c r="D52" s="231">
        <f t="shared" si="50"/>
        <v>419</v>
      </c>
      <c r="E52" s="231">
        <f t="shared" si="50"/>
        <v>591.79999999999995</v>
      </c>
      <c r="F52" s="231">
        <f t="shared" si="50"/>
        <v>7100.7</v>
      </c>
      <c r="G52" s="231">
        <f t="shared" si="50"/>
        <v>0.4</v>
      </c>
      <c r="H52" s="231">
        <f t="shared" si="50"/>
        <v>204.3</v>
      </c>
      <c r="I52" s="231">
        <f t="shared" si="50"/>
        <v>0</v>
      </c>
      <c r="J52" s="231">
        <f t="shared" si="50"/>
        <v>93.9</v>
      </c>
      <c r="K52" s="231">
        <f t="shared" si="50"/>
        <v>1647.5</v>
      </c>
      <c r="L52" s="231">
        <f t="shared" si="50"/>
        <v>2508.9</v>
      </c>
      <c r="M52" s="231">
        <f t="shared" si="50"/>
        <v>11555.7</v>
      </c>
      <c r="N52" s="231">
        <f t="shared" si="50"/>
        <v>19.100000000000001</v>
      </c>
      <c r="O52" s="231">
        <f t="shared" si="50"/>
        <v>5402.6</v>
      </c>
      <c r="P52" s="231">
        <f t="shared" si="50"/>
        <v>16958.3</v>
      </c>
      <c r="Q52" s="231">
        <f t="shared" si="50"/>
        <v>13566</v>
      </c>
      <c r="R52" s="231">
        <f t="shared" si="50"/>
        <v>13566</v>
      </c>
      <c r="S52" s="231">
        <f t="shared" si="50"/>
        <v>1410.9</v>
      </c>
      <c r="T52" s="231">
        <f t="shared" si="50"/>
        <v>45501.2</v>
      </c>
      <c r="U52" s="231">
        <f t="shared" si="50"/>
        <v>1</v>
      </c>
      <c r="V52" s="231">
        <f t="shared" si="50"/>
        <v>45500.9</v>
      </c>
      <c r="W52" s="231">
        <f t="shared" si="50"/>
        <v>13348.7</v>
      </c>
      <c r="X52" s="231">
        <f t="shared" si="50"/>
        <v>34</v>
      </c>
      <c r="Y52" s="231">
        <f t="shared" si="50"/>
        <v>1305</v>
      </c>
      <c r="Z52" s="231">
        <f t="shared" si="50"/>
        <v>1040</v>
      </c>
      <c r="AA52" s="231">
        <f t="shared" si="50"/>
        <v>17</v>
      </c>
      <c r="AB52" s="231">
        <f t="shared" si="50"/>
        <v>652.5</v>
      </c>
      <c r="AC52" s="231">
        <f t="shared" si="50"/>
        <v>255</v>
      </c>
      <c r="AD52" s="231">
        <f t="shared" si="50"/>
        <v>6</v>
      </c>
      <c r="AE52" s="231">
        <f t="shared" si="50"/>
        <v>1305</v>
      </c>
      <c r="AF52" s="231">
        <f t="shared" si="50"/>
        <v>185</v>
      </c>
      <c r="AG52" s="231">
        <f t="shared" si="50"/>
        <v>444</v>
      </c>
      <c r="AH52" s="231">
        <f>SUM(AH9:AH51)</f>
        <v>1924</v>
      </c>
      <c r="AN52" s="211"/>
      <c r="AO52" s="211"/>
      <c r="AP52" s="211"/>
      <c r="AQ52" s="50">
        <f t="shared" si="7"/>
        <v>0</v>
      </c>
    </row>
    <row r="53" spans="1:44" ht="17.25" customHeight="1" x14ac:dyDescent="0.2">
      <c r="G53" s="39"/>
      <c r="H53" s="39"/>
      <c r="I53" s="39"/>
      <c r="J53" s="39"/>
      <c r="K53" s="39"/>
      <c r="L53" s="232"/>
      <c r="M53" s="232"/>
      <c r="N53" s="232"/>
      <c r="O53" s="232"/>
      <c r="P53" s="232"/>
      <c r="Q53" s="39"/>
      <c r="R53" s="39"/>
      <c r="S53" s="39"/>
      <c r="T53" s="39"/>
      <c r="V53" s="34"/>
      <c r="W53" s="66"/>
      <c r="X53" s="39"/>
      <c r="AA53" s="39"/>
      <c r="AD53" s="39"/>
      <c r="AG53" s="39"/>
      <c r="AH53" s="39"/>
    </row>
    <row r="54" spans="1:44" s="75" customFormat="1" x14ac:dyDescent="0.2">
      <c r="A54" s="70"/>
      <c r="B54" s="70"/>
      <c r="C54" s="71"/>
      <c r="D54" s="72"/>
      <c r="E54" s="72"/>
      <c r="F54" s="72"/>
      <c r="G54" s="72"/>
      <c r="H54" s="73"/>
      <c r="I54" s="73"/>
      <c r="J54" s="27"/>
      <c r="K54" s="27"/>
      <c r="L54" s="27"/>
      <c r="M54" s="27"/>
      <c r="N54" s="74"/>
      <c r="O54" s="27"/>
      <c r="P54" s="27"/>
      <c r="Q54" s="27"/>
      <c r="R54" s="27"/>
      <c r="S54" s="27"/>
      <c r="T54" s="27"/>
      <c r="U54" s="27"/>
      <c r="V54" s="27"/>
      <c r="W54" s="27"/>
      <c r="X54" s="27"/>
      <c r="Y54" s="27"/>
      <c r="Z54" s="27"/>
      <c r="AA54" s="27"/>
      <c r="AB54" s="27"/>
      <c r="AC54" s="27"/>
      <c r="AD54" s="27"/>
      <c r="AE54" s="27"/>
      <c r="AF54" s="27"/>
      <c r="AG54" s="27"/>
      <c r="AH54" s="27"/>
      <c r="AI54" s="27"/>
      <c r="AJ54" s="76"/>
      <c r="AN54" s="76"/>
      <c r="AO54" s="76"/>
      <c r="AP54" s="76"/>
      <c r="AQ54" s="76"/>
      <c r="AR54" s="76"/>
    </row>
    <row r="55" spans="1:44" s="75" customFormat="1" ht="104.25" customHeight="1" x14ac:dyDescent="0.2">
      <c r="A55" s="70"/>
      <c r="B55" s="70"/>
      <c r="C55" s="71"/>
      <c r="D55" s="77"/>
      <c r="E55" s="77"/>
      <c r="F55" s="27"/>
      <c r="G55" s="1438" t="s">
        <v>140</v>
      </c>
      <c r="H55" s="1438"/>
      <c r="I55" s="1438" t="s">
        <v>144</v>
      </c>
      <c r="J55" s="1438"/>
      <c r="K55" s="1433" t="s">
        <v>145</v>
      </c>
      <c r="L55" s="1434"/>
      <c r="M55" s="1438" t="s">
        <v>128</v>
      </c>
      <c r="N55" s="1438"/>
      <c r="O55" s="70"/>
      <c r="P55" s="70"/>
      <c r="Q55" s="27"/>
      <c r="R55" s="27"/>
      <c r="S55" s="27"/>
      <c r="T55" s="27"/>
      <c r="U55" s="27"/>
      <c r="V55" s="27"/>
      <c r="W55" s="27"/>
      <c r="X55" s="27"/>
      <c r="Y55" s="27"/>
      <c r="Z55" s="27"/>
      <c r="AA55" s="27"/>
      <c r="AB55" s="27"/>
      <c r="AC55" s="27"/>
      <c r="AD55" s="27"/>
      <c r="AE55" s="27"/>
      <c r="AF55" s="27"/>
      <c r="AG55" s="27"/>
      <c r="AH55" s="27"/>
      <c r="AI55" s="27"/>
      <c r="AJ55" s="76"/>
      <c r="AN55" s="76"/>
      <c r="AO55" s="76"/>
      <c r="AP55" s="76"/>
      <c r="AQ55" s="76"/>
      <c r="AR55" s="76"/>
    </row>
    <row r="56" spans="1:44" s="75" customFormat="1" x14ac:dyDescent="0.2">
      <c r="A56" s="70"/>
      <c r="B56" s="70"/>
      <c r="C56" s="71"/>
      <c r="D56" s="77"/>
      <c r="E56" s="77"/>
      <c r="F56" s="27"/>
      <c r="G56" s="279">
        <v>991</v>
      </c>
      <c r="H56" s="279">
        <v>992</v>
      </c>
      <c r="I56" s="279">
        <v>991</v>
      </c>
      <c r="J56" s="279">
        <v>992</v>
      </c>
      <c r="K56" s="279">
        <v>991</v>
      </c>
      <c r="L56" s="279">
        <v>992</v>
      </c>
      <c r="M56" s="279">
        <v>991</v>
      </c>
      <c r="N56" s="279">
        <v>992</v>
      </c>
      <c r="O56" s="79"/>
      <c r="P56" s="79"/>
      <c r="Q56" s="27"/>
      <c r="R56" s="27"/>
      <c r="S56" s="27"/>
      <c r="T56" s="27"/>
      <c r="U56" s="27"/>
      <c r="V56" s="27"/>
      <c r="W56" s="27"/>
      <c r="X56" s="27"/>
      <c r="Y56" s="27"/>
      <c r="Z56" s="27"/>
      <c r="AA56" s="27"/>
      <c r="AB56" s="27"/>
      <c r="AC56" s="27"/>
      <c r="AD56" s="27"/>
      <c r="AE56" s="27"/>
      <c r="AF56" s="27"/>
      <c r="AG56" s="27"/>
      <c r="AH56" s="27"/>
      <c r="AI56" s="27"/>
      <c r="AJ56" s="76"/>
      <c r="AN56" s="76"/>
      <c r="AO56" s="76"/>
      <c r="AP56" s="76"/>
      <c r="AQ56" s="76"/>
      <c r="AR56" s="76"/>
    </row>
    <row r="57" spans="1:44" s="75" customFormat="1" x14ac:dyDescent="0.2">
      <c r="A57" s="70"/>
      <c r="B57" s="70"/>
      <c r="C57" s="71"/>
      <c r="D57" s="77"/>
      <c r="E57" s="77"/>
      <c r="F57" s="27"/>
      <c r="G57" s="29">
        <v>46179.199999999997</v>
      </c>
      <c r="H57" s="29">
        <v>13446.9</v>
      </c>
      <c r="I57" s="29">
        <f>245.4+176.6+93.6+162.7</f>
        <v>678.3</v>
      </c>
      <c r="J57" s="29">
        <f>74.1+53.3+28.3+49.1</f>
        <v>204.8</v>
      </c>
      <c r="K57" s="29">
        <f>V52</f>
        <v>45500.9</v>
      </c>
      <c r="L57" s="29">
        <f>W52</f>
        <v>13348.7</v>
      </c>
      <c r="M57" s="29">
        <f>G57-I57-K57</f>
        <v>0</v>
      </c>
      <c r="N57" s="29">
        <f>H57-J57-L57</f>
        <v>-106.6</v>
      </c>
      <c r="O57" s="80"/>
      <c r="P57" s="80"/>
      <c r="Q57" s="27"/>
      <c r="R57" s="27"/>
      <c r="S57" s="27"/>
      <c r="T57" s="27"/>
      <c r="U57" s="27"/>
      <c r="V57" s="27"/>
      <c r="W57" s="27"/>
      <c r="X57" s="27"/>
      <c r="Y57" s="27"/>
      <c r="Z57" s="27"/>
      <c r="AA57" s="27"/>
      <c r="AB57" s="27"/>
      <c r="AC57" s="27"/>
      <c r="AD57" s="27"/>
      <c r="AE57" s="27"/>
      <c r="AF57" s="27"/>
      <c r="AG57" s="27"/>
      <c r="AH57" s="27"/>
      <c r="AI57" s="27"/>
      <c r="AJ57" s="76"/>
      <c r="AN57" s="76"/>
      <c r="AO57" s="76"/>
      <c r="AP57" s="76"/>
      <c r="AQ57" s="76"/>
      <c r="AR57" s="76"/>
    </row>
    <row r="58" spans="1:44" s="75" customFormat="1" x14ac:dyDescent="0.2">
      <c r="A58" s="70"/>
      <c r="B58" s="70"/>
      <c r="C58" s="71"/>
      <c r="D58" s="77"/>
      <c r="E58" s="77"/>
      <c r="F58" s="27"/>
      <c r="G58" s="27"/>
      <c r="H58" s="73"/>
      <c r="I58" s="73"/>
      <c r="J58" s="27"/>
      <c r="K58" s="27"/>
      <c r="L58" s="27"/>
      <c r="M58" s="27"/>
      <c r="N58" s="74"/>
      <c r="O58" s="27"/>
      <c r="P58" s="27"/>
      <c r="Q58" s="27"/>
      <c r="R58" s="27"/>
      <c r="S58" s="27"/>
      <c r="T58" s="27"/>
      <c r="U58" s="27"/>
      <c r="V58" s="27"/>
      <c r="W58" s="27"/>
      <c r="X58" s="27"/>
      <c r="Y58" s="27"/>
      <c r="Z58" s="27"/>
      <c r="AA58" s="27"/>
      <c r="AB58" s="27"/>
      <c r="AC58" s="27"/>
      <c r="AD58" s="27"/>
      <c r="AE58" s="27"/>
      <c r="AF58" s="27"/>
      <c r="AG58" s="27"/>
      <c r="AH58" s="76"/>
      <c r="AM58" s="76"/>
      <c r="AN58" s="211"/>
      <c r="AO58" s="211"/>
      <c r="AP58" s="211"/>
      <c r="AQ58" s="211"/>
    </row>
    <row r="59" spans="1:44" s="282" customFormat="1" ht="20.25" x14ac:dyDescent="0.2">
      <c r="A59" s="81"/>
      <c r="B59" s="82" t="s">
        <v>138</v>
      </c>
      <c r="C59" s="83"/>
      <c r="D59" s="84"/>
      <c r="E59" s="84"/>
      <c r="F59" s="85"/>
      <c r="G59" s="85"/>
      <c r="H59" s="86"/>
      <c r="I59" s="86"/>
      <c r="J59" s="85"/>
      <c r="K59" s="30" t="s">
        <v>167</v>
      </c>
      <c r="L59" s="85"/>
      <c r="M59" s="85"/>
      <c r="N59" s="87"/>
      <c r="O59" s="85"/>
      <c r="P59" s="85"/>
      <c r="Q59" s="85"/>
      <c r="R59" s="85"/>
      <c r="S59" s="85"/>
      <c r="T59" s="85"/>
      <c r="U59" s="85"/>
      <c r="V59" s="85"/>
      <c r="W59" s="85"/>
      <c r="X59" s="85"/>
      <c r="Y59" s="85"/>
      <c r="Z59" s="85"/>
      <c r="AA59" s="85"/>
      <c r="AB59" s="85"/>
      <c r="AC59" s="85"/>
      <c r="AD59" s="85"/>
      <c r="AE59" s="85"/>
      <c r="AF59" s="85"/>
      <c r="AG59" s="85"/>
      <c r="AH59" s="85"/>
      <c r="AI59" s="85"/>
      <c r="AK59" s="88"/>
      <c r="AL59" s="88"/>
      <c r="AM59" s="88"/>
      <c r="AN59" s="88"/>
      <c r="AO59" s="88"/>
    </row>
    <row r="60" spans="1:44" s="75" customFormat="1" x14ac:dyDescent="0.2">
      <c r="A60" s="70"/>
      <c r="B60" s="70"/>
      <c r="C60" s="71"/>
      <c r="D60" s="77"/>
      <c r="E60" s="77"/>
      <c r="F60" s="27"/>
      <c r="G60" s="27"/>
      <c r="H60" s="73"/>
      <c r="I60" s="73"/>
      <c r="J60" s="27"/>
      <c r="K60" s="27"/>
      <c r="L60" s="27"/>
      <c r="M60" s="27"/>
      <c r="N60" s="74"/>
      <c r="O60" s="27"/>
      <c r="P60" s="27"/>
      <c r="Q60" s="27"/>
      <c r="R60" s="27"/>
      <c r="S60" s="27"/>
      <c r="T60" s="27"/>
      <c r="U60" s="27"/>
      <c r="V60" s="27"/>
      <c r="W60" s="27"/>
      <c r="X60" s="27"/>
      <c r="Y60" s="27"/>
      <c r="Z60" s="27"/>
      <c r="AA60" s="27"/>
      <c r="AB60" s="27"/>
      <c r="AC60" s="27"/>
      <c r="AD60" s="27"/>
      <c r="AE60" s="27"/>
      <c r="AF60" s="27"/>
      <c r="AG60" s="27"/>
      <c r="AH60" s="76"/>
      <c r="AM60" s="76"/>
      <c r="AN60" s="211"/>
      <c r="AO60" s="211"/>
      <c r="AP60" s="211"/>
      <c r="AQ60" s="211"/>
    </row>
    <row r="61" spans="1:44" s="75" customFormat="1" ht="20.25" customHeight="1" x14ac:dyDescent="0.2">
      <c r="A61" s="89" t="s">
        <v>96</v>
      </c>
      <c r="B61" s="89"/>
      <c r="C61" s="31"/>
      <c r="D61" s="31"/>
      <c r="E61" s="31"/>
      <c r="F61" s="31"/>
      <c r="G61" s="31"/>
      <c r="H61" s="31"/>
      <c r="I61" s="31"/>
      <c r="J61" s="31"/>
      <c r="K61" s="31"/>
      <c r="L61" s="90"/>
      <c r="M61" s="90"/>
      <c r="N61" s="91"/>
      <c r="O61" s="90"/>
      <c r="P61" s="90"/>
      <c r="Q61" s="90"/>
      <c r="R61" s="90"/>
      <c r="S61" s="90"/>
      <c r="T61" s="90"/>
      <c r="U61" s="90"/>
      <c r="V61" s="90"/>
      <c r="W61" s="90"/>
      <c r="X61" s="90"/>
      <c r="Y61" s="90"/>
      <c r="Z61" s="90"/>
      <c r="AA61" s="90"/>
      <c r="AB61" s="90"/>
      <c r="AC61" s="90"/>
      <c r="AD61" s="90"/>
      <c r="AE61" s="90"/>
      <c r="AF61" s="90"/>
      <c r="AG61" s="90"/>
      <c r="AH61" s="76"/>
      <c r="AM61" s="76"/>
      <c r="AN61" s="211"/>
      <c r="AO61" s="211"/>
      <c r="AP61" s="211"/>
      <c r="AQ61" s="211"/>
    </row>
    <row r="62" spans="1:44" s="75" customFormat="1" ht="20.25" customHeight="1" x14ac:dyDescent="0.2">
      <c r="A62" s="89" t="s">
        <v>139</v>
      </c>
      <c r="B62" s="92"/>
      <c r="C62" s="93"/>
      <c r="D62" s="93"/>
      <c r="E62" s="32"/>
      <c r="F62" s="32"/>
      <c r="G62" s="32"/>
      <c r="H62" s="32"/>
      <c r="I62" s="32"/>
      <c r="J62" s="32"/>
      <c r="K62" s="32"/>
      <c r="L62" s="90"/>
      <c r="M62" s="90"/>
      <c r="N62" s="90"/>
      <c r="O62" s="90"/>
      <c r="P62" s="90"/>
      <c r="Q62" s="90"/>
      <c r="R62" s="90"/>
      <c r="S62" s="90"/>
      <c r="T62" s="90"/>
      <c r="U62" s="90"/>
      <c r="V62" s="90"/>
      <c r="W62" s="90"/>
      <c r="X62" s="90"/>
      <c r="Y62" s="90"/>
      <c r="Z62" s="90"/>
      <c r="AA62" s="90"/>
      <c r="AB62" s="90"/>
      <c r="AC62" s="90"/>
      <c r="AD62" s="90"/>
      <c r="AE62" s="90"/>
      <c r="AF62" s="90"/>
      <c r="AG62" s="90"/>
      <c r="AH62" s="76"/>
      <c r="AM62" s="76"/>
      <c r="AN62" s="211"/>
      <c r="AO62" s="211"/>
      <c r="AP62" s="211"/>
      <c r="AQ62" s="211"/>
    </row>
    <row r="64" spans="1:44" hidden="1" x14ac:dyDescent="0.2">
      <c r="A64" s="278"/>
      <c r="B64" s="233" t="s">
        <v>121</v>
      </c>
      <c r="C64" s="233">
        <f t="shared" ref="C64:W64" si="51">C9+C10+C12</f>
        <v>3</v>
      </c>
      <c r="D64" s="233">
        <f t="shared" si="51"/>
        <v>61.43</v>
      </c>
      <c r="E64" s="183">
        <f t="shared" si="51"/>
        <v>61.44</v>
      </c>
      <c r="F64" s="233">
        <f t="shared" si="51"/>
        <v>737.2</v>
      </c>
      <c r="G64" s="233">
        <f t="shared" si="51"/>
        <v>0</v>
      </c>
      <c r="H64" s="233">
        <f t="shared" si="51"/>
        <v>8.6999999999999993</v>
      </c>
      <c r="I64" s="233">
        <f t="shared" si="51"/>
        <v>0</v>
      </c>
      <c r="J64" s="233">
        <f t="shared" si="51"/>
        <v>0</v>
      </c>
      <c r="K64" s="233">
        <f t="shared" si="51"/>
        <v>208.9</v>
      </c>
      <c r="L64" s="233">
        <f t="shared" si="51"/>
        <v>249.5</v>
      </c>
      <c r="M64" s="233">
        <f t="shared" si="51"/>
        <v>1204.3</v>
      </c>
      <c r="N64" s="233">
        <f t="shared" si="51"/>
        <v>1.92</v>
      </c>
      <c r="O64" s="233">
        <f t="shared" si="51"/>
        <v>838.4</v>
      </c>
      <c r="P64" s="233">
        <f t="shared" si="51"/>
        <v>2042.7</v>
      </c>
      <c r="Q64" s="233">
        <f t="shared" si="51"/>
        <v>1634.1</v>
      </c>
      <c r="R64" s="233">
        <f t="shared" si="51"/>
        <v>1634.1</v>
      </c>
      <c r="S64" s="233">
        <f t="shared" si="51"/>
        <v>170</v>
      </c>
      <c r="T64" s="233">
        <f t="shared" si="51"/>
        <v>5480.9</v>
      </c>
      <c r="U64" s="233">
        <f t="shared" si="51"/>
        <v>1</v>
      </c>
      <c r="V64" s="233">
        <f t="shared" si="51"/>
        <v>5480.9</v>
      </c>
      <c r="W64" s="233">
        <f t="shared" si="51"/>
        <v>1328</v>
      </c>
      <c r="X64" s="234">
        <f>V64+W64</f>
        <v>6808.9</v>
      </c>
    </row>
    <row r="65" spans="1:26" hidden="1" x14ac:dyDescent="0.2">
      <c r="A65" s="278"/>
      <c r="B65" s="233" t="s">
        <v>122</v>
      </c>
      <c r="C65" s="233" t="e">
        <f>C13+C14+#REF!+C15+C16+C17+C19+C20+C21+C22+C23+C24+C25+C26+C27+C28+C29+C30+C31+C32+C33+C34+C35+C36+C38+#REF!+C39+C40+C41</f>
        <v>#REF!</v>
      </c>
      <c r="D65" s="233" t="e">
        <f>D13+D14+#REF!+D15+D16+D17+D19+D20+D21+D22+D23+D24+D25+D26+D27+D28+D29+D30+D31+D32+D33+D34+D35+D36+D38+#REF!+D39+D40+D41</f>
        <v>#REF!</v>
      </c>
      <c r="E65" s="183" t="e">
        <f>E13+E14+#REF!+E15+E16+E17+E19+E20+E21+E22+E23+E24+E25+E26+E27+E28+E29+E30+E31+E32+E33+E34+E35+E36+E38+#REF!+E39+E40+E41</f>
        <v>#REF!</v>
      </c>
      <c r="F65" s="233" t="e">
        <f>F13+F14+#REF!+F15+F16+F17+F19+F20+F21+F22+F23+F24+F25+F26+F27+F28+F29+F30+F31+F32+F33+F34+F35+F36+F38+#REF!+F39+F40+F41</f>
        <v>#REF!</v>
      </c>
      <c r="G65" s="233" t="e">
        <f>G13+G14+#REF!+G15+G16+G17+G19+G20+G21+G22+G23+G24+G25+G26+G27+G28+G29+G30+G31+G32+G33+G34+G35+G36+G38+#REF!+G39+G40+G41</f>
        <v>#REF!</v>
      </c>
      <c r="H65" s="233" t="e">
        <f>H13+H14+#REF!+H15+H16+H17+H19+H20+H21+H22+H23+H24+H25+H26+H27+H28+H29+H30+H31+H32+H33+H34+H35+H36+H38+#REF!+H39+H40+H41</f>
        <v>#REF!</v>
      </c>
      <c r="I65" s="233" t="e">
        <f>I13+I14+#REF!+I15+I16+I17+I19+I20+I21+I22+I23+I24+I25+I26+I27+I28+I29+I30+I31+I32+I33+I34+I35+I36+I38+#REF!+I39+I40+I41</f>
        <v>#REF!</v>
      </c>
      <c r="J65" s="233" t="e">
        <f>J13+J14+#REF!+J15+J16+J17+J19+J20+J21+J22+J23+J24+J25+J26+J27+J28+J29+J30+J31+J32+J33+J34+J35+J36+J38+#REF!+J39+J40+J41</f>
        <v>#REF!</v>
      </c>
      <c r="K65" s="233" t="e">
        <f>K13+K14+#REF!+K15+K16+K17+K19+K20+K21+K22+K23+K24+K25+K26+K27+K28+K29+K30+K31+K32+K33+K34+K35+K36+K38+#REF!+K39+K40+K41</f>
        <v>#REF!</v>
      </c>
      <c r="L65" s="233" t="e">
        <f>L13+L14+#REF!+L15+L16+L17+L19+L20+L21+L22+L23+L24+L25+L26+L27+L28+L29+L30+L31+L32+L33+L34+L35+L36+L38+#REF!+L39+L40+L41</f>
        <v>#REF!</v>
      </c>
      <c r="M65" s="233" t="e">
        <f>M13+M14+#REF!+M15+M16+M17+M19+M20+M21+M22+M23+M24+M25+M26+M27+M28+M29+M30+M31+M32+M33+M34+M35+M36+M38+#REF!+M39+M40+M41</f>
        <v>#REF!</v>
      </c>
      <c r="N65" s="233" t="e">
        <f>N13+N14+#REF!+N15+N16+N17+N19+N20+N21+N22+N23+N24+N25+N26+N27+N28+N29+N30+N31+N32+N33+N34+N35+N36+N38+#REF!+N39+N40+N41</f>
        <v>#REF!</v>
      </c>
      <c r="O65" s="233" t="e">
        <f>O13+O14+#REF!+O15+O16+O17+O19+O20+O21+O22+O23+O24+O25+O26+O27+O28+O29+O30+O31+O32+O33+O34+O35+O36+O38+#REF!+O39+O40+O41</f>
        <v>#REF!</v>
      </c>
      <c r="P65" s="233" t="e">
        <f>P13+P14+#REF!+P15+P16+P17+P19+P20+P21+P22+P23+P24+P25+P26+P27+P28+P29+P30+P31+P32+P33+P34+P35+P36+P38+#REF!+P39+P40+P41</f>
        <v>#REF!</v>
      </c>
      <c r="Q65" s="233" t="e">
        <f>Q13+Q14+#REF!+Q15+Q16+Q17+Q19+Q20+Q21+Q22+Q23+Q24+Q25+Q26+Q27+Q28+Q29+Q30+Q31+Q32+Q33+Q34+Q35+Q36+Q38+#REF!+Q39+Q40+Q41</f>
        <v>#REF!</v>
      </c>
      <c r="R65" s="233" t="e">
        <f>R13+R14+#REF!+R15+R16+R17+R19+R20+R21+R22+R23+R24+R25+R26+R27+R28+R29+R30+R31+R32+R33+R34+R35+R36+R38+#REF!+R39+R40+R41</f>
        <v>#REF!</v>
      </c>
      <c r="S65" s="233" t="e">
        <f>S13+S14+#REF!+S15+S16+S17+S19+S20+S21+S22+S23+S24+S25+S26+S27+S28+S29+S30+S31+S32+S33+S34+S35+S36+S38+#REF!+S39+S40+S41</f>
        <v>#REF!</v>
      </c>
      <c r="T65" s="233" t="e">
        <f>T13+T14+#REF!+T15+T16+T17+T19+T20+T21+T22+T23+T24+T25+T26+T27+T28+T29+T30+T31+T32+T33+T34+T35+T36+T38+#REF!+T39+T40+T41</f>
        <v>#REF!</v>
      </c>
      <c r="U65" s="233" t="e">
        <f>U13+U14+#REF!+U15+U16+U17+U19+U20+U21+U22+U23+U24+U25+U26+U27+U28+U29+U30+U31+U32+U33+U34+U35+U36+U38+#REF!+U39+U40+U41</f>
        <v>#REF!</v>
      </c>
      <c r="V65" s="233" t="e">
        <f>V13+V14+#REF!+V15+V16+V17+V19+V20+V21+V22+V23+V24+V25+V26+V27+V28+V29+V30+V31+V32+V33+V34+V35+V36+V38+#REF!+V39+V40+V41</f>
        <v>#REF!</v>
      </c>
      <c r="W65" s="233" t="e">
        <f>W13+W14+#REF!+W15+W16+W17+W19+W20+W21+W22+W23+W24+W25+W26+W27+W28+W29+W30+W31+W32+W33+W34+W35+W36+W38+#REF!+W39+W40+W41</f>
        <v>#REF!</v>
      </c>
      <c r="X65" s="234" t="e">
        <f>V65+W65</f>
        <v>#REF!</v>
      </c>
    </row>
    <row r="66" spans="1:26" hidden="1" x14ac:dyDescent="0.2">
      <c r="A66" s="278"/>
      <c r="B66" s="233" t="s">
        <v>123</v>
      </c>
      <c r="C66" s="233" t="e">
        <f>C11+C18+#REF!</f>
        <v>#REF!</v>
      </c>
      <c r="D66" s="233" t="e">
        <f>D11+D18+#REF!</f>
        <v>#REF!</v>
      </c>
      <c r="E66" s="183" t="e">
        <f>E11+E18+#REF!</f>
        <v>#REF!</v>
      </c>
      <c r="F66" s="233" t="e">
        <f>F11+F18+#REF!</f>
        <v>#REF!</v>
      </c>
      <c r="G66" s="233" t="e">
        <f>G11+G18+#REF!</f>
        <v>#REF!</v>
      </c>
      <c r="H66" s="233" t="e">
        <f>H11+H18+#REF!</f>
        <v>#REF!</v>
      </c>
      <c r="I66" s="233" t="e">
        <f>I11+I18+#REF!</f>
        <v>#REF!</v>
      </c>
      <c r="J66" s="233" t="e">
        <f>J11+J18+#REF!</f>
        <v>#REF!</v>
      </c>
      <c r="K66" s="233" t="e">
        <f>K11+K18+#REF!</f>
        <v>#REF!</v>
      </c>
      <c r="L66" s="233" t="e">
        <f>L11+L18+#REF!</f>
        <v>#REF!</v>
      </c>
      <c r="M66" s="233" t="e">
        <f>M11+M18+#REF!</f>
        <v>#REF!</v>
      </c>
      <c r="N66" s="233" t="e">
        <f>N11+N18+#REF!</f>
        <v>#REF!</v>
      </c>
      <c r="O66" s="233" t="e">
        <f>O11+O18+#REF!</f>
        <v>#REF!</v>
      </c>
      <c r="P66" s="233" t="e">
        <f>P11+P18+#REF!</f>
        <v>#REF!</v>
      </c>
      <c r="Q66" s="233" t="e">
        <f>Q11+Q18+#REF!</f>
        <v>#REF!</v>
      </c>
      <c r="R66" s="233" t="e">
        <f>R11+R18+#REF!</f>
        <v>#REF!</v>
      </c>
      <c r="S66" s="233" t="e">
        <f>S11+S18+#REF!</f>
        <v>#REF!</v>
      </c>
      <c r="T66" s="233" t="e">
        <f>T11+T18+#REF!</f>
        <v>#REF!</v>
      </c>
      <c r="U66" s="233" t="e">
        <f>U11+U18+#REF!</f>
        <v>#REF!</v>
      </c>
      <c r="V66" s="233" t="e">
        <f>V11+V18+#REF!</f>
        <v>#REF!</v>
      </c>
      <c r="W66" s="233" t="e">
        <f>W11+W18+#REF!</f>
        <v>#REF!</v>
      </c>
      <c r="X66" s="234" t="e">
        <f>V66+W66</f>
        <v>#REF!</v>
      </c>
    </row>
    <row r="67" spans="1:26" hidden="1" x14ac:dyDescent="0.2">
      <c r="A67" s="278"/>
      <c r="B67" s="233"/>
      <c r="C67" s="233" t="e">
        <f>C64+C65+C66</f>
        <v>#REF!</v>
      </c>
      <c r="D67" s="233" t="e">
        <f t="shared" ref="D67:W67" si="52">D64+D65+D66</f>
        <v>#REF!</v>
      </c>
      <c r="E67" s="183" t="e">
        <f t="shared" si="52"/>
        <v>#REF!</v>
      </c>
      <c r="F67" s="233" t="e">
        <f t="shared" si="52"/>
        <v>#REF!</v>
      </c>
      <c r="G67" s="233" t="e">
        <f t="shared" si="52"/>
        <v>#REF!</v>
      </c>
      <c r="H67" s="233" t="e">
        <f t="shared" si="52"/>
        <v>#REF!</v>
      </c>
      <c r="I67" s="233" t="e">
        <f t="shared" si="52"/>
        <v>#REF!</v>
      </c>
      <c r="J67" s="233" t="e">
        <f t="shared" si="52"/>
        <v>#REF!</v>
      </c>
      <c r="K67" s="233" t="e">
        <f t="shared" si="52"/>
        <v>#REF!</v>
      </c>
      <c r="L67" s="233" t="e">
        <f t="shared" si="52"/>
        <v>#REF!</v>
      </c>
      <c r="M67" s="233" t="e">
        <f t="shared" si="52"/>
        <v>#REF!</v>
      </c>
      <c r="N67" s="233" t="e">
        <f t="shared" si="52"/>
        <v>#REF!</v>
      </c>
      <c r="O67" s="233" t="e">
        <f t="shared" si="52"/>
        <v>#REF!</v>
      </c>
      <c r="P67" s="233" t="e">
        <f t="shared" si="52"/>
        <v>#REF!</v>
      </c>
      <c r="Q67" s="233" t="e">
        <f t="shared" si="52"/>
        <v>#REF!</v>
      </c>
      <c r="R67" s="233" t="e">
        <f t="shared" si="52"/>
        <v>#REF!</v>
      </c>
      <c r="S67" s="233" t="e">
        <f t="shared" si="52"/>
        <v>#REF!</v>
      </c>
      <c r="T67" s="233" t="e">
        <f t="shared" si="52"/>
        <v>#REF!</v>
      </c>
      <c r="U67" s="233" t="e">
        <f t="shared" si="52"/>
        <v>#REF!</v>
      </c>
      <c r="V67" s="233" t="e">
        <f t="shared" si="52"/>
        <v>#REF!</v>
      </c>
      <c r="W67" s="233" t="e">
        <f t="shared" si="52"/>
        <v>#REF!</v>
      </c>
      <c r="X67" s="234" t="e">
        <f>V67+W67</f>
        <v>#REF!</v>
      </c>
      <c r="Y67" s="22" t="e">
        <f>V67+#REF!</f>
        <v>#REF!</v>
      </c>
      <c r="Z67" s="22" t="e">
        <f>W67+#REF!</f>
        <v>#REF!</v>
      </c>
    </row>
    <row r="68" spans="1:26" hidden="1" x14ac:dyDescent="0.2">
      <c r="A68" s="278"/>
      <c r="B68" s="233"/>
      <c r="C68" s="233"/>
      <c r="D68" s="233"/>
      <c r="E68" s="183"/>
      <c r="F68" s="233"/>
      <c r="G68" s="233"/>
      <c r="H68" s="233"/>
      <c r="I68" s="233"/>
      <c r="J68" s="233"/>
      <c r="K68" s="233"/>
      <c r="L68" s="233"/>
      <c r="M68" s="233"/>
      <c r="N68" s="233"/>
      <c r="O68" s="233"/>
      <c r="P68" s="233"/>
      <c r="Q68" s="233"/>
      <c r="R68" s="233"/>
      <c r="S68" s="233"/>
      <c r="T68" s="233"/>
      <c r="U68" s="233"/>
      <c r="V68" s="233"/>
      <c r="W68" s="233"/>
      <c r="X68" s="233"/>
    </row>
    <row r="69" spans="1:26" hidden="1" x14ac:dyDescent="0.2">
      <c r="E69" s="51"/>
    </row>
    <row r="70" spans="1:26" hidden="1" x14ac:dyDescent="0.2">
      <c r="E70" s="51"/>
    </row>
    <row r="71" spans="1:26" hidden="1" x14ac:dyDescent="0.2">
      <c r="E71" s="51"/>
    </row>
    <row r="72" spans="1:26" hidden="1" x14ac:dyDescent="0.2">
      <c r="E72" s="51"/>
    </row>
    <row r="73" spans="1:26" hidden="1" x14ac:dyDescent="0.2">
      <c r="E73" s="51"/>
    </row>
    <row r="74" spans="1:26" hidden="1" x14ac:dyDescent="0.2">
      <c r="E74" s="51"/>
    </row>
    <row r="75" spans="1:26" hidden="1" x14ac:dyDescent="0.2">
      <c r="E75" s="51"/>
    </row>
    <row r="76" spans="1:26" x14ac:dyDescent="0.2">
      <c r="E76" s="51"/>
    </row>
    <row r="77" spans="1:26" x14ac:dyDescent="0.2">
      <c r="E77" s="51"/>
    </row>
    <row r="78" spans="1:26" x14ac:dyDescent="0.2">
      <c r="E78" s="51"/>
    </row>
    <row r="79" spans="1:26" x14ac:dyDescent="0.2">
      <c r="E79" s="51"/>
    </row>
    <row r="80" spans="1:26" x14ac:dyDescent="0.2">
      <c r="E80" s="51"/>
    </row>
    <row r="81" spans="5:5" x14ac:dyDescent="0.2">
      <c r="E81" s="51"/>
    </row>
    <row r="82" spans="5:5" x14ac:dyDescent="0.2">
      <c r="E82" s="51"/>
    </row>
    <row r="83" spans="5:5" x14ac:dyDescent="0.2">
      <c r="E83" s="51"/>
    </row>
    <row r="84" spans="5:5" x14ac:dyDescent="0.2">
      <c r="E84" s="51"/>
    </row>
    <row r="85" spans="5:5" x14ac:dyDescent="0.2">
      <c r="E85" s="51"/>
    </row>
    <row r="86" spans="5:5" x14ac:dyDescent="0.2">
      <c r="E86" s="51"/>
    </row>
    <row r="87" spans="5:5" x14ac:dyDescent="0.2">
      <c r="E87" s="51"/>
    </row>
    <row r="88" spans="5:5" x14ac:dyDescent="0.2">
      <c r="E88" s="51"/>
    </row>
    <row r="89" spans="5:5" x14ac:dyDescent="0.2">
      <c r="E89" s="51"/>
    </row>
    <row r="90" spans="5:5" x14ac:dyDescent="0.2">
      <c r="E90" s="51"/>
    </row>
    <row r="91" spans="5:5" x14ac:dyDescent="0.2">
      <c r="E91" s="51"/>
    </row>
    <row r="92" spans="5:5" x14ac:dyDescent="0.2">
      <c r="E92" s="51"/>
    </row>
    <row r="93" spans="5:5" x14ac:dyDescent="0.2">
      <c r="E93" s="51"/>
    </row>
    <row r="94" spans="5:5" x14ac:dyDescent="0.2">
      <c r="E94" s="51"/>
    </row>
    <row r="95" spans="5:5" x14ac:dyDescent="0.2">
      <c r="E95" s="51"/>
    </row>
    <row r="96" spans="5:5" x14ac:dyDescent="0.2">
      <c r="E96" s="51"/>
    </row>
    <row r="97" spans="5:5" x14ac:dyDescent="0.2">
      <c r="E97" s="51"/>
    </row>
    <row r="98" spans="5:5" x14ac:dyDescent="0.2">
      <c r="E98" s="51"/>
    </row>
    <row r="99" spans="5:5" x14ac:dyDescent="0.2">
      <c r="E99" s="51"/>
    </row>
    <row r="100" spans="5:5" x14ac:dyDescent="0.2">
      <c r="E100" s="51"/>
    </row>
    <row r="101" spans="5:5" x14ac:dyDescent="0.2">
      <c r="E101" s="51"/>
    </row>
    <row r="102" spans="5:5" x14ac:dyDescent="0.2">
      <c r="E102" s="51"/>
    </row>
    <row r="103" spans="5:5" x14ac:dyDescent="0.2">
      <c r="E103" s="51"/>
    </row>
    <row r="104" spans="5:5" x14ac:dyDescent="0.2">
      <c r="E104" s="51"/>
    </row>
    <row r="105" spans="5:5" x14ac:dyDescent="0.2">
      <c r="E105" s="51"/>
    </row>
  </sheetData>
  <autoFilter ref="A8:AS57"/>
  <mergeCells count="38">
    <mergeCell ref="AD6:AF6"/>
    <mergeCell ref="Q6:Q7"/>
    <mergeCell ref="G55:H55"/>
    <mergeCell ref="I55:J55"/>
    <mergeCell ref="K55:L55"/>
    <mergeCell ref="M55:N55"/>
    <mergeCell ref="U9:U51"/>
    <mergeCell ref="A52:B52"/>
    <mergeCell ref="S6:S7"/>
    <mergeCell ref="T6:T7"/>
    <mergeCell ref="U6:U7"/>
    <mergeCell ref="F6:F7"/>
    <mergeCell ref="G6:G7"/>
    <mergeCell ref="H6:H7"/>
    <mergeCell ref="I6:I7"/>
    <mergeCell ref="J6:J7"/>
    <mergeCell ref="L6:L7"/>
    <mergeCell ref="M6:M7"/>
    <mergeCell ref="N6:O6"/>
    <mergeCell ref="P6:P7"/>
    <mergeCell ref="R6:R7"/>
    <mergeCell ref="K6:K7"/>
    <mergeCell ref="AE1:AH1"/>
    <mergeCell ref="A2:AH2"/>
    <mergeCell ref="A3:AH3"/>
    <mergeCell ref="A5:A7"/>
    <mergeCell ref="B5:B7"/>
    <mergeCell ref="C5:C7"/>
    <mergeCell ref="D5:W5"/>
    <mergeCell ref="X5:AH5"/>
    <mergeCell ref="D6:D7"/>
    <mergeCell ref="E6:E7"/>
    <mergeCell ref="AA6:AC6"/>
    <mergeCell ref="AG6:AG7"/>
    <mergeCell ref="AH6:AH7"/>
    <mergeCell ref="V6:V7"/>
    <mergeCell ref="W6:W7"/>
    <mergeCell ref="X6:Z6"/>
  </mergeCells>
  <printOptions horizontalCentered="1"/>
  <pageMargins left="0" right="0" top="0" bottom="0" header="0.31496062992125984" footer="0.31496062992125984"/>
  <pageSetup paperSize="9" scale="36" orientation="landscape"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S66"/>
  <sheetViews>
    <sheetView view="pageBreakPreview" zoomScale="80" zoomScaleNormal="70" zoomScaleSheetLayoutView="80" workbookViewId="0">
      <pane xSplit="3" ySplit="8" topLeftCell="D18"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5" x14ac:dyDescent="0.2"/>
  <cols>
    <col min="1" max="1" width="9.6640625" style="98" customWidth="1"/>
    <col min="2" max="2" width="30.83203125" style="99" customWidth="1"/>
    <col min="3" max="3" width="13.83203125" style="99" customWidth="1"/>
    <col min="4" max="4" width="13.5" style="99" customWidth="1"/>
    <col min="5" max="5" width="13" style="99" customWidth="1"/>
    <col min="6" max="6" width="14.6640625" style="99" customWidth="1"/>
    <col min="7" max="7" width="11.5" style="99" customWidth="1"/>
    <col min="8" max="8" width="11.6640625" style="99" customWidth="1"/>
    <col min="9" max="9" width="11.33203125" style="99" customWidth="1"/>
    <col min="10" max="10" width="16" style="99" customWidth="1"/>
    <col min="11" max="11" width="13.1640625" style="99" customWidth="1"/>
    <col min="12" max="17" width="11.5" style="99" customWidth="1"/>
    <col min="18" max="18" width="11.6640625" style="99" customWidth="1"/>
    <col min="19" max="19" width="14.6640625" style="99" customWidth="1"/>
    <col min="20" max="20" width="12.33203125" style="99" customWidth="1"/>
    <col min="21" max="21" width="11.6640625" style="99" customWidth="1"/>
    <col min="22" max="22" width="13.83203125" style="99" customWidth="1"/>
    <col min="23" max="23" width="13" style="99" customWidth="1"/>
    <col min="24" max="24" width="11" style="99" customWidth="1"/>
    <col min="25" max="25" width="12.1640625" style="99" customWidth="1"/>
    <col min="26" max="26" width="9.6640625" style="99" customWidth="1"/>
    <col min="27" max="27" width="8.5" style="99" customWidth="1"/>
    <col min="28" max="28" width="9.1640625" style="99" customWidth="1"/>
    <col min="29" max="29" width="9" style="99" customWidth="1"/>
    <col min="30" max="30" width="8.5" style="99" customWidth="1"/>
    <col min="31" max="31" width="9.1640625" style="99" customWidth="1"/>
    <col min="32" max="32" width="10" style="99" customWidth="1"/>
    <col min="33" max="33" width="9.33203125" style="99" customWidth="1"/>
    <col min="34" max="34" width="10.6640625" style="99" customWidth="1"/>
    <col min="35" max="35" width="11.1640625" style="99" customWidth="1"/>
    <col min="36" max="36" width="9.33203125" style="99"/>
    <col min="37" max="37" width="10.6640625" style="99" bestFit="1" customWidth="1"/>
    <col min="38" max="38" width="9.33203125" style="99" hidden="1" customWidth="1"/>
    <col min="39" max="39" width="13" style="99" hidden="1" customWidth="1"/>
    <col min="40" max="40" width="14.1640625" style="211" bestFit="1" customWidth="1"/>
    <col min="41" max="42" width="9.33203125" style="211"/>
    <col min="43" max="43" width="11.33203125" style="211" bestFit="1" customWidth="1"/>
    <col min="44" max="16384" width="9.33203125" style="99"/>
  </cols>
  <sheetData>
    <row r="1" spans="1:45" ht="23.25" customHeight="1" x14ac:dyDescent="0.2">
      <c r="AE1" s="1439"/>
      <c r="AF1" s="1439"/>
      <c r="AG1" s="1439"/>
      <c r="AH1" s="1439"/>
    </row>
    <row r="2" spans="1:45" ht="24" customHeight="1" x14ac:dyDescent="0.2">
      <c r="A2" s="1440" t="s">
        <v>161</v>
      </c>
      <c r="B2" s="1440"/>
      <c r="C2" s="1440"/>
      <c r="D2" s="1440"/>
      <c r="E2" s="1440"/>
      <c r="F2" s="1440"/>
      <c r="G2" s="1440"/>
      <c r="H2" s="1440"/>
      <c r="I2" s="1440"/>
      <c r="J2" s="1440"/>
      <c r="K2" s="1440"/>
      <c r="L2" s="1440"/>
      <c r="M2" s="1440"/>
      <c r="N2" s="1440"/>
      <c r="O2" s="1440"/>
      <c r="P2" s="1440"/>
      <c r="Q2" s="1440"/>
      <c r="R2" s="1440"/>
      <c r="S2" s="1440"/>
      <c r="T2" s="1440"/>
      <c r="U2" s="1440"/>
      <c r="V2" s="1440"/>
      <c r="W2" s="1440"/>
      <c r="X2" s="1440"/>
      <c r="Y2" s="1440"/>
      <c r="Z2" s="1440"/>
      <c r="AA2" s="1440"/>
      <c r="AB2" s="1440"/>
      <c r="AC2" s="1440"/>
      <c r="AD2" s="1440"/>
      <c r="AE2" s="1440"/>
      <c r="AF2" s="1440"/>
      <c r="AG2" s="1440"/>
      <c r="AH2" s="1440"/>
      <c r="AI2" s="235"/>
    </row>
    <row r="3" spans="1:45" ht="24.75" customHeight="1" x14ac:dyDescent="0.2">
      <c r="A3" s="1441"/>
      <c r="B3" s="1441"/>
      <c r="C3" s="1441"/>
      <c r="D3" s="1441"/>
      <c r="E3" s="1441"/>
      <c r="F3" s="1441"/>
      <c r="G3" s="1441"/>
      <c r="H3" s="1441"/>
      <c r="I3" s="1441"/>
      <c r="J3" s="1441"/>
      <c r="K3" s="1441"/>
      <c r="L3" s="1441"/>
      <c r="M3" s="1441"/>
      <c r="N3" s="1441"/>
      <c r="O3" s="1441"/>
      <c r="P3" s="1441"/>
      <c r="Q3" s="1441"/>
      <c r="R3" s="1441"/>
      <c r="S3" s="1441"/>
      <c r="T3" s="1441"/>
      <c r="U3" s="1441"/>
      <c r="V3" s="1441"/>
      <c r="W3" s="1441"/>
      <c r="X3" s="1441"/>
      <c r="Y3" s="1441"/>
      <c r="Z3" s="1441"/>
      <c r="AA3" s="1441"/>
      <c r="AB3" s="1441"/>
      <c r="AC3" s="1441"/>
      <c r="AD3" s="1441"/>
      <c r="AE3" s="1441"/>
      <c r="AF3" s="1441"/>
      <c r="AG3" s="1441"/>
      <c r="AH3" s="1441"/>
      <c r="AI3" s="287"/>
    </row>
    <row r="4" spans="1:45" x14ac:dyDescent="0.2">
      <c r="L4" s="38">
        <v>0.15451000000000001</v>
      </c>
    </row>
    <row r="5" spans="1:45" ht="38.25" customHeight="1" x14ac:dyDescent="0.2">
      <c r="A5" s="1442" t="s">
        <v>78</v>
      </c>
      <c r="B5" s="1442" t="s">
        <v>77</v>
      </c>
      <c r="C5" s="1443" t="s">
        <v>0</v>
      </c>
      <c r="D5" s="1443" t="s">
        <v>3</v>
      </c>
      <c r="E5" s="1443"/>
      <c r="F5" s="1443"/>
      <c r="G5" s="1443"/>
      <c r="H5" s="1443"/>
      <c r="I5" s="1443"/>
      <c r="J5" s="1443"/>
      <c r="K5" s="1443"/>
      <c r="L5" s="1443"/>
      <c r="M5" s="1443"/>
      <c r="N5" s="1443"/>
      <c r="O5" s="1443"/>
      <c r="P5" s="1443"/>
      <c r="Q5" s="1443"/>
      <c r="R5" s="1443"/>
      <c r="S5" s="1443"/>
      <c r="T5" s="1443"/>
      <c r="U5" s="1443"/>
      <c r="V5" s="1443"/>
      <c r="W5" s="1443"/>
      <c r="X5" s="1443" t="s">
        <v>4</v>
      </c>
      <c r="Y5" s="1443"/>
      <c r="Z5" s="1443"/>
      <c r="AA5" s="1443"/>
      <c r="AB5" s="1443"/>
      <c r="AC5" s="1443"/>
      <c r="AD5" s="1443"/>
      <c r="AE5" s="1443"/>
      <c r="AF5" s="1443"/>
      <c r="AG5" s="1443"/>
      <c r="AH5" s="1443"/>
    </row>
    <row r="6" spans="1:45" ht="60" customHeight="1" x14ac:dyDescent="0.2">
      <c r="A6" s="1442"/>
      <c r="B6" s="1442"/>
      <c r="C6" s="1443"/>
      <c r="D6" s="1444" t="s">
        <v>68</v>
      </c>
      <c r="E6" s="1444" t="s">
        <v>69</v>
      </c>
      <c r="F6" s="1444" t="s">
        <v>89</v>
      </c>
      <c r="G6" s="1444" t="s">
        <v>1</v>
      </c>
      <c r="H6" s="1444" t="s">
        <v>2</v>
      </c>
      <c r="I6" s="1444" t="s">
        <v>70</v>
      </c>
      <c r="J6" s="1444" t="s">
        <v>61</v>
      </c>
      <c r="K6" s="1444" t="s">
        <v>27</v>
      </c>
      <c r="L6" s="1446" t="s">
        <v>65</v>
      </c>
      <c r="M6" s="1446" t="s">
        <v>86</v>
      </c>
      <c r="N6" s="1447" t="s">
        <v>90</v>
      </c>
      <c r="O6" s="1447"/>
      <c r="P6" s="1447" t="s">
        <v>88</v>
      </c>
      <c r="Q6" s="1446" t="s">
        <v>82</v>
      </c>
      <c r="R6" s="1444" t="s">
        <v>83</v>
      </c>
      <c r="S6" s="1446" t="s">
        <v>87</v>
      </c>
      <c r="T6" s="1444" t="s">
        <v>84</v>
      </c>
      <c r="U6" s="1444" t="s">
        <v>9</v>
      </c>
      <c r="V6" s="1444" t="s">
        <v>7</v>
      </c>
      <c r="W6" s="1444" t="s">
        <v>85</v>
      </c>
      <c r="X6" s="1443" t="s">
        <v>10</v>
      </c>
      <c r="Y6" s="1443"/>
      <c r="Z6" s="1443"/>
      <c r="AA6" s="1443" t="s">
        <v>11</v>
      </c>
      <c r="AB6" s="1443"/>
      <c r="AC6" s="1443"/>
      <c r="AD6" s="1443" t="s">
        <v>12</v>
      </c>
      <c r="AE6" s="1443"/>
      <c r="AF6" s="1443"/>
      <c r="AG6" s="1443" t="s">
        <v>13</v>
      </c>
      <c r="AH6" s="1443" t="s">
        <v>73</v>
      </c>
    </row>
    <row r="7" spans="1:45" ht="97.5" customHeight="1" x14ac:dyDescent="0.2">
      <c r="A7" s="1442"/>
      <c r="B7" s="1442"/>
      <c r="C7" s="1443"/>
      <c r="D7" s="1444"/>
      <c r="E7" s="1444"/>
      <c r="F7" s="1444"/>
      <c r="G7" s="1444"/>
      <c r="H7" s="1444"/>
      <c r="I7" s="1444"/>
      <c r="J7" s="1444"/>
      <c r="K7" s="1444"/>
      <c r="L7" s="1446" t="s">
        <v>66</v>
      </c>
      <c r="M7" s="1446"/>
      <c r="N7" s="286" t="s">
        <v>80</v>
      </c>
      <c r="O7" s="286" t="s">
        <v>81</v>
      </c>
      <c r="P7" s="1447"/>
      <c r="Q7" s="1446"/>
      <c r="R7" s="1444"/>
      <c r="S7" s="1446" t="s">
        <v>67</v>
      </c>
      <c r="T7" s="1444"/>
      <c r="U7" s="1444"/>
      <c r="V7" s="1444"/>
      <c r="W7" s="1444"/>
      <c r="X7" s="285" t="s">
        <v>5</v>
      </c>
      <c r="Y7" s="285" t="s">
        <v>6</v>
      </c>
      <c r="Z7" s="285" t="s">
        <v>74</v>
      </c>
      <c r="AA7" s="285" t="s">
        <v>5</v>
      </c>
      <c r="AB7" s="285" t="s">
        <v>6</v>
      </c>
      <c r="AC7" s="285" t="s">
        <v>75</v>
      </c>
      <c r="AD7" s="285" t="s">
        <v>5</v>
      </c>
      <c r="AE7" s="285" t="s">
        <v>6</v>
      </c>
      <c r="AF7" s="285" t="s">
        <v>76</v>
      </c>
      <c r="AG7" s="1443"/>
      <c r="AH7" s="1443"/>
      <c r="AK7" s="98" t="s">
        <v>64</v>
      </c>
      <c r="AL7" s="98" t="s">
        <v>62</v>
      </c>
      <c r="AM7" s="98" t="s">
        <v>63</v>
      </c>
    </row>
    <row r="8" spans="1:45" ht="15.75" customHeight="1" x14ac:dyDescent="0.2">
      <c r="A8" s="284">
        <v>1</v>
      </c>
      <c r="B8" s="284">
        <v>2</v>
      </c>
      <c r="C8" s="284">
        <v>3</v>
      </c>
      <c r="D8" s="284">
        <v>4</v>
      </c>
      <c r="E8" s="284">
        <v>5</v>
      </c>
      <c r="F8" s="284">
        <v>6</v>
      </c>
      <c r="G8" s="284">
        <v>7</v>
      </c>
      <c r="H8" s="284">
        <v>8</v>
      </c>
      <c r="I8" s="284">
        <v>9</v>
      </c>
      <c r="J8" s="284">
        <v>10</v>
      </c>
      <c r="K8" s="284">
        <v>11</v>
      </c>
      <c r="L8" s="284">
        <v>12</v>
      </c>
      <c r="M8" s="284">
        <v>13</v>
      </c>
      <c r="N8" s="284">
        <v>14</v>
      </c>
      <c r="O8" s="284">
        <v>15</v>
      </c>
      <c r="P8" s="284">
        <v>16</v>
      </c>
      <c r="Q8" s="284">
        <v>17</v>
      </c>
      <c r="R8" s="284">
        <v>18</v>
      </c>
      <c r="S8" s="284">
        <v>19</v>
      </c>
      <c r="T8" s="284">
        <v>20</v>
      </c>
      <c r="U8" s="284">
        <v>21</v>
      </c>
      <c r="V8" s="284">
        <v>22</v>
      </c>
      <c r="W8" s="284">
        <v>23</v>
      </c>
      <c r="X8" s="284">
        <v>25</v>
      </c>
      <c r="Y8" s="284">
        <v>26</v>
      </c>
      <c r="Z8" s="284">
        <v>27</v>
      </c>
      <c r="AA8" s="284">
        <v>28</v>
      </c>
      <c r="AB8" s="284">
        <v>29</v>
      </c>
      <c r="AC8" s="284">
        <v>30</v>
      </c>
      <c r="AD8" s="284">
        <v>31</v>
      </c>
      <c r="AE8" s="284">
        <v>32</v>
      </c>
      <c r="AF8" s="284">
        <v>33</v>
      </c>
      <c r="AG8" s="284">
        <v>34</v>
      </c>
      <c r="AH8" s="284">
        <v>35</v>
      </c>
      <c r="AN8" s="212" t="s">
        <v>116</v>
      </c>
      <c r="AO8" s="212" t="s">
        <v>117</v>
      </c>
      <c r="AP8" s="212" t="s">
        <v>118</v>
      </c>
      <c r="AQ8" s="212" t="s">
        <v>119</v>
      </c>
    </row>
    <row r="9" spans="1:45" ht="16.5" customHeight="1" x14ac:dyDescent="0.2">
      <c r="A9" s="284">
        <v>1</v>
      </c>
      <c r="B9" s="236" t="s">
        <v>14</v>
      </c>
      <c r="C9" s="284">
        <v>1</v>
      </c>
      <c r="D9" s="237">
        <v>25.672999999999998</v>
      </c>
      <c r="E9" s="169">
        <f t="shared" ref="E9:E24" si="0">C9*D9</f>
        <v>25.67</v>
      </c>
      <c r="F9" s="170">
        <f t="shared" ref="F9:F24" si="1">E9*12</f>
        <v>308</v>
      </c>
      <c r="G9" s="95"/>
      <c r="H9" s="95"/>
      <c r="I9" s="95"/>
      <c r="J9" s="95"/>
      <c r="K9" s="95">
        <f>F9*0.3</f>
        <v>92.4</v>
      </c>
      <c r="L9" s="95">
        <f>F9*$L$4</f>
        <v>47.6</v>
      </c>
      <c r="M9" s="95">
        <f t="shared" ref="M9:M24" si="2">F9+G9+H9+I9+J9+K9+L9</f>
        <v>448</v>
      </c>
      <c r="N9" s="111">
        <v>0.42</v>
      </c>
      <c r="O9" s="95">
        <f t="shared" ref="O9:O24" si="3">M9*N9</f>
        <v>188.2</v>
      </c>
      <c r="P9" s="95">
        <f t="shared" ref="P9:P24" si="4">M9+O9</f>
        <v>636.20000000000005</v>
      </c>
      <c r="Q9" s="95">
        <f t="shared" ref="Q9:Q24" si="5">P9*0.8</f>
        <v>509</v>
      </c>
      <c r="R9" s="95">
        <f t="shared" ref="R9:R24" si="6">P9*0.8</f>
        <v>509</v>
      </c>
      <c r="S9" s="95">
        <f t="shared" ref="S9:S24" si="7">(P9+Q9+R9)*0.032</f>
        <v>52.9</v>
      </c>
      <c r="T9" s="95">
        <f t="shared" ref="T9:T24" si="8">P9+Q9+R9+S9</f>
        <v>1707.1</v>
      </c>
      <c r="U9" s="1826">
        <v>1</v>
      </c>
      <c r="V9" s="95">
        <f>T9*$U$9</f>
        <v>1707.1</v>
      </c>
      <c r="W9" s="95">
        <f>AQ9</f>
        <v>424.3</v>
      </c>
      <c r="X9" s="284">
        <v>1</v>
      </c>
      <c r="Y9" s="112">
        <v>30</v>
      </c>
      <c r="Z9" s="113">
        <f t="shared" ref="Z9:Z24" si="9">X9*Y9</f>
        <v>30</v>
      </c>
      <c r="AA9" s="284"/>
      <c r="AB9" s="112">
        <v>15</v>
      </c>
      <c r="AC9" s="113">
        <f t="shared" ref="AC9:AC24" si="10">AA9*AB9</f>
        <v>0</v>
      </c>
      <c r="AD9" s="284">
        <v>1</v>
      </c>
      <c r="AE9" s="112">
        <v>30</v>
      </c>
      <c r="AF9" s="113">
        <f t="shared" ref="AF9:AF24" si="11">AD9*AE9</f>
        <v>30</v>
      </c>
      <c r="AG9" s="113">
        <f t="shared" ref="AG9:AG24" si="12">(Z9+AC9+AF9)*1%*30</f>
        <v>18</v>
      </c>
      <c r="AH9" s="113">
        <f t="shared" ref="AH9:AH24" si="13">Z9+AC9+AF9+AG9</f>
        <v>78</v>
      </c>
      <c r="AI9" s="114">
        <f t="shared" ref="AI9:AI17" si="14">V9/12/C9*1000</f>
        <v>142258.29999999999</v>
      </c>
      <c r="AK9" s="114">
        <f t="shared" ref="AK9:AK24" si="15">V9/C9</f>
        <v>1707.1</v>
      </c>
      <c r="AL9" s="114">
        <f>((979*0.302)+((AK9-979)*0.182))</f>
        <v>428.2</v>
      </c>
      <c r="AM9" s="115">
        <f>AL9/AK9</f>
        <v>0.251</v>
      </c>
      <c r="AN9" s="50">
        <f>1150*0.22+(AK9-1150)*0.1</f>
        <v>308.7</v>
      </c>
      <c r="AO9" s="50">
        <f>865*0.029</f>
        <v>25.1</v>
      </c>
      <c r="AP9" s="50">
        <f>AK9*0.053</f>
        <v>90.5</v>
      </c>
      <c r="AQ9" s="50">
        <f t="shared" ref="AQ9:AQ24" si="16">SUM(AN9:AP9)*C9</f>
        <v>424.3</v>
      </c>
      <c r="AS9" s="99">
        <f t="shared" ref="AS9:AS17" si="17">D9*1.5</f>
        <v>38.509500000000003</v>
      </c>
    </row>
    <row r="10" spans="1:45" x14ac:dyDescent="0.2">
      <c r="A10" s="284">
        <v>2</v>
      </c>
      <c r="B10" s="236" t="s">
        <v>127</v>
      </c>
      <c r="C10" s="284">
        <v>1</v>
      </c>
      <c r="D10" s="237">
        <v>17.971</v>
      </c>
      <c r="E10" s="169">
        <f>C10*D10</f>
        <v>17.97</v>
      </c>
      <c r="F10" s="170">
        <f t="shared" si="1"/>
        <v>215.6</v>
      </c>
      <c r="G10" s="95"/>
      <c r="H10" s="95">
        <v>11.2</v>
      </c>
      <c r="I10" s="95"/>
      <c r="J10" s="95"/>
      <c r="K10" s="95">
        <f>F10*0.3+D10*0.05*6.5</f>
        <v>70.5</v>
      </c>
      <c r="L10" s="95">
        <f t="shared" ref="L10:L23" si="18">F10*$L$4</f>
        <v>33.299999999999997</v>
      </c>
      <c r="M10" s="95">
        <f t="shared" si="2"/>
        <v>330.6</v>
      </c>
      <c r="N10" s="111">
        <v>0.47</v>
      </c>
      <c r="O10" s="95">
        <f t="shared" si="3"/>
        <v>155.4</v>
      </c>
      <c r="P10" s="95">
        <f t="shared" si="4"/>
        <v>486</v>
      </c>
      <c r="Q10" s="95">
        <f t="shared" si="5"/>
        <v>388.8</v>
      </c>
      <c r="R10" s="95">
        <f t="shared" si="6"/>
        <v>388.8</v>
      </c>
      <c r="S10" s="95">
        <f t="shared" si="7"/>
        <v>40.4</v>
      </c>
      <c r="T10" s="95">
        <f t="shared" si="8"/>
        <v>1304</v>
      </c>
      <c r="U10" s="1827"/>
      <c r="V10" s="95">
        <f>T10*$U$9</f>
        <v>1304</v>
      </c>
      <c r="W10" s="95">
        <f>AQ10</f>
        <v>362.6</v>
      </c>
      <c r="X10" s="284">
        <v>1</v>
      </c>
      <c r="Y10" s="112">
        <v>30</v>
      </c>
      <c r="Z10" s="113">
        <f t="shared" si="9"/>
        <v>30</v>
      </c>
      <c r="AA10" s="284"/>
      <c r="AB10" s="112">
        <v>15</v>
      </c>
      <c r="AC10" s="113">
        <f t="shared" si="10"/>
        <v>0</v>
      </c>
      <c r="AD10" s="284"/>
      <c r="AE10" s="112">
        <v>30</v>
      </c>
      <c r="AF10" s="113">
        <f t="shared" si="11"/>
        <v>0</v>
      </c>
      <c r="AG10" s="113">
        <f t="shared" si="12"/>
        <v>9</v>
      </c>
      <c r="AH10" s="113">
        <f t="shared" si="13"/>
        <v>39</v>
      </c>
      <c r="AI10" s="114">
        <f t="shared" si="14"/>
        <v>108666.7</v>
      </c>
      <c r="AK10" s="114">
        <f t="shared" si="15"/>
        <v>1304</v>
      </c>
      <c r="AL10" s="114">
        <f t="shared" ref="AL10:AL24" si="19">((979*0.302)+((AK10-979)*0.182))</f>
        <v>354.8</v>
      </c>
      <c r="AM10" s="115">
        <f>AL10/AK10</f>
        <v>0.27200000000000002</v>
      </c>
      <c r="AN10" s="50">
        <f>1150*0.22+(AK10-1150)*0.1</f>
        <v>268.39999999999998</v>
      </c>
      <c r="AO10" s="50">
        <f>865*0.029</f>
        <v>25.1</v>
      </c>
      <c r="AP10" s="50">
        <f>AK10*0.053</f>
        <v>69.099999999999994</v>
      </c>
      <c r="AQ10" s="50">
        <f t="shared" si="16"/>
        <v>362.6</v>
      </c>
      <c r="AS10" s="99">
        <f t="shared" si="17"/>
        <v>26.956499999999998</v>
      </c>
    </row>
    <row r="11" spans="1:45" x14ac:dyDescent="0.2">
      <c r="A11" s="284">
        <v>3</v>
      </c>
      <c r="B11" s="236" t="s">
        <v>23</v>
      </c>
      <c r="C11" s="238">
        <v>4</v>
      </c>
      <c r="D11" s="237">
        <v>11.061999999999999</v>
      </c>
      <c r="E11" s="111">
        <f t="shared" si="0"/>
        <v>44.25</v>
      </c>
      <c r="F11" s="95">
        <f t="shared" si="1"/>
        <v>531</v>
      </c>
      <c r="G11" s="95"/>
      <c r="H11" s="95">
        <f>7.01+7.789+7.01</f>
        <v>21.8</v>
      </c>
      <c r="I11" s="95"/>
      <c r="J11" s="95"/>
      <c r="K11" s="95">
        <f>F11*0.25*2+F11*0.3+D11*0.05*11.5</f>
        <v>431.2</v>
      </c>
      <c r="L11" s="95">
        <f t="shared" si="18"/>
        <v>82</v>
      </c>
      <c r="M11" s="95">
        <f t="shared" si="2"/>
        <v>1066</v>
      </c>
      <c r="N11" s="111">
        <v>0.43</v>
      </c>
      <c r="O11" s="95">
        <f t="shared" si="3"/>
        <v>458.4</v>
      </c>
      <c r="P11" s="95">
        <f t="shared" si="4"/>
        <v>1524.4</v>
      </c>
      <c r="Q11" s="95">
        <f t="shared" si="5"/>
        <v>1219.5</v>
      </c>
      <c r="R11" s="95">
        <f t="shared" si="6"/>
        <v>1219.5</v>
      </c>
      <c r="S11" s="95">
        <f t="shared" si="7"/>
        <v>126.8</v>
      </c>
      <c r="T11" s="95">
        <f t="shared" si="8"/>
        <v>4090.2</v>
      </c>
      <c r="U11" s="1827"/>
      <c r="V11" s="95">
        <f t="shared" ref="V11:V23" si="20">T11*$U$9</f>
        <v>4090.2</v>
      </c>
      <c r="W11" s="95">
        <f>AQ11</f>
        <v>1217.2</v>
      </c>
      <c r="X11" s="239">
        <v>2</v>
      </c>
      <c r="Y11" s="240">
        <v>30</v>
      </c>
      <c r="Z11" s="241">
        <f t="shared" si="9"/>
        <v>60</v>
      </c>
      <c r="AA11" s="239">
        <v>1</v>
      </c>
      <c r="AB11" s="240">
        <v>15</v>
      </c>
      <c r="AC11" s="241">
        <f t="shared" si="10"/>
        <v>15</v>
      </c>
      <c r="AD11" s="239">
        <v>1</v>
      </c>
      <c r="AE11" s="240">
        <v>30</v>
      </c>
      <c r="AF11" s="241">
        <f t="shared" si="11"/>
        <v>30</v>
      </c>
      <c r="AG11" s="241">
        <f t="shared" si="12"/>
        <v>31.5</v>
      </c>
      <c r="AH11" s="241">
        <f t="shared" si="13"/>
        <v>136.5</v>
      </c>
      <c r="AI11" s="114">
        <f t="shared" si="14"/>
        <v>85212.5</v>
      </c>
      <c r="AK11" s="114">
        <f t="shared" si="15"/>
        <v>1022.6</v>
      </c>
      <c r="AL11" s="114">
        <f t="shared" si="19"/>
        <v>303.60000000000002</v>
      </c>
      <c r="AM11" s="115">
        <v>0.30199999999999999</v>
      </c>
      <c r="AN11" s="50">
        <f t="shared" ref="AN11:AN24" si="21">AK11*0.22</f>
        <v>225</v>
      </c>
      <c r="AO11" s="50">
        <f>865*0.029</f>
        <v>25.1</v>
      </c>
      <c r="AP11" s="50">
        <f>AK11*0.053</f>
        <v>54.2</v>
      </c>
      <c r="AQ11" s="50">
        <f t="shared" si="16"/>
        <v>1217.2</v>
      </c>
      <c r="AS11" s="99">
        <f t="shared" si="17"/>
        <v>16.593</v>
      </c>
    </row>
    <row r="12" spans="1:45" x14ac:dyDescent="0.2">
      <c r="A12" s="284">
        <v>4</v>
      </c>
      <c r="B12" s="236" t="s">
        <v>47</v>
      </c>
      <c r="C12" s="238">
        <v>1</v>
      </c>
      <c r="D12" s="237">
        <v>6.2859999999999996</v>
      </c>
      <c r="E12" s="111">
        <f t="shared" si="0"/>
        <v>6.29</v>
      </c>
      <c r="F12" s="95">
        <f t="shared" si="1"/>
        <v>75.5</v>
      </c>
      <c r="G12" s="95"/>
      <c r="H12" s="95"/>
      <c r="I12" s="95"/>
      <c r="J12" s="95"/>
      <c r="K12" s="95"/>
      <c r="L12" s="95">
        <f t="shared" si="18"/>
        <v>11.7</v>
      </c>
      <c r="M12" s="95">
        <f t="shared" si="2"/>
        <v>87.2</v>
      </c>
      <c r="N12" s="111">
        <v>0.45</v>
      </c>
      <c r="O12" s="95">
        <f t="shared" si="3"/>
        <v>39.200000000000003</v>
      </c>
      <c r="P12" s="95">
        <f t="shared" si="4"/>
        <v>126.4</v>
      </c>
      <c r="Q12" s="95">
        <f t="shared" si="5"/>
        <v>101.1</v>
      </c>
      <c r="R12" s="95">
        <f t="shared" si="6"/>
        <v>101.1</v>
      </c>
      <c r="S12" s="95">
        <f t="shared" si="7"/>
        <v>10.5</v>
      </c>
      <c r="T12" s="95">
        <f t="shared" si="8"/>
        <v>339.1</v>
      </c>
      <c r="U12" s="1827"/>
      <c r="V12" s="95">
        <f t="shared" si="20"/>
        <v>339.1</v>
      </c>
      <c r="W12" s="95">
        <f t="shared" ref="W12:W24" si="22">V12*0.302</f>
        <v>102.4</v>
      </c>
      <c r="X12" s="239"/>
      <c r="Y12" s="240">
        <v>30</v>
      </c>
      <c r="Z12" s="241">
        <f t="shared" si="9"/>
        <v>0</v>
      </c>
      <c r="AA12" s="239"/>
      <c r="AB12" s="240">
        <v>15</v>
      </c>
      <c r="AC12" s="241">
        <f t="shared" si="10"/>
        <v>0</v>
      </c>
      <c r="AD12" s="239"/>
      <c r="AE12" s="240">
        <v>30</v>
      </c>
      <c r="AF12" s="241">
        <f t="shared" si="11"/>
        <v>0</v>
      </c>
      <c r="AG12" s="241">
        <f t="shared" si="12"/>
        <v>0</v>
      </c>
      <c r="AH12" s="241">
        <f t="shared" si="13"/>
        <v>0</v>
      </c>
      <c r="AI12" s="114">
        <f t="shared" si="14"/>
        <v>28258.3</v>
      </c>
      <c r="AK12" s="114">
        <f t="shared" si="15"/>
        <v>339.1</v>
      </c>
      <c r="AL12" s="114">
        <f t="shared" si="19"/>
        <v>179.2</v>
      </c>
      <c r="AM12" s="115">
        <v>0.30199999999999999</v>
      </c>
      <c r="AN12" s="50">
        <f t="shared" si="21"/>
        <v>74.599999999999994</v>
      </c>
      <c r="AO12" s="50"/>
      <c r="AP12" s="50">
        <f t="shared" ref="AP12:AP24" si="23">AK12*0.053</f>
        <v>18</v>
      </c>
      <c r="AQ12" s="50">
        <f t="shared" si="16"/>
        <v>92.6</v>
      </c>
      <c r="AR12" s="22"/>
      <c r="AS12" s="99">
        <f t="shared" si="17"/>
        <v>9.4290000000000003</v>
      </c>
    </row>
    <row r="13" spans="1:45" s="33" customFormat="1" x14ac:dyDescent="0.2">
      <c r="A13" s="284">
        <v>5</v>
      </c>
      <c r="B13" s="52" t="s">
        <v>48</v>
      </c>
      <c r="C13" s="278">
        <v>1</v>
      </c>
      <c r="D13" s="177">
        <v>11.061999999999999</v>
      </c>
      <c r="E13" s="171">
        <f t="shared" si="0"/>
        <v>11.06</v>
      </c>
      <c r="F13" s="154">
        <f t="shared" si="1"/>
        <v>132.69999999999999</v>
      </c>
      <c r="G13" s="154"/>
      <c r="H13" s="154">
        <f>7010.2/1000</f>
        <v>7</v>
      </c>
      <c r="I13" s="154"/>
      <c r="J13" s="154"/>
      <c r="K13" s="154">
        <f>F13*0.4</f>
        <v>53.1</v>
      </c>
      <c r="L13" s="95">
        <f t="shared" si="18"/>
        <v>20.5</v>
      </c>
      <c r="M13" s="154">
        <f t="shared" si="2"/>
        <v>213.3</v>
      </c>
      <c r="N13" s="111">
        <v>0.47</v>
      </c>
      <c r="O13" s="154">
        <f t="shared" si="3"/>
        <v>100.3</v>
      </c>
      <c r="P13" s="154">
        <f t="shared" si="4"/>
        <v>313.60000000000002</v>
      </c>
      <c r="Q13" s="154">
        <f t="shared" si="5"/>
        <v>250.9</v>
      </c>
      <c r="R13" s="154">
        <f t="shared" si="6"/>
        <v>250.9</v>
      </c>
      <c r="S13" s="154">
        <f t="shared" si="7"/>
        <v>26.1</v>
      </c>
      <c r="T13" s="154">
        <f t="shared" si="8"/>
        <v>841.5</v>
      </c>
      <c r="U13" s="1827"/>
      <c r="V13" s="154">
        <f t="shared" si="20"/>
        <v>841.5</v>
      </c>
      <c r="W13" s="95">
        <f t="shared" si="22"/>
        <v>254.1</v>
      </c>
      <c r="X13" s="54"/>
      <c r="Y13" s="24">
        <v>30</v>
      </c>
      <c r="Z13" s="48">
        <f t="shared" si="9"/>
        <v>0</v>
      </c>
      <c r="AA13" s="54"/>
      <c r="AB13" s="24">
        <v>15</v>
      </c>
      <c r="AC13" s="48">
        <f t="shared" si="10"/>
        <v>0</v>
      </c>
      <c r="AD13" s="54"/>
      <c r="AE13" s="24">
        <v>30</v>
      </c>
      <c r="AF13" s="48">
        <f t="shared" si="11"/>
        <v>0</v>
      </c>
      <c r="AG13" s="48">
        <f t="shared" si="12"/>
        <v>0</v>
      </c>
      <c r="AH13" s="48">
        <f t="shared" si="13"/>
        <v>0</v>
      </c>
      <c r="AI13" s="34">
        <f t="shared" si="14"/>
        <v>70125</v>
      </c>
      <c r="AK13" s="34">
        <f t="shared" si="15"/>
        <v>841.5</v>
      </c>
      <c r="AL13" s="34">
        <f t="shared" si="19"/>
        <v>270.60000000000002</v>
      </c>
      <c r="AM13" s="51">
        <v>0.30199999999999999</v>
      </c>
      <c r="AN13" s="50">
        <f t="shared" si="21"/>
        <v>185.1</v>
      </c>
      <c r="AO13" s="50"/>
      <c r="AP13" s="50">
        <f t="shared" si="23"/>
        <v>44.6</v>
      </c>
      <c r="AQ13" s="50">
        <f t="shared" si="16"/>
        <v>229.7</v>
      </c>
      <c r="AR13" s="22"/>
      <c r="AS13" s="22">
        <f t="shared" si="17"/>
        <v>16.593</v>
      </c>
    </row>
    <row r="14" spans="1:45" x14ac:dyDescent="0.2">
      <c r="A14" s="284">
        <v>6</v>
      </c>
      <c r="B14" s="236" t="s">
        <v>49</v>
      </c>
      <c r="C14" s="127">
        <v>1</v>
      </c>
      <c r="D14" s="237">
        <v>8.4730000000000008</v>
      </c>
      <c r="E14" s="111">
        <f t="shared" si="0"/>
        <v>8.4700000000000006</v>
      </c>
      <c r="F14" s="95">
        <f t="shared" si="1"/>
        <v>101.6</v>
      </c>
      <c r="G14" s="95"/>
      <c r="H14" s="95">
        <f>5966.1/1000</f>
        <v>6</v>
      </c>
      <c r="I14" s="95"/>
      <c r="J14" s="95"/>
      <c r="K14" s="95">
        <f>F14*0.4</f>
        <v>40.6</v>
      </c>
      <c r="L14" s="95">
        <f t="shared" si="18"/>
        <v>15.7</v>
      </c>
      <c r="M14" s="95">
        <f t="shared" si="2"/>
        <v>163.9</v>
      </c>
      <c r="N14" s="111">
        <v>0.41</v>
      </c>
      <c r="O14" s="95">
        <f t="shared" si="3"/>
        <v>67.2</v>
      </c>
      <c r="P14" s="95">
        <f t="shared" si="4"/>
        <v>231.1</v>
      </c>
      <c r="Q14" s="95">
        <f t="shared" si="5"/>
        <v>184.9</v>
      </c>
      <c r="R14" s="95">
        <f t="shared" si="6"/>
        <v>184.9</v>
      </c>
      <c r="S14" s="95">
        <f t="shared" si="7"/>
        <v>19.2</v>
      </c>
      <c r="T14" s="95">
        <f t="shared" si="8"/>
        <v>620.1</v>
      </c>
      <c r="U14" s="1827"/>
      <c r="V14" s="95">
        <f>T14*$U$9</f>
        <v>620.1</v>
      </c>
      <c r="W14" s="95">
        <f t="shared" si="22"/>
        <v>187.3</v>
      </c>
      <c r="X14" s="284"/>
      <c r="Y14" s="112">
        <v>30</v>
      </c>
      <c r="Z14" s="113">
        <f t="shared" si="9"/>
        <v>0</v>
      </c>
      <c r="AA14" s="127"/>
      <c r="AB14" s="112">
        <v>15</v>
      </c>
      <c r="AC14" s="113">
        <f t="shared" si="10"/>
        <v>0</v>
      </c>
      <c r="AD14" s="127"/>
      <c r="AE14" s="112">
        <v>30</v>
      </c>
      <c r="AF14" s="113">
        <f t="shared" si="11"/>
        <v>0</v>
      </c>
      <c r="AG14" s="113">
        <f t="shared" si="12"/>
        <v>0</v>
      </c>
      <c r="AH14" s="113">
        <f t="shared" si="13"/>
        <v>0</v>
      </c>
      <c r="AI14" s="114">
        <f t="shared" si="14"/>
        <v>51675</v>
      </c>
      <c r="AK14" s="114">
        <f t="shared" si="15"/>
        <v>620.1</v>
      </c>
      <c r="AL14" s="114">
        <f t="shared" si="19"/>
        <v>230.3</v>
      </c>
      <c r="AM14" s="115">
        <v>0.30199999999999999</v>
      </c>
      <c r="AN14" s="50">
        <f t="shared" si="21"/>
        <v>136.4</v>
      </c>
      <c r="AO14" s="50"/>
      <c r="AP14" s="50">
        <f t="shared" si="23"/>
        <v>32.9</v>
      </c>
      <c r="AQ14" s="50">
        <f t="shared" si="16"/>
        <v>169.3</v>
      </c>
      <c r="AR14" s="22"/>
      <c r="AS14" s="99">
        <f t="shared" si="17"/>
        <v>12.7095</v>
      </c>
    </row>
    <row r="15" spans="1:45" x14ac:dyDescent="0.2">
      <c r="A15" s="284">
        <v>7</v>
      </c>
      <c r="B15" s="236" t="s">
        <v>52</v>
      </c>
      <c r="C15" s="127">
        <v>1</v>
      </c>
      <c r="D15" s="237">
        <v>8.4730000000000008</v>
      </c>
      <c r="E15" s="111">
        <f t="shared" si="0"/>
        <v>8.4700000000000006</v>
      </c>
      <c r="F15" s="95">
        <f t="shared" si="1"/>
        <v>101.6</v>
      </c>
      <c r="G15" s="95"/>
      <c r="H15" s="95">
        <f>5966.1/1000</f>
        <v>6</v>
      </c>
      <c r="I15" s="95"/>
      <c r="J15" s="95"/>
      <c r="K15" s="95">
        <f>F15*0.25</f>
        <v>25.4</v>
      </c>
      <c r="L15" s="95">
        <f t="shared" si="18"/>
        <v>15.7</v>
      </c>
      <c r="M15" s="95">
        <f t="shared" si="2"/>
        <v>148.69999999999999</v>
      </c>
      <c r="N15" s="111">
        <v>0.41</v>
      </c>
      <c r="O15" s="95">
        <f t="shared" si="3"/>
        <v>61</v>
      </c>
      <c r="P15" s="95">
        <f t="shared" si="4"/>
        <v>209.7</v>
      </c>
      <c r="Q15" s="95">
        <f t="shared" si="5"/>
        <v>167.8</v>
      </c>
      <c r="R15" s="95">
        <f t="shared" si="6"/>
        <v>167.8</v>
      </c>
      <c r="S15" s="95">
        <f t="shared" si="7"/>
        <v>17.399999999999999</v>
      </c>
      <c r="T15" s="95">
        <f t="shared" si="8"/>
        <v>562.70000000000005</v>
      </c>
      <c r="U15" s="1827"/>
      <c r="V15" s="95">
        <f t="shared" si="20"/>
        <v>562.70000000000005</v>
      </c>
      <c r="W15" s="95">
        <f t="shared" si="22"/>
        <v>169.9</v>
      </c>
      <c r="X15" s="284"/>
      <c r="Y15" s="112">
        <v>30</v>
      </c>
      <c r="Z15" s="113">
        <f t="shared" si="9"/>
        <v>0</v>
      </c>
      <c r="AA15" s="127"/>
      <c r="AB15" s="112">
        <v>15</v>
      </c>
      <c r="AC15" s="113">
        <f t="shared" si="10"/>
        <v>0</v>
      </c>
      <c r="AD15" s="127"/>
      <c r="AE15" s="112">
        <v>30</v>
      </c>
      <c r="AF15" s="113">
        <f t="shared" si="11"/>
        <v>0</v>
      </c>
      <c r="AG15" s="113">
        <f t="shared" si="12"/>
        <v>0</v>
      </c>
      <c r="AH15" s="113">
        <f t="shared" si="13"/>
        <v>0</v>
      </c>
      <c r="AI15" s="114">
        <f t="shared" si="14"/>
        <v>46891.7</v>
      </c>
      <c r="AK15" s="114">
        <f t="shared" si="15"/>
        <v>562.70000000000005</v>
      </c>
      <c r="AL15" s="114">
        <f t="shared" si="19"/>
        <v>219.9</v>
      </c>
      <c r="AM15" s="115">
        <v>0.30199999999999999</v>
      </c>
      <c r="AN15" s="50">
        <f t="shared" si="21"/>
        <v>123.8</v>
      </c>
      <c r="AO15" s="50"/>
      <c r="AP15" s="50">
        <f t="shared" si="23"/>
        <v>29.8</v>
      </c>
      <c r="AQ15" s="50">
        <f t="shared" si="16"/>
        <v>153.6</v>
      </c>
      <c r="AS15" s="99">
        <f t="shared" si="17"/>
        <v>12.7095</v>
      </c>
    </row>
    <row r="16" spans="1:45" x14ac:dyDescent="0.2">
      <c r="A16" s="284">
        <v>8</v>
      </c>
      <c r="B16" s="236" t="s">
        <v>40</v>
      </c>
      <c r="C16" s="127">
        <v>1</v>
      </c>
      <c r="D16" s="237">
        <v>11.061999999999999</v>
      </c>
      <c r="E16" s="111">
        <f t="shared" si="0"/>
        <v>11.06</v>
      </c>
      <c r="F16" s="95">
        <f t="shared" si="1"/>
        <v>132.69999999999999</v>
      </c>
      <c r="G16" s="95"/>
      <c r="H16" s="95">
        <f>7010.2/1000</f>
        <v>7</v>
      </c>
      <c r="I16" s="95"/>
      <c r="J16" s="95"/>
      <c r="K16" s="95">
        <f>F16*0.25</f>
        <v>33.200000000000003</v>
      </c>
      <c r="L16" s="95">
        <f t="shared" si="18"/>
        <v>20.5</v>
      </c>
      <c r="M16" s="95">
        <f t="shared" si="2"/>
        <v>193.4</v>
      </c>
      <c r="N16" s="111">
        <v>0.43</v>
      </c>
      <c r="O16" s="95">
        <f t="shared" si="3"/>
        <v>83.2</v>
      </c>
      <c r="P16" s="95">
        <f t="shared" si="4"/>
        <v>276.60000000000002</v>
      </c>
      <c r="Q16" s="95">
        <f t="shared" si="5"/>
        <v>221.3</v>
      </c>
      <c r="R16" s="95">
        <f t="shared" si="6"/>
        <v>221.3</v>
      </c>
      <c r="S16" s="95">
        <f t="shared" si="7"/>
        <v>23</v>
      </c>
      <c r="T16" s="95">
        <f t="shared" si="8"/>
        <v>742.2</v>
      </c>
      <c r="U16" s="1827"/>
      <c r="V16" s="95">
        <f t="shared" si="20"/>
        <v>742.2</v>
      </c>
      <c r="W16" s="95">
        <f t="shared" si="22"/>
        <v>224.1</v>
      </c>
      <c r="X16" s="284"/>
      <c r="Y16" s="112">
        <v>30</v>
      </c>
      <c r="Z16" s="113">
        <f t="shared" si="9"/>
        <v>0</v>
      </c>
      <c r="AA16" s="127"/>
      <c r="AB16" s="112">
        <v>15</v>
      </c>
      <c r="AC16" s="113">
        <f t="shared" si="10"/>
        <v>0</v>
      </c>
      <c r="AD16" s="127"/>
      <c r="AE16" s="112">
        <v>30</v>
      </c>
      <c r="AF16" s="113">
        <f t="shared" si="11"/>
        <v>0</v>
      </c>
      <c r="AG16" s="113">
        <f t="shared" si="12"/>
        <v>0</v>
      </c>
      <c r="AH16" s="113">
        <f t="shared" si="13"/>
        <v>0</v>
      </c>
      <c r="AI16" s="114">
        <f t="shared" si="14"/>
        <v>61850</v>
      </c>
      <c r="AK16" s="114">
        <f t="shared" si="15"/>
        <v>742.2</v>
      </c>
      <c r="AL16" s="114">
        <f t="shared" si="19"/>
        <v>252.6</v>
      </c>
      <c r="AM16" s="115">
        <v>0.30199999999999999</v>
      </c>
      <c r="AN16" s="50">
        <f t="shared" si="21"/>
        <v>163.30000000000001</v>
      </c>
      <c r="AO16" s="242"/>
      <c r="AP16" s="50">
        <f t="shared" si="23"/>
        <v>39.299999999999997</v>
      </c>
      <c r="AQ16" s="50">
        <f t="shared" si="16"/>
        <v>202.6</v>
      </c>
      <c r="AS16" s="99">
        <f t="shared" si="17"/>
        <v>16.593</v>
      </c>
    </row>
    <row r="17" spans="1:45" x14ac:dyDescent="0.2">
      <c r="A17" s="284">
        <v>9</v>
      </c>
      <c r="B17" s="236" t="s">
        <v>29</v>
      </c>
      <c r="C17" s="127">
        <v>1</v>
      </c>
      <c r="D17" s="237">
        <v>8.4730000000000008</v>
      </c>
      <c r="E17" s="111">
        <f t="shared" si="0"/>
        <v>8.4700000000000006</v>
      </c>
      <c r="F17" s="95">
        <f t="shared" si="1"/>
        <v>101.6</v>
      </c>
      <c r="G17" s="95"/>
      <c r="H17" s="95">
        <f>5369.5/1000</f>
        <v>5.4</v>
      </c>
      <c r="I17" s="95"/>
      <c r="J17" s="95">
        <f>D17*0.1*3</f>
        <v>2.5</v>
      </c>
      <c r="K17" s="95">
        <f>D17*0.25*12</f>
        <v>25.4</v>
      </c>
      <c r="L17" s="95">
        <f t="shared" si="18"/>
        <v>15.7</v>
      </c>
      <c r="M17" s="95">
        <f t="shared" si="2"/>
        <v>150.6</v>
      </c>
      <c r="N17" s="111">
        <v>0.41</v>
      </c>
      <c r="O17" s="95">
        <f t="shared" si="3"/>
        <v>61.7</v>
      </c>
      <c r="P17" s="95">
        <f t="shared" si="4"/>
        <v>212.3</v>
      </c>
      <c r="Q17" s="95">
        <f t="shared" si="5"/>
        <v>169.8</v>
      </c>
      <c r="R17" s="95">
        <f t="shared" si="6"/>
        <v>169.8</v>
      </c>
      <c r="S17" s="95">
        <f t="shared" si="7"/>
        <v>17.7</v>
      </c>
      <c r="T17" s="95">
        <f t="shared" si="8"/>
        <v>569.6</v>
      </c>
      <c r="U17" s="1827"/>
      <c r="V17" s="95">
        <f t="shared" si="20"/>
        <v>569.6</v>
      </c>
      <c r="W17" s="95">
        <f t="shared" si="22"/>
        <v>172</v>
      </c>
      <c r="X17" s="284">
        <v>1</v>
      </c>
      <c r="Y17" s="112">
        <v>30</v>
      </c>
      <c r="Z17" s="113">
        <f t="shared" si="9"/>
        <v>30</v>
      </c>
      <c r="AA17" s="127"/>
      <c r="AB17" s="112">
        <v>15</v>
      </c>
      <c r="AC17" s="113">
        <f t="shared" si="10"/>
        <v>0</v>
      </c>
      <c r="AD17" s="127"/>
      <c r="AE17" s="112">
        <v>30</v>
      </c>
      <c r="AF17" s="113">
        <f t="shared" si="11"/>
        <v>0</v>
      </c>
      <c r="AG17" s="113">
        <f t="shared" si="12"/>
        <v>9</v>
      </c>
      <c r="AH17" s="113">
        <f t="shared" si="13"/>
        <v>39</v>
      </c>
      <c r="AI17" s="114">
        <f t="shared" si="14"/>
        <v>47466.7</v>
      </c>
      <c r="AK17" s="114">
        <f t="shared" si="15"/>
        <v>569.6</v>
      </c>
      <c r="AL17" s="114">
        <f t="shared" si="19"/>
        <v>221.1</v>
      </c>
      <c r="AM17" s="115">
        <v>0.30199999999999999</v>
      </c>
      <c r="AN17" s="50">
        <f t="shared" si="21"/>
        <v>125.3</v>
      </c>
      <c r="AO17" s="242"/>
      <c r="AP17" s="50">
        <f t="shared" si="23"/>
        <v>30.2</v>
      </c>
      <c r="AQ17" s="50">
        <f t="shared" si="16"/>
        <v>155.5</v>
      </c>
      <c r="AS17" s="99">
        <f t="shared" si="17"/>
        <v>12.7095</v>
      </c>
    </row>
    <row r="18" spans="1:45" ht="25.5" x14ac:dyDescent="0.2">
      <c r="A18" s="284">
        <v>10</v>
      </c>
      <c r="B18" s="236" t="s">
        <v>148</v>
      </c>
      <c r="C18" s="127">
        <v>1</v>
      </c>
      <c r="D18" s="237">
        <v>8.4730000000000008</v>
      </c>
      <c r="E18" s="111">
        <f t="shared" si="0"/>
        <v>8.4700000000000006</v>
      </c>
      <c r="F18" s="95">
        <f t="shared" si="1"/>
        <v>101.6</v>
      </c>
      <c r="G18" s="95"/>
      <c r="H18" s="95"/>
      <c r="I18" s="95"/>
      <c r="J18" s="95"/>
      <c r="K18" s="95">
        <f>F18*0.25+D18*0.05*11</f>
        <v>30.1</v>
      </c>
      <c r="L18" s="95">
        <f t="shared" si="18"/>
        <v>15.7</v>
      </c>
      <c r="M18" s="95">
        <f t="shared" si="2"/>
        <v>147.4</v>
      </c>
      <c r="N18" s="111">
        <v>0.41</v>
      </c>
      <c r="O18" s="95">
        <f t="shared" si="3"/>
        <v>60.4</v>
      </c>
      <c r="P18" s="95">
        <f t="shared" si="4"/>
        <v>207.8</v>
      </c>
      <c r="Q18" s="95">
        <f t="shared" si="5"/>
        <v>166.2</v>
      </c>
      <c r="R18" s="95">
        <f t="shared" si="6"/>
        <v>166.2</v>
      </c>
      <c r="S18" s="95">
        <f t="shared" si="7"/>
        <v>17.3</v>
      </c>
      <c r="T18" s="95">
        <f t="shared" si="8"/>
        <v>557.5</v>
      </c>
      <c r="U18" s="1827"/>
      <c r="V18" s="95">
        <f t="shared" si="20"/>
        <v>557.5</v>
      </c>
      <c r="W18" s="95">
        <f t="shared" si="22"/>
        <v>168.4</v>
      </c>
      <c r="X18" s="284">
        <v>1</v>
      </c>
      <c r="Y18" s="112">
        <v>30</v>
      </c>
      <c r="Z18" s="113">
        <f t="shared" si="9"/>
        <v>30</v>
      </c>
      <c r="AA18" s="127"/>
      <c r="AB18" s="112">
        <v>15</v>
      </c>
      <c r="AC18" s="113">
        <f t="shared" si="10"/>
        <v>0</v>
      </c>
      <c r="AD18" s="127"/>
      <c r="AE18" s="112">
        <v>30</v>
      </c>
      <c r="AF18" s="113">
        <f t="shared" si="11"/>
        <v>0</v>
      </c>
      <c r="AG18" s="113">
        <f t="shared" si="12"/>
        <v>9</v>
      </c>
      <c r="AH18" s="113">
        <f t="shared" si="13"/>
        <v>39</v>
      </c>
      <c r="AI18" s="114"/>
      <c r="AK18" s="114">
        <f t="shared" si="15"/>
        <v>557.5</v>
      </c>
      <c r="AL18" s="114"/>
      <c r="AM18" s="115"/>
      <c r="AN18" s="50">
        <f t="shared" si="21"/>
        <v>122.7</v>
      </c>
      <c r="AO18" s="242"/>
      <c r="AP18" s="50">
        <f t="shared" si="23"/>
        <v>29.5</v>
      </c>
      <c r="AQ18" s="50">
        <f t="shared" si="16"/>
        <v>152.19999999999999</v>
      </c>
    </row>
    <row r="19" spans="1:45" ht="25.5" x14ac:dyDescent="0.2">
      <c r="A19" s="284">
        <v>11</v>
      </c>
      <c r="B19" s="236" t="s">
        <v>130</v>
      </c>
      <c r="C19" s="127">
        <v>1</v>
      </c>
      <c r="D19" s="237">
        <v>8.4730000000000008</v>
      </c>
      <c r="E19" s="111">
        <f t="shared" si="0"/>
        <v>8.4700000000000006</v>
      </c>
      <c r="F19" s="95">
        <f t="shared" si="1"/>
        <v>101.6</v>
      </c>
      <c r="G19" s="95"/>
      <c r="H19" s="95"/>
      <c r="I19" s="95"/>
      <c r="J19" s="95"/>
      <c r="K19" s="95"/>
      <c r="L19" s="95">
        <f t="shared" si="18"/>
        <v>15.7</v>
      </c>
      <c r="M19" s="95">
        <f t="shared" si="2"/>
        <v>117.3</v>
      </c>
      <c r="N19" s="111">
        <v>0.47</v>
      </c>
      <c r="O19" s="95">
        <f t="shared" si="3"/>
        <v>55.1</v>
      </c>
      <c r="P19" s="95">
        <f t="shared" si="4"/>
        <v>172.4</v>
      </c>
      <c r="Q19" s="95">
        <f t="shared" si="5"/>
        <v>137.9</v>
      </c>
      <c r="R19" s="95">
        <f t="shared" si="6"/>
        <v>137.9</v>
      </c>
      <c r="S19" s="95">
        <f t="shared" si="7"/>
        <v>14.3</v>
      </c>
      <c r="T19" s="95">
        <f t="shared" si="8"/>
        <v>462.5</v>
      </c>
      <c r="U19" s="1827"/>
      <c r="V19" s="95">
        <f t="shared" si="20"/>
        <v>462.5</v>
      </c>
      <c r="W19" s="95">
        <f t="shared" si="22"/>
        <v>139.69999999999999</v>
      </c>
      <c r="X19" s="284"/>
      <c r="Y19" s="112">
        <v>30</v>
      </c>
      <c r="Z19" s="113">
        <f t="shared" si="9"/>
        <v>0</v>
      </c>
      <c r="AA19" s="127"/>
      <c r="AB19" s="112">
        <v>15</v>
      </c>
      <c r="AC19" s="113">
        <f t="shared" si="10"/>
        <v>0</v>
      </c>
      <c r="AD19" s="127"/>
      <c r="AE19" s="112">
        <v>30</v>
      </c>
      <c r="AF19" s="113">
        <f t="shared" si="11"/>
        <v>0</v>
      </c>
      <c r="AG19" s="113">
        <f t="shared" si="12"/>
        <v>0</v>
      </c>
      <c r="AH19" s="113">
        <f t="shared" si="13"/>
        <v>0</v>
      </c>
      <c r="AI19" s="114"/>
      <c r="AK19" s="114">
        <f t="shared" si="15"/>
        <v>462.5</v>
      </c>
      <c r="AL19" s="114"/>
      <c r="AM19" s="115"/>
      <c r="AN19" s="50">
        <f t="shared" si="21"/>
        <v>101.8</v>
      </c>
      <c r="AO19" s="242"/>
      <c r="AP19" s="50">
        <f t="shared" si="23"/>
        <v>24.5</v>
      </c>
      <c r="AQ19" s="50">
        <f t="shared" si="16"/>
        <v>126.3</v>
      </c>
    </row>
    <row r="20" spans="1:45" ht="25.5" x14ac:dyDescent="0.2">
      <c r="A20" s="284">
        <v>12</v>
      </c>
      <c r="B20" s="236" t="s">
        <v>149</v>
      </c>
      <c r="C20" s="127">
        <v>1</v>
      </c>
      <c r="D20" s="237">
        <v>11.061999999999999</v>
      </c>
      <c r="E20" s="111">
        <f t="shared" si="0"/>
        <v>11.06</v>
      </c>
      <c r="F20" s="95">
        <f t="shared" si="1"/>
        <v>132.69999999999999</v>
      </c>
      <c r="G20" s="95"/>
      <c r="H20" s="95"/>
      <c r="I20" s="95"/>
      <c r="J20" s="95"/>
      <c r="K20" s="95"/>
      <c r="L20" s="95">
        <f t="shared" si="18"/>
        <v>20.5</v>
      </c>
      <c r="M20" s="95">
        <f t="shared" si="2"/>
        <v>153.19999999999999</v>
      </c>
      <c r="N20" s="111">
        <v>0.43</v>
      </c>
      <c r="O20" s="95">
        <f t="shared" si="3"/>
        <v>65.900000000000006</v>
      </c>
      <c r="P20" s="95">
        <f t="shared" si="4"/>
        <v>219.1</v>
      </c>
      <c r="Q20" s="95">
        <f t="shared" si="5"/>
        <v>175.3</v>
      </c>
      <c r="R20" s="95">
        <f t="shared" si="6"/>
        <v>175.3</v>
      </c>
      <c r="S20" s="95">
        <f t="shared" si="7"/>
        <v>18.2</v>
      </c>
      <c r="T20" s="95">
        <f t="shared" si="8"/>
        <v>587.9</v>
      </c>
      <c r="U20" s="1827"/>
      <c r="V20" s="95">
        <f t="shared" si="20"/>
        <v>587.9</v>
      </c>
      <c r="W20" s="95">
        <f t="shared" si="22"/>
        <v>177.5</v>
      </c>
      <c r="X20" s="284"/>
      <c r="Y20" s="112">
        <v>30</v>
      </c>
      <c r="Z20" s="113">
        <f t="shared" si="9"/>
        <v>0</v>
      </c>
      <c r="AA20" s="127"/>
      <c r="AB20" s="112">
        <v>15</v>
      </c>
      <c r="AC20" s="113">
        <f t="shared" si="10"/>
        <v>0</v>
      </c>
      <c r="AD20" s="127"/>
      <c r="AE20" s="112">
        <v>30</v>
      </c>
      <c r="AF20" s="113">
        <f t="shared" si="11"/>
        <v>0</v>
      </c>
      <c r="AG20" s="113">
        <f t="shared" si="12"/>
        <v>0</v>
      </c>
      <c r="AH20" s="113">
        <f t="shared" si="13"/>
        <v>0</v>
      </c>
      <c r="AI20" s="114"/>
      <c r="AK20" s="114">
        <f t="shared" si="15"/>
        <v>587.9</v>
      </c>
      <c r="AL20" s="114"/>
      <c r="AM20" s="115"/>
      <c r="AN20" s="50">
        <f t="shared" si="21"/>
        <v>129.30000000000001</v>
      </c>
      <c r="AO20" s="242"/>
      <c r="AP20" s="50">
        <f t="shared" si="23"/>
        <v>31.2</v>
      </c>
      <c r="AQ20" s="50">
        <f t="shared" si="16"/>
        <v>160.5</v>
      </c>
    </row>
    <row r="21" spans="1:45" x14ac:dyDescent="0.2">
      <c r="A21" s="284">
        <v>13</v>
      </c>
      <c r="B21" s="243" t="s">
        <v>42</v>
      </c>
      <c r="C21" s="127">
        <v>1</v>
      </c>
      <c r="D21" s="237">
        <v>11.061999999999999</v>
      </c>
      <c r="E21" s="111">
        <f t="shared" si="0"/>
        <v>11.06</v>
      </c>
      <c r="F21" s="95">
        <f t="shared" si="1"/>
        <v>132.69999999999999</v>
      </c>
      <c r="G21" s="95"/>
      <c r="H21" s="95">
        <f>7789.1/1000</f>
        <v>7.8</v>
      </c>
      <c r="I21" s="95"/>
      <c r="J21" s="95"/>
      <c r="K21" s="95">
        <f>F21*0.3+D21*0.05*2</f>
        <v>40.9</v>
      </c>
      <c r="L21" s="95">
        <f t="shared" si="18"/>
        <v>20.5</v>
      </c>
      <c r="M21" s="95">
        <f t="shared" si="2"/>
        <v>201.9</v>
      </c>
      <c r="N21" s="111">
        <v>0.43</v>
      </c>
      <c r="O21" s="95">
        <f t="shared" si="3"/>
        <v>86.8</v>
      </c>
      <c r="P21" s="95">
        <f t="shared" si="4"/>
        <v>288.7</v>
      </c>
      <c r="Q21" s="95">
        <f t="shared" si="5"/>
        <v>231</v>
      </c>
      <c r="R21" s="95">
        <f t="shared" si="6"/>
        <v>231</v>
      </c>
      <c r="S21" s="95">
        <f t="shared" si="7"/>
        <v>24</v>
      </c>
      <c r="T21" s="95">
        <f t="shared" si="8"/>
        <v>774.7</v>
      </c>
      <c r="U21" s="1827"/>
      <c r="V21" s="95">
        <f t="shared" si="20"/>
        <v>774.7</v>
      </c>
      <c r="W21" s="95">
        <f t="shared" si="22"/>
        <v>234</v>
      </c>
      <c r="X21" s="284"/>
      <c r="Y21" s="112">
        <v>30</v>
      </c>
      <c r="Z21" s="113">
        <f t="shared" si="9"/>
        <v>0</v>
      </c>
      <c r="AA21" s="127"/>
      <c r="AB21" s="112">
        <v>15</v>
      </c>
      <c r="AC21" s="113">
        <f t="shared" si="10"/>
        <v>0</v>
      </c>
      <c r="AD21" s="127"/>
      <c r="AE21" s="112">
        <v>30</v>
      </c>
      <c r="AF21" s="113">
        <f t="shared" si="11"/>
        <v>0</v>
      </c>
      <c r="AG21" s="113">
        <f t="shared" si="12"/>
        <v>0</v>
      </c>
      <c r="AH21" s="113">
        <f t="shared" si="13"/>
        <v>0</v>
      </c>
      <c r="AI21" s="114">
        <f>V21/12/C21*1000</f>
        <v>64558.3</v>
      </c>
      <c r="AK21" s="114">
        <f t="shared" si="15"/>
        <v>774.7</v>
      </c>
      <c r="AL21" s="114">
        <f t="shared" si="19"/>
        <v>258.5</v>
      </c>
      <c r="AM21" s="115">
        <v>0.30199999999999999</v>
      </c>
      <c r="AN21" s="50">
        <f t="shared" si="21"/>
        <v>170.4</v>
      </c>
      <c r="AO21" s="244"/>
      <c r="AP21" s="50">
        <f t="shared" si="23"/>
        <v>41.1</v>
      </c>
      <c r="AQ21" s="50">
        <f t="shared" si="16"/>
        <v>211.5</v>
      </c>
      <c r="AS21" s="99">
        <f>D21*1.5</f>
        <v>16.593</v>
      </c>
    </row>
    <row r="22" spans="1:45" x14ac:dyDescent="0.2">
      <c r="A22" s="284">
        <v>14</v>
      </c>
      <c r="B22" s="236" t="s">
        <v>33</v>
      </c>
      <c r="C22" s="127">
        <v>1</v>
      </c>
      <c r="D22" s="237">
        <v>8.4730000000000008</v>
      </c>
      <c r="E22" s="111">
        <f t="shared" si="0"/>
        <v>8.4700000000000006</v>
      </c>
      <c r="F22" s="95">
        <f t="shared" si="1"/>
        <v>101.6</v>
      </c>
      <c r="G22" s="95">
        <f>18010.1/1000</f>
        <v>18</v>
      </c>
      <c r="H22" s="95">
        <f>4474.6/1000</f>
        <v>4.5</v>
      </c>
      <c r="I22" s="95"/>
      <c r="J22" s="95"/>
      <c r="K22" s="95">
        <f>F22*0.25</f>
        <v>25.4</v>
      </c>
      <c r="L22" s="95">
        <f t="shared" si="18"/>
        <v>15.7</v>
      </c>
      <c r="M22" s="95">
        <f t="shared" si="2"/>
        <v>165.2</v>
      </c>
      <c r="N22" s="111">
        <v>0.41</v>
      </c>
      <c r="O22" s="95">
        <f t="shared" si="3"/>
        <v>67.7</v>
      </c>
      <c r="P22" s="95">
        <f t="shared" si="4"/>
        <v>232.9</v>
      </c>
      <c r="Q22" s="95">
        <f t="shared" si="5"/>
        <v>186.3</v>
      </c>
      <c r="R22" s="95">
        <f t="shared" si="6"/>
        <v>186.3</v>
      </c>
      <c r="S22" s="95">
        <f t="shared" si="7"/>
        <v>19.399999999999999</v>
      </c>
      <c r="T22" s="95">
        <f t="shared" si="8"/>
        <v>624.9</v>
      </c>
      <c r="U22" s="1827"/>
      <c r="V22" s="95">
        <f t="shared" si="20"/>
        <v>624.9</v>
      </c>
      <c r="W22" s="95">
        <f t="shared" si="22"/>
        <v>188.7</v>
      </c>
      <c r="X22" s="238"/>
      <c r="Y22" s="240">
        <v>30</v>
      </c>
      <c r="Z22" s="241">
        <f t="shared" si="9"/>
        <v>0</v>
      </c>
      <c r="AA22" s="238"/>
      <c r="AB22" s="240">
        <v>15</v>
      </c>
      <c r="AC22" s="241">
        <f t="shared" si="10"/>
        <v>0</v>
      </c>
      <c r="AD22" s="238"/>
      <c r="AE22" s="240">
        <v>30</v>
      </c>
      <c r="AF22" s="241">
        <f t="shared" si="11"/>
        <v>0</v>
      </c>
      <c r="AG22" s="241">
        <f t="shared" si="12"/>
        <v>0</v>
      </c>
      <c r="AH22" s="241">
        <f t="shared" si="13"/>
        <v>0</v>
      </c>
      <c r="AI22" s="114">
        <f>V22/12/C22*1000</f>
        <v>52075</v>
      </c>
      <c r="AK22" s="114">
        <f t="shared" si="15"/>
        <v>624.9</v>
      </c>
      <c r="AL22" s="114">
        <f t="shared" si="19"/>
        <v>231.2</v>
      </c>
      <c r="AM22" s="115">
        <v>0.30199999999999999</v>
      </c>
      <c r="AN22" s="50">
        <f t="shared" si="21"/>
        <v>137.5</v>
      </c>
      <c r="AO22" s="244"/>
      <c r="AP22" s="50">
        <f t="shared" si="23"/>
        <v>33.1</v>
      </c>
      <c r="AQ22" s="50">
        <f t="shared" si="16"/>
        <v>170.6</v>
      </c>
      <c r="AR22" s="245"/>
      <c r="AS22" s="99">
        <f>D22*1.5</f>
        <v>12.7095</v>
      </c>
    </row>
    <row r="23" spans="1:45" s="245" customFormat="1" x14ac:dyDescent="0.2">
      <c r="A23" s="284">
        <v>15</v>
      </c>
      <c r="B23" s="236" t="s">
        <v>58</v>
      </c>
      <c r="C23" s="246">
        <v>1</v>
      </c>
      <c r="D23" s="247">
        <v>11.061999999999999</v>
      </c>
      <c r="E23" s="111">
        <f t="shared" si="0"/>
        <v>11.06</v>
      </c>
      <c r="F23" s="95">
        <f t="shared" si="1"/>
        <v>132.69999999999999</v>
      </c>
      <c r="G23" s="248"/>
      <c r="H23" s="248"/>
      <c r="I23" s="248"/>
      <c r="J23" s="248"/>
      <c r="K23" s="248"/>
      <c r="L23" s="95">
        <f t="shared" si="18"/>
        <v>20.5</v>
      </c>
      <c r="M23" s="95">
        <f t="shared" si="2"/>
        <v>153.19999999999999</v>
      </c>
      <c r="N23" s="111">
        <v>0.43</v>
      </c>
      <c r="O23" s="95">
        <f t="shared" si="3"/>
        <v>65.900000000000006</v>
      </c>
      <c r="P23" s="95">
        <f t="shared" si="4"/>
        <v>219.1</v>
      </c>
      <c r="Q23" s="95">
        <f t="shared" si="5"/>
        <v>175.3</v>
      </c>
      <c r="R23" s="95">
        <f t="shared" si="6"/>
        <v>175.3</v>
      </c>
      <c r="S23" s="95">
        <f t="shared" si="7"/>
        <v>18.2</v>
      </c>
      <c r="T23" s="95">
        <f t="shared" si="8"/>
        <v>587.9</v>
      </c>
      <c r="U23" s="1827"/>
      <c r="V23" s="95">
        <f t="shared" si="20"/>
        <v>587.9</v>
      </c>
      <c r="W23" s="95">
        <f t="shared" si="22"/>
        <v>177.5</v>
      </c>
      <c r="X23" s="246"/>
      <c r="Y23" s="240">
        <v>30</v>
      </c>
      <c r="Z23" s="241">
        <f t="shared" si="9"/>
        <v>0</v>
      </c>
      <c r="AA23" s="246"/>
      <c r="AB23" s="240">
        <v>15</v>
      </c>
      <c r="AC23" s="241">
        <f t="shared" si="10"/>
        <v>0</v>
      </c>
      <c r="AD23" s="246"/>
      <c r="AE23" s="240">
        <v>30</v>
      </c>
      <c r="AF23" s="241">
        <f t="shared" si="11"/>
        <v>0</v>
      </c>
      <c r="AG23" s="241">
        <f t="shared" si="12"/>
        <v>0</v>
      </c>
      <c r="AH23" s="241">
        <f t="shared" si="13"/>
        <v>0</v>
      </c>
      <c r="AI23" s="114"/>
      <c r="AK23" s="114">
        <f t="shared" si="15"/>
        <v>587.9</v>
      </c>
      <c r="AL23" s="114"/>
      <c r="AM23" s="115"/>
      <c r="AN23" s="50">
        <f t="shared" si="21"/>
        <v>129.30000000000001</v>
      </c>
      <c r="AO23" s="211"/>
      <c r="AP23" s="50">
        <f t="shared" si="23"/>
        <v>31.2</v>
      </c>
      <c r="AQ23" s="50">
        <f t="shared" si="16"/>
        <v>160.5</v>
      </c>
      <c r="AR23" s="99"/>
      <c r="AS23" s="99"/>
    </row>
    <row r="24" spans="1:45" s="252" customFormat="1" ht="25.5" x14ac:dyDescent="0.2">
      <c r="A24" s="284">
        <v>16</v>
      </c>
      <c r="B24" s="236" t="s">
        <v>102</v>
      </c>
      <c r="C24" s="238">
        <v>1</v>
      </c>
      <c r="D24" s="237">
        <v>4.3769999999999998</v>
      </c>
      <c r="E24" s="249">
        <f t="shared" si="0"/>
        <v>4.38</v>
      </c>
      <c r="F24" s="170">
        <f t="shared" si="1"/>
        <v>52.6</v>
      </c>
      <c r="G24" s="248"/>
      <c r="H24" s="248"/>
      <c r="I24" s="248"/>
      <c r="J24" s="248"/>
      <c r="K24" s="248"/>
      <c r="L24" s="95">
        <v>35.200000000000003</v>
      </c>
      <c r="M24" s="248">
        <f t="shared" si="2"/>
        <v>87.8</v>
      </c>
      <c r="N24" s="111">
        <v>0.49</v>
      </c>
      <c r="O24" s="248">
        <f t="shared" si="3"/>
        <v>43</v>
      </c>
      <c r="P24" s="248">
        <f t="shared" si="4"/>
        <v>130.80000000000001</v>
      </c>
      <c r="Q24" s="248">
        <f t="shared" si="5"/>
        <v>104.6</v>
      </c>
      <c r="R24" s="95">
        <f t="shared" si="6"/>
        <v>104.6</v>
      </c>
      <c r="S24" s="248">
        <f t="shared" si="7"/>
        <v>10.9</v>
      </c>
      <c r="T24" s="248">
        <f t="shared" si="8"/>
        <v>350.9</v>
      </c>
      <c r="U24" s="1828"/>
      <c r="V24" s="250">
        <f>T24*$U$9-0.3</f>
        <v>350.6</v>
      </c>
      <c r="W24" s="95">
        <f t="shared" si="22"/>
        <v>105.9</v>
      </c>
      <c r="X24" s="251">
        <v>1</v>
      </c>
      <c r="Y24" s="112">
        <v>30</v>
      </c>
      <c r="Z24" s="113">
        <f t="shared" si="9"/>
        <v>30</v>
      </c>
      <c r="AA24" s="251"/>
      <c r="AB24" s="112">
        <v>15</v>
      </c>
      <c r="AC24" s="113">
        <f t="shared" si="10"/>
        <v>0</v>
      </c>
      <c r="AD24" s="251"/>
      <c r="AE24" s="112">
        <v>30</v>
      </c>
      <c r="AF24" s="113">
        <f t="shared" si="11"/>
        <v>0</v>
      </c>
      <c r="AG24" s="113">
        <f t="shared" si="12"/>
        <v>9</v>
      </c>
      <c r="AH24" s="113">
        <f t="shared" si="13"/>
        <v>39</v>
      </c>
      <c r="AI24" s="114">
        <f>V24/12/C24*1000</f>
        <v>29216.7</v>
      </c>
      <c r="AK24" s="114">
        <f t="shared" si="15"/>
        <v>350.6</v>
      </c>
      <c r="AL24" s="114">
        <f t="shared" si="19"/>
        <v>181.3</v>
      </c>
      <c r="AM24" s="115">
        <v>0.30199999999999999</v>
      </c>
      <c r="AN24" s="50">
        <f t="shared" si="21"/>
        <v>77.099999999999994</v>
      </c>
      <c r="AO24" s="211"/>
      <c r="AP24" s="50">
        <f t="shared" si="23"/>
        <v>18.600000000000001</v>
      </c>
      <c r="AQ24" s="50">
        <f t="shared" si="16"/>
        <v>95.7</v>
      </c>
      <c r="AR24" s="99"/>
      <c r="AS24" s="99">
        <f>D24*1.5</f>
        <v>6.5655000000000001</v>
      </c>
    </row>
    <row r="25" spans="1:45" s="98" customFormat="1" ht="20.25" customHeight="1" x14ac:dyDescent="0.2">
      <c r="A25" s="1825" t="s">
        <v>8</v>
      </c>
      <c r="B25" s="1825"/>
      <c r="C25" s="253">
        <f t="shared" ref="C25:M25" si="24">SUM(C9:C24)</f>
        <v>19</v>
      </c>
      <c r="D25" s="254">
        <f t="shared" si="24"/>
        <v>171.5</v>
      </c>
      <c r="E25" s="254">
        <f t="shared" si="24"/>
        <v>204.7</v>
      </c>
      <c r="F25" s="254">
        <f t="shared" si="24"/>
        <v>2455.8000000000002</v>
      </c>
      <c r="G25" s="254">
        <f t="shared" si="24"/>
        <v>18</v>
      </c>
      <c r="H25" s="254">
        <f t="shared" si="24"/>
        <v>76.7</v>
      </c>
      <c r="I25" s="254">
        <f t="shared" si="24"/>
        <v>0</v>
      </c>
      <c r="J25" s="254">
        <f t="shared" si="24"/>
        <v>2.5</v>
      </c>
      <c r="K25" s="254">
        <f t="shared" si="24"/>
        <v>868.2</v>
      </c>
      <c r="L25" s="254">
        <f t="shared" si="24"/>
        <v>406.5</v>
      </c>
      <c r="M25" s="254">
        <f t="shared" si="24"/>
        <v>3827.7</v>
      </c>
      <c r="N25" s="254"/>
      <c r="O25" s="254">
        <f t="shared" ref="O25:AH25" si="25">SUM(O9:O24)</f>
        <v>1659.4</v>
      </c>
      <c r="P25" s="254">
        <f t="shared" si="25"/>
        <v>5487.1</v>
      </c>
      <c r="Q25" s="254">
        <f t="shared" si="25"/>
        <v>4389.7</v>
      </c>
      <c r="R25" s="254">
        <f t="shared" si="25"/>
        <v>4389.7</v>
      </c>
      <c r="S25" s="254">
        <f t="shared" si="25"/>
        <v>456.3</v>
      </c>
      <c r="T25" s="254">
        <f t="shared" si="25"/>
        <v>14722.8</v>
      </c>
      <c r="U25" s="254">
        <f t="shared" si="25"/>
        <v>1</v>
      </c>
      <c r="V25" s="254">
        <f t="shared" si="25"/>
        <v>14722.5</v>
      </c>
      <c r="W25" s="254">
        <f t="shared" si="25"/>
        <v>4305.6000000000004</v>
      </c>
      <c r="X25" s="254">
        <f t="shared" si="25"/>
        <v>7</v>
      </c>
      <c r="Y25" s="254">
        <f t="shared" si="25"/>
        <v>480</v>
      </c>
      <c r="Z25" s="254">
        <f t="shared" si="25"/>
        <v>210</v>
      </c>
      <c r="AA25" s="254">
        <f t="shared" si="25"/>
        <v>1</v>
      </c>
      <c r="AB25" s="254">
        <f t="shared" si="25"/>
        <v>240</v>
      </c>
      <c r="AC25" s="254">
        <f t="shared" si="25"/>
        <v>15</v>
      </c>
      <c r="AD25" s="254">
        <f t="shared" si="25"/>
        <v>2</v>
      </c>
      <c r="AE25" s="254">
        <f t="shared" si="25"/>
        <v>480</v>
      </c>
      <c r="AF25" s="254">
        <f t="shared" si="25"/>
        <v>60</v>
      </c>
      <c r="AG25" s="254">
        <f t="shared" si="25"/>
        <v>85.5</v>
      </c>
      <c r="AH25" s="254">
        <f t="shared" si="25"/>
        <v>370.5</v>
      </c>
      <c r="AI25" s="114"/>
      <c r="AN25" s="211"/>
      <c r="AO25" s="211"/>
      <c r="AP25" s="211"/>
      <c r="AQ25" s="211"/>
      <c r="AR25" s="99"/>
      <c r="AS25" s="99"/>
    </row>
    <row r="26" spans="1:45" x14ac:dyDescent="0.2">
      <c r="G26" s="131"/>
      <c r="H26" s="131"/>
      <c r="I26" s="131"/>
      <c r="J26" s="131"/>
      <c r="K26" s="131"/>
      <c r="L26" s="131"/>
      <c r="M26" s="131"/>
      <c r="N26" s="131"/>
      <c r="O26" s="131"/>
      <c r="P26" s="131"/>
      <c r="Q26" s="131"/>
      <c r="R26" s="131"/>
      <c r="S26" s="131"/>
      <c r="T26" s="131"/>
      <c r="V26" s="114"/>
      <c r="W26" s="66"/>
      <c r="X26" s="131"/>
      <c r="AA26" s="131"/>
      <c r="AD26" s="131"/>
      <c r="AG26" s="131"/>
      <c r="AH26" s="131"/>
      <c r="AO26" s="50"/>
      <c r="AP26" s="50"/>
      <c r="AQ26" s="50"/>
    </row>
    <row r="27" spans="1:45" x14ac:dyDescent="0.2">
      <c r="B27" s="255"/>
      <c r="C27" s="256"/>
      <c r="D27" s="256"/>
      <c r="E27" s="257"/>
      <c r="F27" s="257"/>
      <c r="G27" s="257"/>
      <c r="H27" s="257"/>
      <c r="I27" s="133"/>
      <c r="J27" s="131"/>
      <c r="K27" s="131"/>
      <c r="L27" s="131"/>
      <c r="M27" s="131"/>
      <c r="N27" s="131"/>
      <c r="O27" s="131"/>
      <c r="P27" s="131"/>
      <c r="Q27" s="131"/>
      <c r="R27" s="131"/>
      <c r="S27" s="131"/>
      <c r="T27" s="131"/>
      <c r="V27" s="114"/>
      <c r="W27" s="114"/>
      <c r="X27" s="131"/>
      <c r="AA27" s="131"/>
      <c r="AD27" s="131"/>
      <c r="AE27" s="131"/>
    </row>
    <row r="28" spans="1:45" s="75" customFormat="1" x14ac:dyDescent="0.2">
      <c r="A28" s="70"/>
      <c r="B28" s="70"/>
      <c r="C28" s="71"/>
      <c r="D28" s="72"/>
      <c r="E28" s="72"/>
      <c r="F28" s="72"/>
      <c r="G28" s="72"/>
      <c r="H28" s="73"/>
      <c r="I28" s="73"/>
      <c r="J28" s="27"/>
      <c r="K28" s="27"/>
      <c r="L28" s="27"/>
      <c r="M28" s="27"/>
      <c r="N28" s="74"/>
      <c r="O28" s="27"/>
      <c r="P28" s="27"/>
      <c r="Q28" s="27"/>
      <c r="R28" s="27"/>
      <c r="S28" s="27"/>
      <c r="T28" s="27"/>
      <c r="U28" s="27"/>
      <c r="V28" s="27"/>
      <c r="W28" s="27"/>
      <c r="X28" s="27"/>
      <c r="Y28" s="27"/>
      <c r="Z28" s="27"/>
      <c r="AA28" s="27"/>
      <c r="AB28" s="27"/>
      <c r="AC28" s="27"/>
      <c r="AD28" s="27"/>
      <c r="AE28" s="27"/>
      <c r="AF28" s="27"/>
      <c r="AG28" s="27"/>
      <c r="AH28" s="27"/>
      <c r="AI28" s="27"/>
      <c r="AJ28" s="76"/>
      <c r="AN28" s="76"/>
      <c r="AO28" s="76"/>
      <c r="AP28" s="76"/>
      <c r="AQ28" s="76"/>
      <c r="AR28" s="76"/>
    </row>
    <row r="29" spans="1:45" s="75" customFormat="1" ht="59.25" customHeight="1" x14ac:dyDescent="0.2">
      <c r="A29" s="70"/>
      <c r="B29" s="70"/>
      <c r="C29" s="71"/>
      <c r="D29" s="77"/>
      <c r="E29" s="77"/>
      <c r="F29" s="27"/>
      <c r="G29" s="1438" t="s">
        <v>140</v>
      </c>
      <c r="H29" s="1438"/>
      <c r="I29" s="1438" t="s">
        <v>145</v>
      </c>
      <c r="J29" s="1438"/>
      <c r="K29" s="1438" t="s">
        <v>128</v>
      </c>
      <c r="L29" s="1438"/>
      <c r="Q29" s="27"/>
      <c r="R29" s="27"/>
      <c r="S29" s="27"/>
      <c r="T29" s="27"/>
      <c r="U29" s="27"/>
      <c r="V29" s="27"/>
      <c r="W29" s="27"/>
      <c r="X29" s="27"/>
      <c r="Y29" s="27"/>
      <c r="Z29" s="27"/>
      <c r="AA29" s="27"/>
      <c r="AB29" s="27"/>
      <c r="AC29" s="27"/>
      <c r="AD29" s="27"/>
      <c r="AE29" s="27"/>
      <c r="AF29" s="27"/>
      <c r="AG29" s="27"/>
      <c r="AH29" s="27"/>
      <c r="AI29" s="27"/>
      <c r="AJ29" s="76"/>
      <c r="AN29" s="76"/>
      <c r="AO29" s="76"/>
      <c r="AP29" s="76"/>
      <c r="AQ29" s="76"/>
      <c r="AR29" s="76"/>
    </row>
    <row r="30" spans="1:45" s="75" customFormat="1" x14ac:dyDescent="0.2">
      <c r="A30" s="70"/>
      <c r="B30" s="70"/>
      <c r="C30" s="71"/>
      <c r="D30" s="77"/>
      <c r="E30" s="77"/>
      <c r="F30" s="27"/>
      <c r="G30" s="279">
        <v>991</v>
      </c>
      <c r="H30" s="279">
        <v>992</v>
      </c>
      <c r="I30" s="279">
        <v>991</v>
      </c>
      <c r="J30" s="279">
        <v>992</v>
      </c>
      <c r="K30" s="279">
        <v>991</v>
      </c>
      <c r="L30" s="279">
        <v>992</v>
      </c>
      <c r="Q30" s="27"/>
      <c r="R30" s="27"/>
      <c r="S30" s="27"/>
      <c r="T30" s="27"/>
      <c r="U30" s="27"/>
      <c r="V30" s="27"/>
      <c r="W30" s="27"/>
      <c r="X30" s="27"/>
      <c r="Y30" s="27"/>
      <c r="Z30" s="27"/>
      <c r="AA30" s="27"/>
      <c r="AB30" s="27"/>
      <c r="AC30" s="27"/>
      <c r="AD30" s="27"/>
      <c r="AE30" s="27"/>
      <c r="AF30" s="27"/>
      <c r="AG30" s="27"/>
      <c r="AH30" s="27"/>
      <c r="AI30" s="27"/>
      <c r="AJ30" s="76"/>
      <c r="AN30" s="76"/>
      <c r="AO30" s="76"/>
      <c r="AP30" s="76"/>
      <c r="AQ30" s="76"/>
      <c r="AR30" s="76"/>
    </row>
    <row r="31" spans="1:45" s="75" customFormat="1" x14ac:dyDescent="0.2">
      <c r="A31" s="70"/>
      <c r="B31" s="70"/>
      <c r="C31" s="71"/>
      <c r="D31" s="77"/>
      <c r="E31" s="77"/>
      <c r="F31" s="27"/>
      <c r="G31" s="29">
        <v>14722.5</v>
      </c>
      <c r="H31" s="29">
        <v>4245.1000000000004</v>
      </c>
      <c r="I31" s="29">
        <f>V25</f>
        <v>14722.5</v>
      </c>
      <c r="J31" s="29">
        <f>W25</f>
        <v>4305.6000000000004</v>
      </c>
      <c r="K31" s="29">
        <f>G31-I31</f>
        <v>0</v>
      </c>
      <c r="L31" s="29">
        <f>H31-J31</f>
        <v>-60.5</v>
      </c>
      <c r="Q31" s="27"/>
      <c r="R31" s="27"/>
      <c r="S31" s="27"/>
      <c r="T31" s="27"/>
      <c r="U31" s="27"/>
      <c r="V31" s="27"/>
      <c r="W31" s="27"/>
      <c r="X31" s="27"/>
      <c r="Y31" s="27"/>
      <c r="Z31" s="27"/>
      <c r="AA31" s="27"/>
      <c r="AB31" s="27"/>
      <c r="AC31" s="27"/>
      <c r="AD31" s="27"/>
      <c r="AE31" s="27"/>
      <c r="AF31" s="27"/>
      <c r="AG31" s="27"/>
      <c r="AH31" s="27"/>
      <c r="AI31" s="27"/>
      <c r="AJ31" s="76"/>
      <c r="AN31" s="76"/>
      <c r="AO31" s="76"/>
      <c r="AP31" s="76"/>
      <c r="AQ31" s="76"/>
      <c r="AR31" s="76"/>
    </row>
    <row r="32" spans="1:45" s="75" customFormat="1" x14ac:dyDescent="0.2">
      <c r="A32" s="70"/>
      <c r="B32" s="70"/>
      <c r="C32" s="71"/>
      <c r="D32" s="77"/>
      <c r="E32" s="77"/>
      <c r="F32" s="27"/>
      <c r="G32" s="27"/>
      <c r="H32" s="80"/>
      <c r="I32" s="27"/>
      <c r="J32" s="80"/>
      <c r="K32" s="27"/>
      <c r="L32" s="27"/>
      <c r="M32" s="27"/>
      <c r="N32" s="74"/>
      <c r="O32" s="27"/>
      <c r="P32" s="27"/>
      <c r="Q32" s="27"/>
      <c r="R32" s="27"/>
      <c r="S32" s="27"/>
      <c r="T32" s="27"/>
      <c r="U32" s="27"/>
      <c r="V32" s="27"/>
      <c r="W32" s="27"/>
      <c r="X32" s="27"/>
      <c r="Y32" s="27"/>
      <c r="Z32" s="27"/>
      <c r="AA32" s="27"/>
      <c r="AB32" s="27"/>
      <c r="AC32" s="27"/>
      <c r="AD32" s="27"/>
      <c r="AE32" s="27"/>
      <c r="AF32" s="27"/>
      <c r="AG32" s="27"/>
      <c r="AH32" s="27"/>
      <c r="AI32" s="27"/>
      <c r="AJ32" s="76"/>
      <c r="AN32" s="76"/>
      <c r="AO32" s="76"/>
      <c r="AP32" s="76"/>
      <c r="AQ32" s="76"/>
      <c r="AR32" s="76"/>
    </row>
    <row r="33" spans="1:44" s="75" customFormat="1" x14ac:dyDescent="0.2">
      <c r="A33" s="70"/>
      <c r="B33" s="70"/>
      <c r="C33" s="71"/>
      <c r="D33" s="77"/>
      <c r="E33" s="77"/>
      <c r="F33" s="27"/>
      <c r="G33" s="27"/>
      <c r="H33" s="80"/>
      <c r="I33" s="27"/>
      <c r="J33" s="80"/>
      <c r="K33" s="27"/>
      <c r="L33" s="27"/>
      <c r="M33" s="27"/>
      <c r="N33" s="74"/>
      <c r="O33" s="27"/>
      <c r="P33" s="27"/>
      <c r="Q33" s="27"/>
      <c r="R33" s="27"/>
      <c r="S33" s="27"/>
      <c r="T33" s="27"/>
      <c r="U33" s="27"/>
      <c r="V33" s="27"/>
      <c r="W33" s="27"/>
      <c r="X33" s="27"/>
      <c r="Y33" s="27"/>
      <c r="Z33" s="27"/>
      <c r="AA33" s="27"/>
      <c r="AB33" s="27"/>
      <c r="AC33" s="27"/>
      <c r="AD33" s="27"/>
      <c r="AE33" s="27"/>
      <c r="AF33" s="27"/>
      <c r="AG33" s="27"/>
      <c r="AH33" s="27"/>
      <c r="AI33" s="27"/>
      <c r="AJ33" s="76"/>
      <c r="AN33" s="76"/>
      <c r="AO33" s="76"/>
      <c r="AP33" s="76"/>
      <c r="AQ33" s="76"/>
      <c r="AR33" s="76"/>
    </row>
    <row r="34" spans="1:44" s="75" customFormat="1" x14ac:dyDescent="0.2">
      <c r="A34" s="70"/>
      <c r="B34" s="70"/>
      <c r="C34" s="71"/>
      <c r="D34" s="77"/>
      <c r="E34" s="77"/>
      <c r="F34" s="27"/>
      <c r="G34" s="27"/>
      <c r="H34" s="80"/>
      <c r="I34" s="27"/>
      <c r="J34" s="80"/>
      <c r="K34" s="27"/>
      <c r="L34" s="27"/>
      <c r="M34" s="27"/>
      <c r="N34" s="74"/>
      <c r="O34" s="27"/>
      <c r="P34" s="27"/>
      <c r="Q34" s="27"/>
      <c r="R34" s="27"/>
      <c r="S34" s="27"/>
      <c r="T34" s="27"/>
      <c r="U34" s="27"/>
      <c r="V34" s="27"/>
      <c r="W34" s="27"/>
      <c r="X34" s="27"/>
      <c r="Y34" s="27"/>
      <c r="Z34" s="27"/>
      <c r="AA34" s="27"/>
      <c r="AB34" s="27"/>
      <c r="AC34" s="27"/>
      <c r="AD34" s="27"/>
      <c r="AE34" s="27"/>
      <c r="AF34" s="27"/>
      <c r="AG34" s="27"/>
      <c r="AH34" s="27"/>
      <c r="AI34" s="27"/>
      <c r="AJ34" s="76"/>
      <c r="AN34" s="76"/>
      <c r="AO34" s="76"/>
      <c r="AP34" s="76"/>
      <c r="AQ34" s="76"/>
      <c r="AR34" s="76"/>
    </row>
    <row r="35" spans="1:44" s="75" customFormat="1" x14ac:dyDescent="0.2">
      <c r="A35" s="70"/>
      <c r="B35" s="70"/>
      <c r="C35" s="71"/>
      <c r="D35" s="77"/>
      <c r="E35" s="77"/>
      <c r="F35" s="27"/>
      <c r="G35" s="27"/>
      <c r="H35" s="80"/>
      <c r="I35" s="27"/>
      <c r="J35" s="80"/>
      <c r="K35" s="27"/>
      <c r="L35" s="27"/>
      <c r="M35" s="27"/>
      <c r="N35" s="74"/>
      <c r="O35" s="27"/>
      <c r="P35" s="27"/>
      <c r="Q35" s="27"/>
      <c r="R35" s="27"/>
      <c r="S35" s="27"/>
      <c r="T35" s="27"/>
      <c r="U35" s="27"/>
      <c r="V35" s="27"/>
      <c r="W35" s="27"/>
      <c r="X35" s="27"/>
      <c r="Y35" s="27"/>
      <c r="Z35" s="27"/>
      <c r="AA35" s="27"/>
      <c r="AB35" s="27"/>
      <c r="AC35" s="27"/>
      <c r="AD35" s="27"/>
      <c r="AE35" s="27"/>
      <c r="AF35" s="27"/>
      <c r="AG35" s="27"/>
      <c r="AH35" s="27"/>
      <c r="AI35" s="27"/>
      <c r="AJ35" s="76"/>
      <c r="AN35" s="76"/>
      <c r="AO35" s="76"/>
      <c r="AP35" s="76"/>
      <c r="AQ35" s="76"/>
      <c r="AR35" s="76"/>
    </row>
    <row r="36" spans="1:44" s="282" customFormat="1" ht="20.25" x14ac:dyDescent="0.2">
      <c r="A36" s="81"/>
      <c r="B36" s="82" t="s">
        <v>138</v>
      </c>
      <c r="C36" s="83"/>
      <c r="D36" s="84"/>
      <c r="E36" s="84"/>
      <c r="F36" s="85"/>
      <c r="G36" s="85"/>
      <c r="H36" s="86"/>
      <c r="I36" s="86"/>
      <c r="J36" s="85"/>
      <c r="K36" s="30" t="s">
        <v>166</v>
      </c>
      <c r="L36" s="85"/>
      <c r="M36" s="85"/>
      <c r="N36" s="87"/>
      <c r="O36" s="85"/>
      <c r="P36" s="85"/>
      <c r="Q36" s="85"/>
      <c r="R36" s="85"/>
      <c r="S36" s="85"/>
      <c r="T36" s="85"/>
      <c r="U36" s="85"/>
      <c r="V36" s="85"/>
      <c r="W36" s="85"/>
      <c r="X36" s="85"/>
      <c r="Y36" s="85"/>
      <c r="Z36" s="85"/>
      <c r="AA36" s="85"/>
      <c r="AB36" s="85"/>
      <c r="AC36" s="85"/>
      <c r="AD36" s="85"/>
      <c r="AE36" s="85"/>
      <c r="AF36" s="85"/>
      <c r="AG36" s="85"/>
      <c r="AH36" s="85"/>
      <c r="AI36" s="85"/>
      <c r="AK36" s="88"/>
      <c r="AL36" s="88"/>
      <c r="AM36" s="88"/>
      <c r="AN36" s="88"/>
      <c r="AO36" s="88"/>
    </row>
    <row r="37" spans="1:44" s="143" customFormat="1" x14ac:dyDescent="0.2">
      <c r="A37" s="136"/>
      <c r="B37" s="136"/>
      <c r="C37" s="137"/>
      <c r="D37" s="144"/>
      <c r="E37" s="144"/>
      <c r="F37" s="140"/>
      <c r="G37" s="140"/>
      <c r="H37" s="139"/>
      <c r="I37" s="139"/>
      <c r="J37" s="140"/>
      <c r="K37" s="140"/>
      <c r="L37" s="140"/>
      <c r="M37" s="140"/>
      <c r="N37" s="141"/>
      <c r="O37" s="140"/>
      <c r="P37" s="140"/>
      <c r="Q37" s="140"/>
      <c r="R37" s="140"/>
      <c r="S37" s="140"/>
      <c r="T37" s="140"/>
      <c r="U37" s="140"/>
      <c r="V37" s="140"/>
      <c r="W37" s="140"/>
      <c r="X37" s="140"/>
      <c r="Y37" s="140"/>
      <c r="Z37" s="140"/>
      <c r="AA37" s="140"/>
      <c r="AB37" s="140"/>
      <c r="AC37" s="140"/>
      <c r="AD37" s="140"/>
      <c r="AE37" s="140"/>
      <c r="AF37" s="142"/>
      <c r="AK37" s="142"/>
      <c r="AL37" s="142"/>
      <c r="AM37" s="142"/>
      <c r="AN37" s="76"/>
      <c r="AO37" s="76"/>
      <c r="AP37" s="76"/>
      <c r="AQ37" s="76"/>
      <c r="AR37" s="99"/>
    </row>
    <row r="38" spans="1:44" s="143" customFormat="1" x14ac:dyDescent="0.2">
      <c r="A38" s="136"/>
      <c r="B38" s="136"/>
      <c r="C38" s="137"/>
      <c r="D38" s="144"/>
      <c r="E38" s="144"/>
      <c r="F38" s="140"/>
      <c r="G38" s="140"/>
      <c r="H38" s="139"/>
      <c r="I38" s="139"/>
      <c r="J38" s="140"/>
      <c r="K38" s="140"/>
      <c r="L38" s="140"/>
      <c r="M38" s="140"/>
      <c r="N38" s="202"/>
      <c r="O38" s="203"/>
      <c r="P38" s="140"/>
      <c r="Q38" s="140"/>
      <c r="R38" s="140"/>
      <c r="S38" s="140"/>
      <c r="T38" s="140"/>
      <c r="U38" s="140"/>
      <c r="V38" s="140"/>
      <c r="W38" s="140"/>
      <c r="X38" s="140"/>
      <c r="Y38" s="140"/>
      <c r="Z38" s="140"/>
      <c r="AA38" s="140"/>
      <c r="AB38" s="140"/>
      <c r="AC38" s="140"/>
      <c r="AD38" s="140"/>
      <c r="AE38" s="140"/>
      <c r="AF38" s="142"/>
      <c r="AK38" s="142"/>
      <c r="AL38" s="142"/>
      <c r="AM38" s="142"/>
      <c r="AN38" s="76"/>
      <c r="AO38" s="76"/>
      <c r="AP38" s="76"/>
      <c r="AQ38" s="76"/>
      <c r="AR38" s="252"/>
    </row>
    <row r="39" spans="1:44" s="143" customFormat="1" ht="20.25" customHeight="1" x14ac:dyDescent="0.2">
      <c r="A39" s="145" t="s">
        <v>96</v>
      </c>
      <c r="B39" s="145"/>
      <c r="C39" s="146"/>
      <c r="D39" s="146"/>
      <c r="E39" s="146"/>
      <c r="F39" s="146"/>
      <c r="G39" s="146"/>
      <c r="H39" s="146"/>
      <c r="I39" s="146"/>
      <c r="J39" s="146"/>
      <c r="K39" s="146"/>
      <c r="L39" s="147"/>
      <c r="M39" s="147"/>
      <c r="N39" s="202"/>
      <c r="O39" s="203"/>
      <c r="P39" s="147"/>
      <c r="Q39" s="147"/>
      <c r="R39" s="147"/>
      <c r="S39" s="147"/>
      <c r="T39" s="147"/>
      <c r="U39" s="147"/>
      <c r="V39" s="147"/>
      <c r="W39" s="147"/>
      <c r="X39" s="147"/>
      <c r="Y39" s="147"/>
      <c r="Z39" s="147"/>
      <c r="AA39" s="147"/>
      <c r="AB39" s="147"/>
      <c r="AC39" s="147"/>
      <c r="AD39" s="147"/>
      <c r="AE39" s="147"/>
      <c r="AF39" s="142"/>
      <c r="AK39" s="142"/>
      <c r="AL39" s="142"/>
      <c r="AM39" s="142"/>
      <c r="AN39" s="76"/>
      <c r="AO39" s="76"/>
      <c r="AP39" s="76"/>
      <c r="AQ39" s="76"/>
      <c r="AR39" s="99"/>
    </row>
    <row r="40" spans="1:44" s="143" customFormat="1" ht="20.25" customHeight="1" x14ac:dyDescent="0.2">
      <c r="A40" s="145" t="s">
        <v>139</v>
      </c>
      <c r="B40" s="149"/>
      <c r="C40" s="150"/>
      <c r="D40" s="150"/>
      <c r="E40" s="151"/>
      <c r="F40" s="151"/>
      <c r="G40" s="151"/>
      <c r="H40" s="151"/>
      <c r="I40" s="151"/>
      <c r="J40" s="151"/>
      <c r="K40" s="151"/>
      <c r="L40" s="147"/>
      <c r="M40" s="147"/>
      <c r="N40" s="202"/>
      <c r="O40" s="203"/>
      <c r="P40" s="147"/>
      <c r="Q40" s="147"/>
      <c r="R40" s="147"/>
      <c r="S40" s="147"/>
      <c r="T40" s="147"/>
      <c r="U40" s="147"/>
      <c r="V40" s="147"/>
      <c r="W40" s="147"/>
      <c r="X40" s="147"/>
      <c r="Y40" s="147"/>
      <c r="Z40" s="147"/>
      <c r="AA40" s="147"/>
      <c r="AB40" s="147"/>
      <c r="AC40" s="147"/>
      <c r="AD40" s="147"/>
      <c r="AE40" s="147"/>
      <c r="AF40" s="142"/>
      <c r="AK40" s="142"/>
      <c r="AL40" s="142"/>
      <c r="AM40" s="142"/>
      <c r="AN40" s="76"/>
      <c r="AO40" s="76"/>
      <c r="AP40" s="76"/>
      <c r="AQ40" s="76"/>
      <c r="AR40" s="252"/>
    </row>
    <row r="41" spans="1:44" x14ac:dyDescent="0.2">
      <c r="A41" s="99"/>
      <c r="I41" s="153"/>
      <c r="J41" s="153"/>
      <c r="W41" s="131"/>
      <c r="X41" s="131"/>
      <c r="AA41" s="131"/>
      <c r="AD41" s="131"/>
      <c r="AE41" s="131"/>
      <c r="AN41" s="76"/>
      <c r="AO41" s="76"/>
      <c r="AP41" s="76"/>
      <c r="AQ41" s="76"/>
      <c r="AR41" s="98"/>
    </row>
    <row r="42" spans="1:44" ht="16.5" x14ac:dyDescent="0.2">
      <c r="A42" s="258"/>
      <c r="W42" s="131"/>
      <c r="X42" s="131"/>
      <c r="AA42" s="131"/>
      <c r="AD42" s="131"/>
      <c r="AE42" s="131"/>
    </row>
    <row r="43" spans="1:44" x14ac:dyDescent="0.2">
      <c r="AG43" s="114"/>
    </row>
    <row r="45" spans="1:44" x14ac:dyDescent="0.2">
      <c r="E45" s="115"/>
    </row>
    <row r="46" spans="1:44" x14ac:dyDescent="0.2">
      <c r="E46" s="115"/>
    </row>
    <row r="47" spans="1:44" x14ac:dyDescent="0.2">
      <c r="E47" s="115"/>
      <c r="K47" s="153"/>
    </row>
    <row r="48" spans="1:44" x14ac:dyDescent="0.2">
      <c r="A48" s="99"/>
      <c r="E48" s="115"/>
    </row>
    <row r="49" spans="1:45" x14ac:dyDescent="0.2">
      <c r="A49" s="99"/>
      <c r="E49" s="115"/>
    </row>
    <row r="50" spans="1:45" x14ac:dyDescent="0.2">
      <c r="A50" s="99"/>
      <c r="E50" s="115"/>
    </row>
    <row r="51" spans="1:45" x14ac:dyDescent="0.2">
      <c r="A51" s="99"/>
      <c r="E51" s="115"/>
    </row>
    <row r="52" spans="1:45" x14ac:dyDescent="0.2">
      <c r="A52" s="99"/>
      <c r="E52" s="115"/>
    </row>
    <row r="53" spans="1:45" x14ac:dyDescent="0.2">
      <c r="A53" s="99"/>
      <c r="E53" s="115"/>
    </row>
    <row r="54" spans="1:45" x14ac:dyDescent="0.2">
      <c r="A54" s="99"/>
      <c r="E54" s="115"/>
    </row>
    <row r="55" spans="1:45" x14ac:dyDescent="0.2">
      <c r="A55" s="99"/>
      <c r="E55" s="115"/>
    </row>
    <row r="56" spans="1:45" x14ac:dyDescent="0.2">
      <c r="A56" s="99"/>
      <c r="E56" s="115"/>
    </row>
    <row r="57" spans="1:45" x14ac:dyDescent="0.2">
      <c r="A57" s="99"/>
      <c r="E57" s="115"/>
    </row>
    <row r="58" spans="1:45" x14ac:dyDescent="0.2">
      <c r="A58" s="99"/>
      <c r="E58" s="115"/>
    </row>
    <row r="59" spans="1:45" x14ac:dyDescent="0.2">
      <c r="A59" s="99"/>
      <c r="E59" s="115"/>
    </row>
    <row r="60" spans="1:45" s="211" customFormat="1" x14ac:dyDescent="0.2">
      <c r="A60" s="99"/>
      <c r="B60" s="99"/>
      <c r="C60" s="99"/>
      <c r="D60" s="99"/>
      <c r="E60" s="115"/>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99"/>
      <c r="AR60" s="99"/>
      <c r="AS60" s="99"/>
    </row>
    <row r="61" spans="1:45" s="211" customFormat="1" x14ac:dyDescent="0.2">
      <c r="A61" s="99"/>
      <c r="B61" s="99"/>
      <c r="C61" s="99"/>
      <c r="D61" s="99"/>
      <c r="E61" s="115"/>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R61" s="99"/>
      <c r="AS61" s="99"/>
    </row>
    <row r="62" spans="1:45" s="211" customFormat="1" x14ac:dyDescent="0.2">
      <c r="A62" s="99"/>
      <c r="B62" s="99"/>
      <c r="C62" s="99"/>
      <c r="D62" s="99"/>
      <c r="E62" s="115"/>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R62" s="99"/>
      <c r="AS62" s="99"/>
    </row>
    <row r="63" spans="1:45" s="211" customFormat="1" x14ac:dyDescent="0.2">
      <c r="A63" s="99"/>
      <c r="B63" s="99"/>
      <c r="C63" s="99"/>
      <c r="D63" s="99"/>
      <c r="E63" s="115"/>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R63" s="99"/>
      <c r="AS63" s="99"/>
    </row>
    <row r="64" spans="1:45" s="211" customFormat="1" x14ac:dyDescent="0.2">
      <c r="A64" s="99"/>
      <c r="B64" s="99"/>
      <c r="C64" s="99"/>
      <c r="D64" s="99"/>
      <c r="E64" s="115"/>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R64" s="99"/>
      <c r="AS64" s="99"/>
    </row>
    <row r="65" spans="1:45" s="211" customFormat="1" x14ac:dyDescent="0.2">
      <c r="A65" s="99"/>
      <c r="B65" s="99"/>
      <c r="C65" s="99"/>
      <c r="D65" s="99"/>
      <c r="E65" s="115"/>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R65" s="99"/>
      <c r="AS65" s="99"/>
    </row>
    <row r="66" spans="1:45" s="211" customFormat="1" x14ac:dyDescent="0.2">
      <c r="A66" s="99"/>
      <c r="B66" s="99"/>
      <c r="C66" s="99"/>
      <c r="D66" s="99"/>
      <c r="E66" s="115"/>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99"/>
      <c r="AR66" s="99"/>
      <c r="AS66" s="99"/>
    </row>
  </sheetData>
  <autoFilter ref="A8:AS25"/>
  <mergeCells count="37">
    <mergeCell ref="G29:H29"/>
    <mergeCell ref="I29:J29"/>
    <mergeCell ref="K29:L29"/>
    <mergeCell ref="AA6:AC6"/>
    <mergeCell ref="J6:J7"/>
    <mergeCell ref="K6:K7"/>
    <mergeCell ref="AH6:AH7"/>
    <mergeCell ref="U9:U24"/>
    <mergeCell ref="A25:B25"/>
    <mergeCell ref="S6:S7"/>
    <mergeCell ref="T6:T7"/>
    <mergeCell ref="U6:U7"/>
    <mergeCell ref="V6:V7"/>
    <mergeCell ref="W6:W7"/>
    <mergeCell ref="X6:Z6"/>
    <mergeCell ref="L6:L7"/>
    <mergeCell ref="F6:F7"/>
    <mergeCell ref="G6:G7"/>
    <mergeCell ref="H6:H7"/>
    <mergeCell ref="I6:I7"/>
    <mergeCell ref="R6:R7"/>
    <mergeCell ref="AE1:AH1"/>
    <mergeCell ref="A2:AH2"/>
    <mergeCell ref="A3:AH3"/>
    <mergeCell ref="A5:A7"/>
    <mergeCell ref="B5:B7"/>
    <mergeCell ref="C5:C7"/>
    <mergeCell ref="D5:W5"/>
    <mergeCell ref="X5:AH5"/>
    <mergeCell ref="D6:D7"/>
    <mergeCell ref="E6:E7"/>
    <mergeCell ref="AG6:AG7"/>
    <mergeCell ref="M6:M7"/>
    <mergeCell ref="N6:O6"/>
    <mergeCell ref="P6:P7"/>
    <mergeCell ref="Q6:Q7"/>
    <mergeCell ref="AD6:AF6"/>
  </mergeCells>
  <printOptions horizontalCentered="1"/>
  <pageMargins left="0" right="0" top="0" bottom="0" header="0.31496062992125984" footer="0.31496062992125984"/>
  <pageSetup paperSize="9" scale="39" orientation="landscape"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S68"/>
  <sheetViews>
    <sheetView view="pageBreakPreview" zoomScale="80" zoomScaleNormal="70" zoomScaleSheetLayoutView="80" workbookViewId="0">
      <pane xSplit="3" ySplit="8" topLeftCell="D21"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5" x14ac:dyDescent="0.2"/>
  <cols>
    <col min="1" max="1" width="10.33203125" style="99" customWidth="1"/>
    <col min="2" max="2" width="30.83203125" style="99" customWidth="1"/>
    <col min="3" max="22" width="13.5" style="99" customWidth="1"/>
    <col min="23" max="23" width="12" style="99" customWidth="1"/>
    <col min="24" max="24" width="11.5" style="99" customWidth="1"/>
    <col min="25" max="25" width="12.33203125" style="99" customWidth="1"/>
    <col min="26" max="26" width="9.6640625" style="99" customWidth="1"/>
    <col min="27" max="32" width="8.5" style="99" customWidth="1"/>
    <col min="33" max="33" width="9.33203125" style="99" customWidth="1"/>
    <col min="34" max="34" width="10.6640625" style="99" customWidth="1"/>
    <col min="35" max="35" width="13.5" style="99" customWidth="1"/>
    <col min="36" max="36" width="12.6640625" style="99" customWidth="1"/>
    <col min="37" max="37" width="13" style="99" bestFit="1" customWidth="1"/>
    <col min="38" max="38" width="0" style="99" hidden="1" customWidth="1"/>
    <col min="39" max="39" width="13" style="99" hidden="1" customWidth="1"/>
    <col min="40" max="42" width="9.33203125" style="211"/>
    <col min="43" max="43" width="11.33203125" style="211" bestFit="1" customWidth="1"/>
    <col min="44" max="16384" width="9.33203125" style="99"/>
  </cols>
  <sheetData>
    <row r="1" spans="1:45" ht="22.5" customHeight="1" x14ac:dyDescent="0.2">
      <c r="AE1" s="1439"/>
      <c r="AF1" s="1439"/>
      <c r="AG1" s="1439"/>
      <c r="AH1" s="1439"/>
    </row>
    <row r="2" spans="1:45" ht="24" customHeight="1" x14ac:dyDescent="0.2">
      <c r="A2" s="1440" t="s">
        <v>163</v>
      </c>
      <c r="B2" s="1440"/>
      <c r="C2" s="1440"/>
      <c r="D2" s="1440"/>
      <c r="E2" s="1440"/>
      <c r="F2" s="1440"/>
      <c r="G2" s="1440"/>
      <c r="H2" s="1440"/>
      <c r="I2" s="1440"/>
      <c r="J2" s="1440"/>
      <c r="K2" s="1440"/>
      <c r="L2" s="1440"/>
      <c r="M2" s="1440"/>
      <c r="N2" s="1440"/>
      <c r="O2" s="1440"/>
      <c r="P2" s="1440"/>
      <c r="Q2" s="1440"/>
      <c r="R2" s="1440"/>
      <c r="S2" s="1440"/>
      <c r="T2" s="1440"/>
      <c r="U2" s="1440"/>
      <c r="V2" s="1440"/>
      <c r="W2" s="1440"/>
      <c r="X2" s="1440"/>
      <c r="Y2" s="1440"/>
      <c r="Z2" s="1440"/>
      <c r="AA2" s="1440"/>
      <c r="AB2" s="1440"/>
      <c r="AC2" s="1440"/>
      <c r="AD2" s="1440"/>
      <c r="AE2" s="1440"/>
      <c r="AF2" s="1440"/>
      <c r="AG2" s="1440"/>
      <c r="AH2" s="1440"/>
      <c r="AI2" s="235"/>
    </row>
    <row r="3" spans="1:45" ht="24.75" customHeight="1" x14ac:dyDescent="0.2">
      <c r="A3" s="1441"/>
      <c r="B3" s="1441"/>
      <c r="C3" s="1441"/>
      <c r="D3" s="1441"/>
      <c r="E3" s="1441"/>
      <c r="F3" s="1441"/>
      <c r="G3" s="1441"/>
      <c r="H3" s="1441"/>
      <c r="I3" s="1441"/>
      <c r="J3" s="1441"/>
      <c r="K3" s="1441"/>
      <c r="L3" s="1441"/>
      <c r="M3" s="1441"/>
      <c r="N3" s="1441"/>
      <c r="O3" s="1441"/>
      <c r="P3" s="1441"/>
      <c r="Q3" s="1441"/>
      <c r="R3" s="1441"/>
      <c r="S3" s="1441"/>
      <c r="T3" s="1441"/>
      <c r="U3" s="1441"/>
      <c r="V3" s="1441"/>
      <c r="W3" s="1441"/>
      <c r="X3" s="1441"/>
      <c r="Y3" s="1441"/>
      <c r="Z3" s="1441"/>
      <c r="AA3" s="1441"/>
      <c r="AB3" s="1441"/>
      <c r="AC3" s="1441"/>
      <c r="AD3" s="1441"/>
      <c r="AE3" s="1441"/>
      <c r="AF3" s="1441"/>
      <c r="AG3" s="1441"/>
      <c r="AH3" s="1441"/>
      <c r="AI3" s="287"/>
    </row>
    <row r="4" spans="1:45" x14ac:dyDescent="0.2">
      <c r="L4" s="38">
        <v>0.27208500000000002</v>
      </c>
      <c r="M4" s="38"/>
    </row>
    <row r="5" spans="1:45" ht="38.25" customHeight="1" x14ac:dyDescent="0.2">
      <c r="A5" s="1442" t="s">
        <v>78</v>
      </c>
      <c r="B5" s="1442" t="s">
        <v>77</v>
      </c>
      <c r="C5" s="1443" t="s">
        <v>0</v>
      </c>
      <c r="D5" s="1443" t="s">
        <v>3</v>
      </c>
      <c r="E5" s="1443"/>
      <c r="F5" s="1443"/>
      <c r="G5" s="1443"/>
      <c r="H5" s="1443"/>
      <c r="I5" s="1443"/>
      <c r="J5" s="1443"/>
      <c r="K5" s="1443"/>
      <c r="L5" s="1443"/>
      <c r="M5" s="1443"/>
      <c r="N5" s="1443"/>
      <c r="O5" s="1443"/>
      <c r="P5" s="1443"/>
      <c r="Q5" s="1443"/>
      <c r="R5" s="1443"/>
      <c r="S5" s="1443"/>
      <c r="T5" s="1443"/>
      <c r="U5" s="1443"/>
      <c r="V5" s="1443"/>
      <c r="W5" s="1443"/>
      <c r="X5" s="1443" t="s">
        <v>4</v>
      </c>
      <c r="Y5" s="1443"/>
      <c r="Z5" s="1443"/>
      <c r="AA5" s="1443"/>
      <c r="AB5" s="1443"/>
      <c r="AC5" s="1443"/>
      <c r="AD5" s="1443"/>
      <c r="AE5" s="1443"/>
      <c r="AF5" s="1443"/>
      <c r="AG5" s="1443"/>
      <c r="AH5" s="1443"/>
    </row>
    <row r="6" spans="1:45" ht="60" customHeight="1" x14ac:dyDescent="0.2">
      <c r="A6" s="1442"/>
      <c r="B6" s="1442"/>
      <c r="C6" s="1443"/>
      <c r="D6" s="1444" t="s">
        <v>68</v>
      </c>
      <c r="E6" s="1444" t="s">
        <v>69</v>
      </c>
      <c r="F6" s="1444" t="s">
        <v>89</v>
      </c>
      <c r="G6" s="1444" t="s">
        <v>1</v>
      </c>
      <c r="H6" s="1444" t="s">
        <v>2</v>
      </c>
      <c r="I6" s="1444" t="s">
        <v>70</v>
      </c>
      <c r="J6" s="1444" t="s">
        <v>61</v>
      </c>
      <c r="K6" s="1444" t="s">
        <v>27</v>
      </c>
      <c r="L6" s="1446" t="s">
        <v>65</v>
      </c>
      <c r="M6" s="1446" t="s">
        <v>86</v>
      </c>
      <c r="N6" s="1447" t="s">
        <v>90</v>
      </c>
      <c r="O6" s="1447"/>
      <c r="P6" s="1447" t="s">
        <v>88</v>
      </c>
      <c r="Q6" s="1446" t="s">
        <v>82</v>
      </c>
      <c r="R6" s="1444" t="s">
        <v>83</v>
      </c>
      <c r="S6" s="1446" t="s">
        <v>87</v>
      </c>
      <c r="T6" s="1444" t="s">
        <v>84</v>
      </c>
      <c r="U6" s="1444" t="s">
        <v>9</v>
      </c>
      <c r="V6" s="1444" t="s">
        <v>7</v>
      </c>
      <c r="W6" s="1444" t="s">
        <v>85</v>
      </c>
      <c r="X6" s="1443" t="s">
        <v>10</v>
      </c>
      <c r="Y6" s="1443"/>
      <c r="Z6" s="1443"/>
      <c r="AA6" s="1443" t="s">
        <v>11</v>
      </c>
      <c r="AB6" s="1443"/>
      <c r="AC6" s="1443"/>
      <c r="AD6" s="1443" t="s">
        <v>12</v>
      </c>
      <c r="AE6" s="1443"/>
      <c r="AF6" s="1443"/>
      <c r="AG6" s="1443" t="s">
        <v>13</v>
      </c>
      <c r="AH6" s="1443" t="s">
        <v>73</v>
      </c>
    </row>
    <row r="7" spans="1:45" ht="97.5" customHeight="1" x14ac:dyDescent="0.2">
      <c r="A7" s="1442"/>
      <c r="B7" s="1442"/>
      <c r="C7" s="1443"/>
      <c r="D7" s="1444"/>
      <c r="E7" s="1444"/>
      <c r="F7" s="1444"/>
      <c r="G7" s="1444"/>
      <c r="H7" s="1444"/>
      <c r="I7" s="1444"/>
      <c r="J7" s="1444"/>
      <c r="K7" s="1444"/>
      <c r="L7" s="1446" t="s">
        <v>66</v>
      </c>
      <c r="M7" s="1446"/>
      <c r="N7" s="286" t="s">
        <v>80</v>
      </c>
      <c r="O7" s="286" t="s">
        <v>81</v>
      </c>
      <c r="P7" s="1447"/>
      <c r="Q7" s="1446"/>
      <c r="R7" s="1444"/>
      <c r="S7" s="1446" t="s">
        <v>67</v>
      </c>
      <c r="T7" s="1444"/>
      <c r="U7" s="1444"/>
      <c r="V7" s="1444"/>
      <c r="W7" s="1444"/>
      <c r="X7" s="285" t="s">
        <v>5</v>
      </c>
      <c r="Y7" s="285" t="s">
        <v>6</v>
      </c>
      <c r="Z7" s="285" t="s">
        <v>74</v>
      </c>
      <c r="AA7" s="285" t="s">
        <v>5</v>
      </c>
      <c r="AB7" s="285" t="s">
        <v>6</v>
      </c>
      <c r="AC7" s="285" t="s">
        <v>75</v>
      </c>
      <c r="AD7" s="285" t="s">
        <v>5</v>
      </c>
      <c r="AE7" s="285" t="s">
        <v>6</v>
      </c>
      <c r="AF7" s="285" t="s">
        <v>76</v>
      </c>
      <c r="AG7" s="1443"/>
      <c r="AH7" s="1443"/>
      <c r="AK7" s="99" t="s">
        <v>64</v>
      </c>
      <c r="AL7" s="99" t="s">
        <v>62</v>
      </c>
      <c r="AM7" s="99" t="s">
        <v>63</v>
      </c>
    </row>
    <row r="8" spans="1:45" ht="18" customHeight="1" x14ac:dyDescent="0.2">
      <c r="A8" s="284">
        <v>1</v>
      </c>
      <c r="B8" s="284">
        <v>2</v>
      </c>
      <c r="C8" s="284">
        <v>3</v>
      </c>
      <c r="D8" s="284">
        <v>4</v>
      </c>
      <c r="E8" s="284">
        <v>5</v>
      </c>
      <c r="F8" s="284">
        <v>6</v>
      </c>
      <c r="G8" s="284">
        <v>7</v>
      </c>
      <c r="H8" s="284">
        <v>8</v>
      </c>
      <c r="I8" s="284">
        <v>9</v>
      </c>
      <c r="J8" s="284">
        <v>10</v>
      </c>
      <c r="K8" s="284">
        <v>11</v>
      </c>
      <c r="L8" s="284">
        <v>12</v>
      </c>
      <c r="M8" s="284">
        <v>13</v>
      </c>
      <c r="N8" s="284">
        <v>14</v>
      </c>
      <c r="O8" s="284">
        <v>15</v>
      </c>
      <c r="P8" s="284">
        <v>16</v>
      </c>
      <c r="Q8" s="284">
        <v>17</v>
      </c>
      <c r="R8" s="284">
        <v>18</v>
      </c>
      <c r="S8" s="284">
        <v>19</v>
      </c>
      <c r="T8" s="284">
        <v>20</v>
      </c>
      <c r="U8" s="284">
        <v>21</v>
      </c>
      <c r="V8" s="284">
        <v>22</v>
      </c>
      <c r="W8" s="284">
        <v>23</v>
      </c>
      <c r="X8" s="284">
        <v>24</v>
      </c>
      <c r="Y8" s="284">
        <v>25</v>
      </c>
      <c r="Z8" s="284">
        <v>26</v>
      </c>
      <c r="AA8" s="284">
        <v>27</v>
      </c>
      <c r="AB8" s="284">
        <v>28</v>
      </c>
      <c r="AC8" s="284">
        <v>29</v>
      </c>
      <c r="AD8" s="284">
        <v>30</v>
      </c>
      <c r="AE8" s="284">
        <v>31</v>
      </c>
      <c r="AF8" s="284">
        <v>32</v>
      </c>
      <c r="AG8" s="284">
        <v>33</v>
      </c>
      <c r="AH8" s="284">
        <v>34</v>
      </c>
      <c r="AN8" s="212" t="s">
        <v>116</v>
      </c>
      <c r="AO8" s="212" t="s">
        <v>117</v>
      </c>
      <c r="AP8" s="212" t="s">
        <v>118</v>
      </c>
      <c r="AQ8" s="212" t="s">
        <v>119</v>
      </c>
    </row>
    <row r="9" spans="1:45" ht="16.5" customHeight="1" x14ac:dyDescent="0.2">
      <c r="A9" s="284">
        <v>1</v>
      </c>
      <c r="B9" s="236" t="s">
        <v>14</v>
      </c>
      <c r="C9" s="259">
        <v>1</v>
      </c>
      <c r="D9" s="237">
        <v>25.873000000000001</v>
      </c>
      <c r="E9" s="260">
        <f t="shared" ref="E9:E27" si="0">C9*D9</f>
        <v>25.87</v>
      </c>
      <c r="F9" s="185">
        <f t="shared" ref="F9:F27" si="1">E9*12</f>
        <v>310.39999999999998</v>
      </c>
      <c r="G9" s="95"/>
      <c r="H9" s="95"/>
      <c r="I9" s="95"/>
      <c r="J9" s="95"/>
      <c r="K9" s="95"/>
      <c r="L9" s="95">
        <f>F9*$L$4</f>
        <v>84.5</v>
      </c>
      <c r="M9" s="95">
        <f t="shared" ref="M9:M27" si="2">F9+G9+H9+I9+J9+K9+L9</f>
        <v>394.9</v>
      </c>
      <c r="N9" s="111">
        <v>0.47</v>
      </c>
      <c r="O9" s="95">
        <f t="shared" ref="O9:O27" si="3">M9*N9</f>
        <v>185.6</v>
      </c>
      <c r="P9" s="95">
        <f t="shared" ref="P9:P27" si="4">M9+O9</f>
        <v>580.5</v>
      </c>
      <c r="Q9" s="95">
        <f t="shared" ref="Q9:Q27" si="5">P9*0.8</f>
        <v>464.4</v>
      </c>
      <c r="R9" s="95">
        <f t="shared" ref="R9:R27" si="6">P9*0.8</f>
        <v>464.4</v>
      </c>
      <c r="S9" s="95">
        <f t="shared" ref="S9:S27" si="7">(P9+Q9+R9)*0.032</f>
        <v>48.3</v>
      </c>
      <c r="T9" s="95">
        <f t="shared" ref="T9:T27" si="8">P9+Q9+R9+S9</f>
        <v>1557.6</v>
      </c>
      <c r="U9" s="1826">
        <v>1</v>
      </c>
      <c r="V9" s="95">
        <f t="shared" ref="V9:V26" si="9">T9*$U$9</f>
        <v>1557.6</v>
      </c>
      <c r="W9" s="95">
        <f>AQ9</f>
        <v>401.5</v>
      </c>
      <c r="X9" s="284">
        <v>1</v>
      </c>
      <c r="Y9" s="112">
        <v>30</v>
      </c>
      <c r="Z9" s="113">
        <f t="shared" ref="Z9:Z27" si="10">X9*Y9</f>
        <v>30</v>
      </c>
      <c r="AA9" s="284"/>
      <c r="AB9" s="112">
        <v>15</v>
      </c>
      <c r="AC9" s="113">
        <f t="shared" ref="AC9:AC27" si="11">AA9*AB9</f>
        <v>0</v>
      </c>
      <c r="AD9" s="284"/>
      <c r="AE9" s="112">
        <v>30</v>
      </c>
      <c r="AF9" s="113">
        <f t="shared" ref="AF9:AF27" si="12">AD9*AE9</f>
        <v>0</v>
      </c>
      <c r="AG9" s="113">
        <f t="shared" ref="AG9:AG27" si="13">(Z9+AC9+AF9)*1%*30</f>
        <v>9</v>
      </c>
      <c r="AH9" s="113">
        <f t="shared" ref="AH9:AH27" si="14">Z9+AC9+AF9+AG9</f>
        <v>39</v>
      </c>
      <c r="AI9" s="131">
        <f t="shared" ref="AI9:AI23" si="15">V9/12/C9*1000</f>
        <v>129800</v>
      </c>
      <c r="AK9" s="114">
        <f t="shared" ref="AK9:AK23" si="16">V9/C9</f>
        <v>1557.6</v>
      </c>
      <c r="AL9" s="114">
        <f>((979*0.302)+((AK9-979)*0.182))</f>
        <v>401</v>
      </c>
      <c r="AM9" s="115">
        <f>AL9/AK9</f>
        <v>0.25700000000000001</v>
      </c>
      <c r="AN9" s="50">
        <f>1150*0.22+(AK9-1150)*0.1</f>
        <v>293.8</v>
      </c>
      <c r="AO9" s="50">
        <f>865*0.029</f>
        <v>25.1</v>
      </c>
      <c r="AP9" s="50">
        <f>AK9*0.053</f>
        <v>82.6</v>
      </c>
      <c r="AQ9" s="50">
        <f>SUM(AN9:AP9)*C9</f>
        <v>401.5</v>
      </c>
      <c r="AS9" s="99">
        <f t="shared" ref="AS9:AS27" si="17">D9*1.5</f>
        <v>38.8095</v>
      </c>
    </row>
    <row r="10" spans="1:45" x14ac:dyDescent="0.2">
      <c r="A10" s="284">
        <v>2</v>
      </c>
      <c r="B10" s="236" t="s">
        <v>127</v>
      </c>
      <c r="C10" s="259">
        <v>2</v>
      </c>
      <c r="D10" s="237">
        <v>18.111000000000001</v>
      </c>
      <c r="E10" s="260">
        <f t="shared" si="0"/>
        <v>36.22</v>
      </c>
      <c r="F10" s="185">
        <f t="shared" si="1"/>
        <v>434.6</v>
      </c>
      <c r="G10" s="95"/>
      <c r="H10" s="95">
        <f>7.062+7.945</f>
        <v>15</v>
      </c>
      <c r="I10" s="95"/>
      <c r="J10" s="95"/>
      <c r="K10" s="95">
        <f>(D10*0.4+D10*0.2)*12</f>
        <v>130.4</v>
      </c>
      <c r="L10" s="95">
        <f t="shared" ref="L10:L25" si="18">F10*$L$4</f>
        <v>118.2</v>
      </c>
      <c r="M10" s="95">
        <f t="shared" si="2"/>
        <v>698.2</v>
      </c>
      <c r="N10" s="111">
        <v>0.47</v>
      </c>
      <c r="O10" s="95">
        <f t="shared" si="3"/>
        <v>328.2</v>
      </c>
      <c r="P10" s="95">
        <f t="shared" si="4"/>
        <v>1026.4000000000001</v>
      </c>
      <c r="Q10" s="95">
        <f t="shared" si="5"/>
        <v>821.1</v>
      </c>
      <c r="R10" s="95">
        <f t="shared" si="6"/>
        <v>821.1</v>
      </c>
      <c r="S10" s="95">
        <f t="shared" si="7"/>
        <v>85.4</v>
      </c>
      <c r="T10" s="95">
        <f t="shared" si="8"/>
        <v>2754</v>
      </c>
      <c r="U10" s="1827"/>
      <c r="V10" s="95">
        <f t="shared" si="9"/>
        <v>2754</v>
      </c>
      <c r="W10" s="95">
        <f>AQ10</f>
        <v>747.6</v>
      </c>
      <c r="X10" s="284"/>
      <c r="Y10" s="112">
        <v>30</v>
      </c>
      <c r="Z10" s="113">
        <f t="shared" si="10"/>
        <v>0</v>
      </c>
      <c r="AA10" s="284"/>
      <c r="AB10" s="112">
        <v>15</v>
      </c>
      <c r="AC10" s="113">
        <f t="shared" si="11"/>
        <v>0</v>
      </c>
      <c r="AD10" s="284"/>
      <c r="AE10" s="112">
        <v>30</v>
      </c>
      <c r="AF10" s="113">
        <f t="shared" si="12"/>
        <v>0</v>
      </c>
      <c r="AG10" s="113">
        <f t="shared" si="13"/>
        <v>0</v>
      </c>
      <c r="AH10" s="113">
        <f t="shared" si="14"/>
        <v>0</v>
      </c>
      <c r="AI10" s="131">
        <f t="shared" si="15"/>
        <v>114750</v>
      </c>
      <c r="AK10" s="114">
        <f t="shared" si="16"/>
        <v>1377</v>
      </c>
      <c r="AL10" s="114">
        <f t="shared" ref="AL10:AL27" si="19">((979*0.302)+((AK10-979)*0.182))</f>
        <v>368.1</v>
      </c>
      <c r="AM10" s="115">
        <f>AL10/AK10</f>
        <v>0.26700000000000002</v>
      </c>
      <c r="AN10" s="50">
        <f>1150*0.22+(AK10-1150)*0.1</f>
        <v>275.7</v>
      </c>
      <c r="AO10" s="50">
        <f>865*0.029</f>
        <v>25.1</v>
      </c>
      <c r="AP10" s="50">
        <f>AK10*0.053</f>
        <v>73</v>
      </c>
      <c r="AQ10" s="50">
        <f>SUM(AN10:AP10)*C10</f>
        <v>747.6</v>
      </c>
      <c r="AS10" s="99">
        <f t="shared" si="17"/>
        <v>27.166499999999999</v>
      </c>
    </row>
    <row r="11" spans="1:45" ht="15.75" customHeight="1" x14ac:dyDescent="0.2">
      <c r="A11" s="284">
        <v>3</v>
      </c>
      <c r="B11" s="261" t="s">
        <v>23</v>
      </c>
      <c r="C11" s="262">
        <v>4</v>
      </c>
      <c r="D11" s="237">
        <v>11.061999999999999</v>
      </c>
      <c r="E11" s="111">
        <f t="shared" si="0"/>
        <v>44.25</v>
      </c>
      <c r="F11" s="95">
        <f t="shared" si="1"/>
        <v>531</v>
      </c>
      <c r="G11" s="95"/>
      <c r="H11" s="95">
        <f>2.757+7.01+7.01+7.789</f>
        <v>24.6</v>
      </c>
      <c r="I11" s="95"/>
      <c r="J11" s="95"/>
      <c r="K11" s="95">
        <f>(D11*0.4*3+D11*0.25)*12</f>
        <v>192.5</v>
      </c>
      <c r="L11" s="95">
        <f t="shared" si="18"/>
        <v>144.5</v>
      </c>
      <c r="M11" s="95">
        <f t="shared" si="2"/>
        <v>892.6</v>
      </c>
      <c r="N11" s="111">
        <v>0.43</v>
      </c>
      <c r="O11" s="95">
        <f t="shared" si="3"/>
        <v>383.8</v>
      </c>
      <c r="P11" s="95">
        <f t="shared" si="4"/>
        <v>1276.4000000000001</v>
      </c>
      <c r="Q11" s="95">
        <f t="shared" si="5"/>
        <v>1021.1</v>
      </c>
      <c r="R11" s="95">
        <f t="shared" si="6"/>
        <v>1021.1</v>
      </c>
      <c r="S11" s="95">
        <f t="shared" si="7"/>
        <v>106.2</v>
      </c>
      <c r="T11" s="95">
        <f t="shared" si="8"/>
        <v>3424.8</v>
      </c>
      <c r="U11" s="1827"/>
      <c r="V11" s="95">
        <f>T11*$U$9</f>
        <v>3424.8</v>
      </c>
      <c r="W11" s="95">
        <f>V11*0.302</f>
        <v>1034.3</v>
      </c>
      <c r="X11" s="239">
        <v>2</v>
      </c>
      <c r="Y11" s="240">
        <v>30</v>
      </c>
      <c r="Z11" s="241">
        <f t="shared" si="10"/>
        <v>60</v>
      </c>
      <c r="AA11" s="239"/>
      <c r="AB11" s="240">
        <v>15</v>
      </c>
      <c r="AC11" s="241">
        <f t="shared" si="11"/>
        <v>0</v>
      </c>
      <c r="AD11" s="239">
        <v>2</v>
      </c>
      <c r="AE11" s="240">
        <v>30</v>
      </c>
      <c r="AF11" s="241">
        <f t="shared" si="12"/>
        <v>60</v>
      </c>
      <c r="AG11" s="241">
        <f t="shared" si="13"/>
        <v>36</v>
      </c>
      <c r="AH11" s="241">
        <f t="shared" si="14"/>
        <v>156</v>
      </c>
      <c r="AI11" s="131">
        <f t="shared" si="15"/>
        <v>71350</v>
      </c>
      <c r="AK11" s="114">
        <f t="shared" si="16"/>
        <v>856.2</v>
      </c>
      <c r="AL11" s="114">
        <f t="shared" si="19"/>
        <v>273.3</v>
      </c>
      <c r="AM11" s="115">
        <v>0.30199999999999999</v>
      </c>
      <c r="AN11" s="50"/>
      <c r="AO11" s="50"/>
      <c r="AP11" s="50"/>
      <c r="AQ11" s="50"/>
      <c r="AS11" s="99">
        <f t="shared" si="17"/>
        <v>16.593</v>
      </c>
    </row>
    <row r="12" spans="1:45" x14ac:dyDescent="0.2">
      <c r="A12" s="284">
        <v>4</v>
      </c>
      <c r="B12" s="261" t="s">
        <v>47</v>
      </c>
      <c r="C12" s="262">
        <v>1</v>
      </c>
      <c r="D12" s="237">
        <v>6.2859999999999996</v>
      </c>
      <c r="E12" s="111">
        <f t="shared" si="0"/>
        <v>6.29</v>
      </c>
      <c r="F12" s="95">
        <f t="shared" si="1"/>
        <v>75.5</v>
      </c>
      <c r="G12" s="95"/>
      <c r="H12" s="95">
        <f>3064.3/1000</f>
        <v>3.1</v>
      </c>
      <c r="I12" s="95"/>
      <c r="J12" s="95"/>
      <c r="K12" s="95">
        <f>F12*0.25</f>
        <v>18.899999999999999</v>
      </c>
      <c r="L12" s="95">
        <f t="shared" si="18"/>
        <v>20.5</v>
      </c>
      <c r="M12" s="95">
        <f t="shared" si="2"/>
        <v>118</v>
      </c>
      <c r="N12" s="111">
        <v>0.45</v>
      </c>
      <c r="O12" s="95">
        <f t="shared" si="3"/>
        <v>53.1</v>
      </c>
      <c r="P12" s="95">
        <f t="shared" si="4"/>
        <v>171.1</v>
      </c>
      <c r="Q12" s="95">
        <f t="shared" si="5"/>
        <v>136.9</v>
      </c>
      <c r="R12" s="95">
        <f t="shared" si="6"/>
        <v>136.9</v>
      </c>
      <c r="S12" s="95">
        <f t="shared" si="7"/>
        <v>14.2</v>
      </c>
      <c r="T12" s="95">
        <f t="shared" si="8"/>
        <v>459.1</v>
      </c>
      <c r="U12" s="1827"/>
      <c r="V12" s="95">
        <f t="shared" si="9"/>
        <v>459.1</v>
      </c>
      <c r="W12" s="95">
        <f t="shared" ref="W12:W27" si="20">V12*0.302</f>
        <v>138.6</v>
      </c>
      <c r="X12" s="239">
        <v>1</v>
      </c>
      <c r="Y12" s="240">
        <v>30</v>
      </c>
      <c r="Z12" s="241">
        <f t="shared" si="10"/>
        <v>30</v>
      </c>
      <c r="AA12" s="239"/>
      <c r="AB12" s="240">
        <v>15</v>
      </c>
      <c r="AC12" s="241">
        <f t="shared" si="11"/>
        <v>0</v>
      </c>
      <c r="AD12" s="239"/>
      <c r="AE12" s="240">
        <v>30</v>
      </c>
      <c r="AF12" s="241">
        <f t="shared" si="12"/>
        <v>0</v>
      </c>
      <c r="AG12" s="241">
        <f t="shared" si="13"/>
        <v>9</v>
      </c>
      <c r="AH12" s="241">
        <f t="shared" si="14"/>
        <v>39</v>
      </c>
      <c r="AI12" s="131">
        <f t="shared" si="15"/>
        <v>38258.33</v>
      </c>
      <c r="AK12" s="114">
        <f t="shared" si="16"/>
        <v>459.1</v>
      </c>
      <c r="AL12" s="114">
        <f t="shared" si="19"/>
        <v>201</v>
      </c>
      <c r="AM12" s="115">
        <v>0.30199999999999999</v>
      </c>
      <c r="AO12" s="50"/>
      <c r="AP12" s="50"/>
      <c r="AQ12" s="50"/>
      <c r="AS12" s="99">
        <f t="shared" si="17"/>
        <v>9.4290000000000003</v>
      </c>
    </row>
    <row r="13" spans="1:45" x14ac:dyDescent="0.2">
      <c r="A13" s="284">
        <v>5</v>
      </c>
      <c r="B13" s="236" t="s">
        <v>15</v>
      </c>
      <c r="C13" s="262">
        <v>1</v>
      </c>
      <c r="D13" s="237">
        <v>11.061999999999999</v>
      </c>
      <c r="E13" s="111">
        <f t="shared" si="0"/>
        <v>11.06</v>
      </c>
      <c r="F13" s="95">
        <f t="shared" si="1"/>
        <v>132.69999999999999</v>
      </c>
      <c r="G13" s="95"/>
      <c r="H13" s="95"/>
      <c r="I13" s="95"/>
      <c r="J13" s="95"/>
      <c r="K13" s="95">
        <f>D11*0.25*4.6+D11*0.3*7.4</f>
        <v>37.299999999999997</v>
      </c>
      <c r="L13" s="95">
        <f t="shared" si="18"/>
        <v>36.1</v>
      </c>
      <c r="M13" s="95">
        <f t="shared" si="2"/>
        <v>206.1</v>
      </c>
      <c r="N13" s="111">
        <v>0.43</v>
      </c>
      <c r="O13" s="95">
        <f t="shared" si="3"/>
        <v>88.6</v>
      </c>
      <c r="P13" s="95">
        <f t="shared" si="4"/>
        <v>294.7</v>
      </c>
      <c r="Q13" s="95">
        <f t="shared" si="5"/>
        <v>235.8</v>
      </c>
      <c r="R13" s="95">
        <f t="shared" si="6"/>
        <v>235.8</v>
      </c>
      <c r="S13" s="95">
        <f t="shared" si="7"/>
        <v>24.5</v>
      </c>
      <c r="T13" s="95">
        <f t="shared" si="8"/>
        <v>790.8</v>
      </c>
      <c r="U13" s="1827"/>
      <c r="V13" s="95">
        <f t="shared" si="9"/>
        <v>790.8</v>
      </c>
      <c r="W13" s="95">
        <f t="shared" si="20"/>
        <v>238.8</v>
      </c>
      <c r="X13" s="239"/>
      <c r="Y13" s="240">
        <v>30</v>
      </c>
      <c r="Z13" s="241">
        <f t="shared" si="10"/>
        <v>0</v>
      </c>
      <c r="AA13" s="239"/>
      <c r="AB13" s="240">
        <v>15</v>
      </c>
      <c r="AC13" s="241">
        <f t="shared" si="11"/>
        <v>0</v>
      </c>
      <c r="AD13" s="239"/>
      <c r="AE13" s="240">
        <v>30</v>
      </c>
      <c r="AF13" s="241">
        <f t="shared" si="12"/>
        <v>0</v>
      </c>
      <c r="AG13" s="241">
        <f t="shared" si="13"/>
        <v>0</v>
      </c>
      <c r="AH13" s="241">
        <f t="shared" si="14"/>
        <v>0</v>
      </c>
      <c r="AI13" s="131">
        <f t="shared" si="15"/>
        <v>65900</v>
      </c>
      <c r="AK13" s="114">
        <f t="shared" si="16"/>
        <v>790.8</v>
      </c>
      <c r="AL13" s="114">
        <f t="shared" si="19"/>
        <v>261.39999999999998</v>
      </c>
      <c r="AM13" s="115">
        <v>0.30199999999999999</v>
      </c>
      <c r="AN13" s="50"/>
      <c r="AO13" s="50"/>
      <c r="AP13" s="50"/>
      <c r="AQ13" s="50"/>
      <c r="AS13" s="99">
        <f t="shared" si="17"/>
        <v>16.593</v>
      </c>
    </row>
    <row r="14" spans="1:45" s="245" customFormat="1" x14ac:dyDescent="0.2">
      <c r="A14" s="284">
        <v>6</v>
      </c>
      <c r="B14" s="261" t="s">
        <v>48</v>
      </c>
      <c r="C14" s="262">
        <v>1</v>
      </c>
      <c r="D14" s="237">
        <v>11.061999999999999</v>
      </c>
      <c r="E14" s="249">
        <f t="shared" si="0"/>
        <v>11.06</v>
      </c>
      <c r="F14" s="248">
        <f t="shared" si="1"/>
        <v>132.69999999999999</v>
      </c>
      <c r="G14" s="248"/>
      <c r="H14" s="248">
        <v>7</v>
      </c>
      <c r="I14" s="248"/>
      <c r="J14" s="248"/>
      <c r="K14" s="248">
        <f>F14*0.4</f>
        <v>53.1</v>
      </c>
      <c r="L14" s="95">
        <f t="shared" si="18"/>
        <v>36.1</v>
      </c>
      <c r="M14" s="248">
        <f t="shared" si="2"/>
        <v>228.9</v>
      </c>
      <c r="N14" s="111">
        <v>0.47</v>
      </c>
      <c r="O14" s="248">
        <f t="shared" si="3"/>
        <v>107.6</v>
      </c>
      <c r="P14" s="248">
        <f t="shared" si="4"/>
        <v>336.5</v>
      </c>
      <c r="Q14" s="248">
        <f t="shared" si="5"/>
        <v>269.2</v>
      </c>
      <c r="R14" s="248">
        <f t="shared" si="6"/>
        <v>269.2</v>
      </c>
      <c r="S14" s="248">
        <f t="shared" si="7"/>
        <v>28</v>
      </c>
      <c r="T14" s="248">
        <f t="shared" si="8"/>
        <v>902.9</v>
      </c>
      <c r="U14" s="1827"/>
      <c r="V14" s="248">
        <f t="shared" si="9"/>
        <v>902.9</v>
      </c>
      <c r="W14" s="95">
        <f>AQ14</f>
        <v>271.60000000000002</v>
      </c>
      <c r="X14" s="239"/>
      <c r="Y14" s="240">
        <v>30</v>
      </c>
      <c r="Z14" s="241">
        <f t="shared" si="10"/>
        <v>0</v>
      </c>
      <c r="AA14" s="239"/>
      <c r="AB14" s="240">
        <v>15</v>
      </c>
      <c r="AC14" s="241">
        <f t="shared" si="11"/>
        <v>0</v>
      </c>
      <c r="AD14" s="239"/>
      <c r="AE14" s="240">
        <v>30</v>
      </c>
      <c r="AF14" s="241">
        <f t="shared" si="12"/>
        <v>0</v>
      </c>
      <c r="AG14" s="241">
        <f t="shared" si="13"/>
        <v>0</v>
      </c>
      <c r="AH14" s="241">
        <f t="shared" si="14"/>
        <v>0</v>
      </c>
      <c r="AI14" s="131">
        <f t="shared" si="15"/>
        <v>75241.67</v>
      </c>
      <c r="AK14" s="114">
        <f t="shared" si="16"/>
        <v>902.9</v>
      </c>
      <c r="AL14" s="114">
        <f t="shared" si="19"/>
        <v>281.8</v>
      </c>
      <c r="AM14" s="115">
        <v>0.30199999999999999</v>
      </c>
      <c r="AN14" s="50">
        <f>AK14*0.22</f>
        <v>198.6</v>
      </c>
      <c r="AO14" s="50">
        <f>865*0.029</f>
        <v>25.1</v>
      </c>
      <c r="AP14" s="50">
        <f>AK14*0.053</f>
        <v>47.9</v>
      </c>
      <c r="AQ14" s="50">
        <f>SUM(AN14:AP14)*C14</f>
        <v>271.60000000000002</v>
      </c>
      <c r="AS14" s="99">
        <f t="shared" si="17"/>
        <v>16.593</v>
      </c>
    </row>
    <row r="15" spans="1:45" x14ac:dyDescent="0.2">
      <c r="A15" s="284">
        <v>7</v>
      </c>
      <c r="B15" s="236" t="s">
        <v>49</v>
      </c>
      <c r="C15" s="259">
        <v>1</v>
      </c>
      <c r="D15" s="237">
        <v>8.4730000000000008</v>
      </c>
      <c r="E15" s="111">
        <f t="shared" si="0"/>
        <v>8.4700000000000006</v>
      </c>
      <c r="F15" s="95">
        <f t="shared" si="1"/>
        <v>101.6</v>
      </c>
      <c r="G15" s="95"/>
      <c r="H15" s="95">
        <v>6</v>
      </c>
      <c r="I15" s="95"/>
      <c r="J15" s="95"/>
      <c r="K15" s="95">
        <f>F15*0.2</f>
        <v>20.3</v>
      </c>
      <c r="L15" s="95">
        <f t="shared" si="18"/>
        <v>27.6</v>
      </c>
      <c r="M15" s="95">
        <f t="shared" si="2"/>
        <v>155.5</v>
      </c>
      <c r="N15" s="111">
        <v>0.41</v>
      </c>
      <c r="O15" s="95">
        <f t="shared" si="3"/>
        <v>63.8</v>
      </c>
      <c r="P15" s="95">
        <f t="shared" si="4"/>
        <v>219.3</v>
      </c>
      <c r="Q15" s="95">
        <f t="shared" si="5"/>
        <v>175.4</v>
      </c>
      <c r="R15" s="95">
        <f t="shared" si="6"/>
        <v>175.4</v>
      </c>
      <c r="S15" s="95">
        <f t="shared" si="7"/>
        <v>18.2</v>
      </c>
      <c r="T15" s="95">
        <f t="shared" si="8"/>
        <v>588.29999999999995</v>
      </c>
      <c r="U15" s="1827"/>
      <c r="V15" s="95">
        <f t="shared" si="9"/>
        <v>588.29999999999995</v>
      </c>
      <c r="W15" s="95">
        <f t="shared" si="20"/>
        <v>177.7</v>
      </c>
      <c r="X15" s="284"/>
      <c r="Y15" s="112">
        <v>30</v>
      </c>
      <c r="Z15" s="113">
        <f t="shared" si="10"/>
        <v>0</v>
      </c>
      <c r="AA15" s="127"/>
      <c r="AB15" s="112">
        <v>15</v>
      </c>
      <c r="AC15" s="113">
        <f t="shared" si="11"/>
        <v>0</v>
      </c>
      <c r="AD15" s="127"/>
      <c r="AE15" s="112">
        <v>30</v>
      </c>
      <c r="AF15" s="113">
        <f t="shared" si="12"/>
        <v>0</v>
      </c>
      <c r="AG15" s="113">
        <f t="shared" si="13"/>
        <v>0</v>
      </c>
      <c r="AH15" s="113">
        <f t="shared" si="14"/>
        <v>0</v>
      </c>
      <c r="AI15" s="131">
        <f t="shared" si="15"/>
        <v>49025</v>
      </c>
      <c r="AK15" s="114">
        <f t="shared" si="16"/>
        <v>588.29999999999995</v>
      </c>
      <c r="AL15" s="114">
        <f t="shared" si="19"/>
        <v>224.6</v>
      </c>
      <c r="AM15" s="115">
        <v>0.30199999999999999</v>
      </c>
      <c r="AO15" s="50"/>
      <c r="AP15" s="50"/>
      <c r="AQ15" s="50"/>
      <c r="AS15" s="99">
        <f t="shared" si="17"/>
        <v>12.7095</v>
      </c>
    </row>
    <row r="16" spans="1:45" x14ac:dyDescent="0.2">
      <c r="A16" s="284">
        <v>8</v>
      </c>
      <c r="B16" s="236" t="s">
        <v>59</v>
      </c>
      <c r="C16" s="259">
        <v>1</v>
      </c>
      <c r="D16" s="237">
        <v>8.4730000000000008</v>
      </c>
      <c r="E16" s="111">
        <f t="shared" si="0"/>
        <v>8.4700000000000006</v>
      </c>
      <c r="F16" s="95">
        <f t="shared" si="1"/>
        <v>101.6</v>
      </c>
      <c r="G16" s="95"/>
      <c r="H16" s="95">
        <v>5.4</v>
      </c>
      <c r="I16" s="95"/>
      <c r="J16" s="95"/>
      <c r="K16" s="95">
        <f>F16*0.4</f>
        <v>40.6</v>
      </c>
      <c r="L16" s="95">
        <f t="shared" si="18"/>
        <v>27.6</v>
      </c>
      <c r="M16" s="95">
        <f t="shared" si="2"/>
        <v>175.2</v>
      </c>
      <c r="N16" s="111">
        <v>0.41</v>
      </c>
      <c r="O16" s="95">
        <f t="shared" si="3"/>
        <v>71.8</v>
      </c>
      <c r="P16" s="95">
        <f t="shared" si="4"/>
        <v>247</v>
      </c>
      <c r="Q16" s="95">
        <f t="shared" si="5"/>
        <v>197.6</v>
      </c>
      <c r="R16" s="95">
        <f t="shared" si="6"/>
        <v>197.6</v>
      </c>
      <c r="S16" s="95">
        <f t="shared" si="7"/>
        <v>20.6</v>
      </c>
      <c r="T16" s="95">
        <f t="shared" si="8"/>
        <v>662.8</v>
      </c>
      <c r="U16" s="1827"/>
      <c r="V16" s="95">
        <f t="shared" si="9"/>
        <v>662.8</v>
      </c>
      <c r="W16" s="95">
        <f t="shared" si="20"/>
        <v>200.2</v>
      </c>
      <c r="X16" s="284"/>
      <c r="Y16" s="112">
        <v>30</v>
      </c>
      <c r="Z16" s="113">
        <f t="shared" si="10"/>
        <v>0</v>
      </c>
      <c r="AA16" s="127"/>
      <c r="AB16" s="112">
        <v>15</v>
      </c>
      <c r="AC16" s="113">
        <f t="shared" si="11"/>
        <v>0</v>
      </c>
      <c r="AD16" s="127"/>
      <c r="AE16" s="112">
        <v>30</v>
      </c>
      <c r="AF16" s="113">
        <f t="shared" si="12"/>
        <v>0</v>
      </c>
      <c r="AG16" s="113">
        <f t="shared" si="13"/>
        <v>0</v>
      </c>
      <c r="AH16" s="113">
        <f t="shared" si="14"/>
        <v>0</v>
      </c>
      <c r="AI16" s="131">
        <f t="shared" si="15"/>
        <v>55233.33</v>
      </c>
      <c r="AK16" s="114">
        <f t="shared" si="16"/>
        <v>662.8</v>
      </c>
      <c r="AL16" s="114">
        <f t="shared" si="19"/>
        <v>238.1</v>
      </c>
      <c r="AM16" s="115">
        <v>0.30199999999999999</v>
      </c>
      <c r="AN16" s="50"/>
      <c r="AO16" s="50"/>
      <c r="AP16" s="50"/>
      <c r="AQ16" s="50"/>
      <c r="AS16" s="99">
        <f t="shared" si="17"/>
        <v>12.7095</v>
      </c>
    </row>
    <row r="17" spans="1:45" x14ac:dyDescent="0.2">
      <c r="A17" s="284">
        <v>9</v>
      </c>
      <c r="B17" s="261" t="s">
        <v>40</v>
      </c>
      <c r="C17" s="259">
        <v>1</v>
      </c>
      <c r="D17" s="237">
        <v>11.061999999999999</v>
      </c>
      <c r="E17" s="111">
        <f t="shared" si="0"/>
        <v>11.06</v>
      </c>
      <c r="F17" s="95">
        <f t="shared" si="1"/>
        <v>132.69999999999999</v>
      </c>
      <c r="G17" s="95"/>
      <c r="H17" s="95">
        <f>5392.4/1000</f>
        <v>5.4</v>
      </c>
      <c r="I17" s="95"/>
      <c r="J17" s="95"/>
      <c r="K17" s="95"/>
      <c r="L17" s="95">
        <f t="shared" si="18"/>
        <v>36.1</v>
      </c>
      <c r="M17" s="95">
        <f t="shared" si="2"/>
        <v>174.2</v>
      </c>
      <c r="N17" s="111">
        <v>0.43</v>
      </c>
      <c r="O17" s="95">
        <f t="shared" si="3"/>
        <v>74.900000000000006</v>
      </c>
      <c r="P17" s="95">
        <f t="shared" si="4"/>
        <v>249.1</v>
      </c>
      <c r="Q17" s="95">
        <f t="shared" si="5"/>
        <v>199.3</v>
      </c>
      <c r="R17" s="95">
        <f t="shared" si="6"/>
        <v>199.3</v>
      </c>
      <c r="S17" s="95">
        <f t="shared" si="7"/>
        <v>20.7</v>
      </c>
      <c r="T17" s="95">
        <f t="shared" si="8"/>
        <v>668.4</v>
      </c>
      <c r="U17" s="1827"/>
      <c r="V17" s="95">
        <f t="shared" si="9"/>
        <v>668.4</v>
      </c>
      <c r="W17" s="95">
        <f t="shared" si="20"/>
        <v>201.9</v>
      </c>
      <c r="X17" s="284"/>
      <c r="Y17" s="112">
        <v>30</v>
      </c>
      <c r="Z17" s="113">
        <f t="shared" si="10"/>
        <v>0</v>
      </c>
      <c r="AA17" s="127"/>
      <c r="AB17" s="112">
        <v>15</v>
      </c>
      <c r="AC17" s="113">
        <f t="shared" si="11"/>
        <v>0</v>
      </c>
      <c r="AD17" s="127"/>
      <c r="AE17" s="112">
        <v>30</v>
      </c>
      <c r="AF17" s="113">
        <f t="shared" si="12"/>
        <v>0</v>
      </c>
      <c r="AG17" s="113">
        <f t="shared" si="13"/>
        <v>0</v>
      </c>
      <c r="AH17" s="113">
        <f t="shared" si="14"/>
        <v>0</v>
      </c>
      <c r="AI17" s="131">
        <f t="shared" si="15"/>
        <v>55700</v>
      </c>
      <c r="AK17" s="114">
        <f t="shared" si="16"/>
        <v>668.4</v>
      </c>
      <c r="AL17" s="114">
        <f t="shared" si="19"/>
        <v>239.1</v>
      </c>
      <c r="AM17" s="115">
        <v>0.30199999999999999</v>
      </c>
      <c r="AN17" s="50"/>
      <c r="AO17" s="50"/>
      <c r="AP17" s="50"/>
      <c r="AQ17" s="50"/>
      <c r="AS17" s="99">
        <f t="shared" si="17"/>
        <v>16.593</v>
      </c>
    </row>
    <row r="18" spans="1:45" x14ac:dyDescent="0.2">
      <c r="A18" s="284">
        <v>10</v>
      </c>
      <c r="B18" s="261" t="s">
        <v>29</v>
      </c>
      <c r="C18" s="259">
        <v>2</v>
      </c>
      <c r="D18" s="237">
        <v>8.4730000000000008</v>
      </c>
      <c r="E18" s="111">
        <f t="shared" si="0"/>
        <v>16.95</v>
      </c>
      <c r="F18" s="95">
        <f t="shared" si="1"/>
        <v>203.4</v>
      </c>
      <c r="G18" s="95"/>
      <c r="H18" s="95">
        <f>2065.2/1000</f>
        <v>2.1</v>
      </c>
      <c r="I18" s="95"/>
      <c r="J18" s="95"/>
      <c r="K18" s="95">
        <f>(D18*0.25+D18*0.3)*12</f>
        <v>55.9</v>
      </c>
      <c r="L18" s="95">
        <f t="shared" si="18"/>
        <v>55.3</v>
      </c>
      <c r="M18" s="95">
        <f t="shared" si="2"/>
        <v>316.7</v>
      </c>
      <c r="N18" s="111">
        <v>0.41</v>
      </c>
      <c r="O18" s="95">
        <f t="shared" si="3"/>
        <v>129.80000000000001</v>
      </c>
      <c r="P18" s="95">
        <f t="shared" si="4"/>
        <v>446.5</v>
      </c>
      <c r="Q18" s="95">
        <f t="shared" si="5"/>
        <v>357.2</v>
      </c>
      <c r="R18" s="95">
        <f t="shared" si="6"/>
        <v>357.2</v>
      </c>
      <c r="S18" s="95">
        <f t="shared" si="7"/>
        <v>37.1</v>
      </c>
      <c r="T18" s="95">
        <f t="shared" si="8"/>
        <v>1198</v>
      </c>
      <c r="U18" s="1827"/>
      <c r="V18" s="95">
        <f t="shared" si="9"/>
        <v>1198</v>
      </c>
      <c r="W18" s="95">
        <f t="shared" si="20"/>
        <v>361.8</v>
      </c>
      <c r="X18" s="284"/>
      <c r="Y18" s="112">
        <v>30</v>
      </c>
      <c r="Z18" s="113">
        <f t="shared" si="10"/>
        <v>0</v>
      </c>
      <c r="AA18" s="127"/>
      <c r="AB18" s="112">
        <v>15</v>
      </c>
      <c r="AC18" s="113">
        <f t="shared" si="11"/>
        <v>0</v>
      </c>
      <c r="AD18" s="127"/>
      <c r="AE18" s="112">
        <v>30</v>
      </c>
      <c r="AF18" s="113">
        <f t="shared" si="12"/>
        <v>0</v>
      </c>
      <c r="AG18" s="113">
        <f t="shared" si="13"/>
        <v>0</v>
      </c>
      <c r="AH18" s="113">
        <f t="shared" si="14"/>
        <v>0</v>
      </c>
      <c r="AI18" s="131">
        <f t="shared" si="15"/>
        <v>49916.67</v>
      </c>
      <c r="AK18" s="114">
        <f t="shared" si="16"/>
        <v>599</v>
      </c>
      <c r="AL18" s="114">
        <f t="shared" si="19"/>
        <v>226.5</v>
      </c>
      <c r="AM18" s="115">
        <v>0.30199999999999999</v>
      </c>
      <c r="AN18" s="263"/>
      <c r="AO18" s="263"/>
      <c r="AP18" s="263"/>
      <c r="AS18" s="99">
        <f t="shared" si="17"/>
        <v>12.7095</v>
      </c>
    </row>
    <row r="19" spans="1:45" x14ac:dyDescent="0.2">
      <c r="A19" s="284">
        <v>11</v>
      </c>
      <c r="B19" s="261" t="s">
        <v>58</v>
      </c>
      <c r="C19" s="259">
        <v>1</v>
      </c>
      <c r="D19" s="237">
        <v>11.061999999999999</v>
      </c>
      <c r="E19" s="111">
        <f t="shared" si="0"/>
        <v>11.06</v>
      </c>
      <c r="F19" s="95">
        <f t="shared" si="1"/>
        <v>132.69999999999999</v>
      </c>
      <c r="G19" s="95"/>
      <c r="H19" s="95">
        <f>5392.4/1000</f>
        <v>5.4</v>
      </c>
      <c r="I19" s="95"/>
      <c r="J19" s="95"/>
      <c r="K19" s="95">
        <f>F19*0.4</f>
        <v>53.1</v>
      </c>
      <c r="L19" s="95">
        <f t="shared" si="18"/>
        <v>36.1</v>
      </c>
      <c r="M19" s="95">
        <f t="shared" si="2"/>
        <v>227.3</v>
      </c>
      <c r="N19" s="111">
        <v>0.43</v>
      </c>
      <c r="O19" s="95">
        <f t="shared" si="3"/>
        <v>97.7</v>
      </c>
      <c r="P19" s="95">
        <f t="shared" si="4"/>
        <v>325</v>
      </c>
      <c r="Q19" s="95">
        <f t="shared" si="5"/>
        <v>260</v>
      </c>
      <c r="R19" s="95">
        <f t="shared" si="6"/>
        <v>260</v>
      </c>
      <c r="S19" s="95">
        <f t="shared" si="7"/>
        <v>27</v>
      </c>
      <c r="T19" s="95">
        <f t="shared" si="8"/>
        <v>872</v>
      </c>
      <c r="U19" s="1827"/>
      <c r="V19" s="95">
        <f t="shared" si="9"/>
        <v>872</v>
      </c>
      <c r="W19" s="95">
        <f t="shared" si="20"/>
        <v>263.3</v>
      </c>
      <c r="X19" s="284"/>
      <c r="Y19" s="112">
        <v>30</v>
      </c>
      <c r="Z19" s="113">
        <f t="shared" si="10"/>
        <v>0</v>
      </c>
      <c r="AA19" s="127"/>
      <c r="AB19" s="112">
        <v>15</v>
      </c>
      <c r="AC19" s="113">
        <f t="shared" si="11"/>
        <v>0</v>
      </c>
      <c r="AD19" s="127"/>
      <c r="AE19" s="112">
        <v>30</v>
      </c>
      <c r="AF19" s="113">
        <f t="shared" si="12"/>
        <v>0</v>
      </c>
      <c r="AG19" s="113">
        <f t="shared" si="13"/>
        <v>0</v>
      </c>
      <c r="AH19" s="113">
        <f t="shared" si="14"/>
        <v>0</v>
      </c>
      <c r="AI19" s="131">
        <f t="shared" si="15"/>
        <v>72666.67</v>
      </c>
      <c r="AK19" s="114">
        <f t="shared" si="16"/>
        <v>872</v>
      </c>
      <c r="AL19" s="114">
        <f t="shared" si="19"/>
        <v>276.2</v>
      </c>
      <c r="AM19" s="115">
        <v>0.30199999999999999</v>
      </c>
      <c r="AN19" s="50"/>
      <c r="AO19" s="50"/>
      <c r="AP19" s="50"/>
      <c r="AQ19" s="50"/>
      <c r="AS19" s="99">
        <f t="shared" si="17"/>
        <v>16.593</v>
      </c>
    </row>
    <row r="20" spans="1:45" x14ac:dyDescent="0.2">
      <c r="A20" s="284">
        <v>12</v>
      </c>
      <c r="B20" s="236" t="s">
        <v>42</v>
      </c>
      <c r="C20" s="259">
        <v>1</v>
      </c>
      <c r="D20" s="237">
        <v>11.061999999999999</v>
      </c>
      <c r="E20" s="111">
        <f t="shared" si="0"/>
        <v>11.06</v>
      </c>
      <c r="F20" s="95">
        <f t="shared" si="1"/>
        <v>132.69999999999999</v>
      </c>
      <c r="G20" s="95"/>
      <c r="H20" s="95">
        <v>7.8</v>
      </c>
      <c r="I20" s="95"/>
      <c r="J20" s="95"/>
      <c r="K20" s="95">
        <f>F20*0.2</f>
        <v>26.5</v>
      </c>
      <c r="L20" s="95">
        <f t="shared" si="18"/>
        <v>36.1</v>
      </c>
      <c r="M20" s="95">
        <f t="shared" si="2"/>
        <v>203.1</v>
      </c>
      <c r="N20" s="111">
        <v>0.43</v>
      </c>
      <c r="O20" s="95">
        <f t="shared" si="3"/>
        <v>87.3</v>
      </c>
      <c r="P20" s="95">
        <f t="shared" si="4"/>
        <v>290.39999999999998</v>
      </c>
      <c r="Q20" s="95">
        <f t="shared" si="5"/>
        <v>232.3</v>
      </c>
      <c r="R20" s="95">
        <f t="shared" si="6"/>
        <v>232.3</v>
      </c>
      <c r="S20" s="95">
        <f t="shared" si="7"/>
        <v>24.2</v>
      </c>
      <c r="T20" s="95">
        <f t="shared" si="8"/>
        <v>779.2</v>
      </c>
      <c r="U20" s="1827"/>
      <c r="V20" s="95">
        <f t="shared" si="9"/>
        <v>779.2</v>
      </c>
      <c r="W20" s="95">
        <f t="shared" si="20"/>
        <v>235.3</v>
      </c>
      <c r="X20" s="284"/>
      <c r="Y20" s="112">
        <v>30</v>
      </c>
      <c r="Z20" s="113">
        <f t="shared" si="10"/>
        <v>0</v>
      </c>
      <c r="AA20" s="127"/>
      <c r="AB20" s="112">
        <v>15</v>
      </c>
      <c r="AC20" s="113">
        <f t="shared" si="11"/>
        <v>0</v>
      </c>
      <c r="AD20" s="127"/>
      <c r="AE20" s="112">
        <v>30</v>
      </c>
      <c r="AF20" s="113">
        <f t="shared" si="12"/>
        <v>0</v>
      </c>
      <c r="AG20" s="113">
        <f t="shared" si="13"/>
        <v>0</v>
      </c>
      <c r="AH20" s="113">
        <f t="shared" si="14"/>
        <v>0</v>
      </c>
      <c r="AI20" s="131">
        <f t="shared" si="15"/>
        <v>64933.33</v>
      </c>
      <c r="AK20" s="114">
        <f t="shared" si="16"/>
        <v>779.2</v>
      </c>
      <c r="AL20" s="114">
        <f t="shared" si="19"/>
        <v>259.3</v>
      </c>
      <c r="AM20" s="115">
        <v>0.30199999999999999</v>
      </c>
      <c r="AN20" s="50"/>
      <c r="AO20" s="50"/>
      <c r="AP20" s="50"/>
      <c r="AQ20" s="50"/>
      <c r="AS20" s="99">
        <f t="shared" si="17"/>
        <v>16.593</v>
      </c>
    </row>
    <row r="21" spans="1:45" s="22" customFormat="1" ht="25.5" x14ac:dyDescent="0.2">
      <c r="A21" s="284">
        <v>13</v>
      </c>
      <c r="B21" s="52" t="s">
        <v>132</v>
      </c>
      <c r="C21" s="167">
        <v>1</v>
      </c>
      <c r="D21" s="177">
        <v>8.4730000000000008</v>
      </c>
      <c r="E21" s="171">
        <f t="shared" si="0"/>
        <v>8.4700000000000006</v>
      </c>
      <c r="F21" s="154">
        <f>E21*12</f>
        <v>101.6</v>
      </c>
      <c r="G21" s="154"/>
      <c r="H21" s="154">
        <f>4130.4/1000</f>
        <v>4.0999999999999996</v>
      </c>
      <c r="I21" s="154"/>
      <c r="J21" s="154"/>
      <c r="K21" s="154"/>
      <c r="L21" s="154">
        <f t="shared" si="18"/>
        <v>27.6</v>
      </c>
      <c r="M21" s="154">
        <f t="shared" si="2"/>
        <v>133.30000000000001</v>
      </c>
      <c r="N21" s="171">
        <v>0.47</v>
      </c>
      <c r="O21" s="154">
        <f t="shared" si="3"/>
        <v>62.7</v>
      </c>
      <c r="P21" s="154">
        <f t="shared" si="4"/>
        <v>196</v>
      </c>
      <c r="Q21" s="154">
        <f t="shared" si="5"/>
        <v>156.80000000000001</v>
      </c>
      <c r="R21" s="154">
        <f t="shared" si="6"/>
        <v>156.80000000000001</v>
      </c>
      <c r="S21" s="154">
        <f t="shared" si="7"/>
        <v>16.3</v>
      </c>
      <c r="T21" s="154">
        <f t="shared" si="8"/>
        <v>525.9</v>
      </c>
      <c r="U21" s="1827"/>
      <c r="V21" s="154">
        <f>T21*$U$9</f>
        <v>525.9</v>
      </c>
      <c r="W21" s="95">
        <f t="shared" si="20"/>
        <v>158.80000000000001</v>
      </c>
      <c r="X21" s="278"/>
      <c r="Y21" s="24">
        <v>30</v>
      </c>
      <c r="Z21" s="48">
        <f t="shared" si="10"/>
        <v>0</v>
      </c>
      <c r="AA21" s="54"/>
      <c r="AB21" s="24">
        <v>15</v>
      </c>
      <c r="AC21" s="48">
        <f t="shared" si="11"/>
        <v>0</v>
      </c>
      <c r="AD21" s="54"/>
      <c r="AE21" s="24">
        <v>30</v>
      </c>
      <c r="AF21" s="48">
        <f t="shared" si="12"/>
        <v>0</v>
      </c>
      <c r="AG21" s="48">
        <f t="shared" si="13"/>
        <v>0</v>
      </c>
      <c r="AH21" s="48">
        <f t="shared" si="14"/>
        <v>0</v>
      </c>
      <c r="AI21" s="39">
        <f t="shared" si="15"/>
        <v>43825</v>
      </c>
      <c r="AK21" s="34">
        <f t="shared" si="16"/>
        <v>525.9</v>
      </c>
      <c r="AL21" s="34">
        <f t="shared" si="19"/>
        <v>213.2</v>
      </c>
      <c r="AM21" s="51">
        <v>0.30199999999999999</v>
      </c>
      <c r="AN21" s="211"/>
      <c r="AO21" s="211"/>
      <c r="AP21" s="211"/>
      <c r="AQ21" s="211"/>
      <c r="AS21" s="22">
        <f t="shared" si="17"/>
        <v>12.7095</v>
      </c>
    </row>
    <row r="22" spans="1:45" x14ac:dyDescent="0.2">
      <c r="A22" s="284">
        <v>14</v>
      </c>
      <c r="B22" s="261" t="s">
        <v>44</v>
      </c>
      <c r="C22" s="259">
        <v>1</v>
      </c>
      <c r="D22" s="237">
        <v>11.061999999999999</v>
      </c>
      <c r="E22" s="111">
        <f t="shared" si="0"/>
        <v>11.06</v>
      </c>
      <c r="F22" s="95">
        <f t="shared" si="1"/>
        <v>132.69999999999999</v>
      </c>
      <c r="G22" s="95"/>
      <c r="H22" s="95">
        <v>7</v>
      </c>
      <c r="I22" s="95"/>
      <c r="J22" s="95"/>
      <c r="K22" s="95">
        <f>F22*0.4</f>
        <v>53.1</v>
      </c>
      <c r="L22" s="95">
        <f t="shared" si="18"/>
        <v>36.1</v>
      </c>
      <c r="M22" s="95">
        <f t="shared" si="2"/>
        <v>228.9</v>
      </c>
      <c r="N22" s="111">
        <v>0.43</v>
      </c>
      <c r="O22" s="95">
        <f t="shared" si="3"/>
        <v>98.4</v>
      </c>
      <c r="P22" s="95">
        <f t="shared" si="4"/>
        <v>327.3</v>
      </c>
      <c r="Q22" s="95">
        <f t="shared" si="5"/>
        <v>261.8</v>
      </c>
      <c r="R22" s="95">
        <f t="shared" si="6"/>
        <v>261.8</v>
      </c>
      <c r="S22" s="95">
        <f t="shared" si="7"/>
        <v>27.2</v>
      </c>
      <c r="T22" s="95">
        <f t="shared" si="8"/>
        <v>878.1</v>
      </c>
      <c r="U22" s="1827"/>
      <c r="V22" s="95">
        <f t="shared" si="9"/>
        <v>878.1</v>
      </c>
      <c r="W22" s="95">
        <f t="shared" si="20"/>
        <v>265.2</v>
      </c>
      <c r="X22" s="284">
        <v>1</v>
      </c>
      <c r="Y22" s="112">
        <v>30</v>
      </c>
      <c r="Z22" s="113">
        <f t="shared" si="10"/>
        <v>30</v>
      </c>
      <c r="AA22" s="127">
        <v>1</v>
      </c>
      <c r="AB22" s="112">
        <v>15</v>
      </c>
      <c r="AC22" s="113">
        <f t="shared" si="11"/>
        <v>15</v>
      </c>
      <c r="AD22" s="127"/>
      <c r="AE22" s="112">
        <v>30</v>
      </c>
      <c r="AF22" s="113">
        <f t="shared" si="12"/>
        <v>0</v>
      </c>
      <c r="AG22" s="113">
        <f t="shared" si="13"/>
        <v>13.5</v>
      </c>
      <c r="AH22" s="113">
        <f t="shared" si="14"/>
        <v>58.5</v>
      </c>
      <c r="AI22" s="131">
        <f t="shared" si="15"/>
        <v>73175</v>
      </c>
      <c r="AK22" s="114">
        <f t="shared" si="16"/>
        <v>878.1</v>
      </c>
      <c r="AL22" s="114">
        <f t="shared" si="19"/>
        <v>277.3</v>
      </c>
      <c r="AM22" s="115">
        <v>0.30199999999999999</v>
      </c>
      <c r="AN22" s="50"/>
      <c r="AO22" s="50"/>
      <c r="AP22" s="50"/>
      <c r="AQ22" s="50"/>
      <c r="AS22" s="99">
        <f t="shared" si="17"/>
        <v>16.593</v>
      </c>
    </row>
    <row r="23" spans="1:45" x14ac:dyDescent="0.2">
      <c r="A23" s="284">
        <v>15</v>
      </c>
      <c r="B23" s="236" t="s">
        <v>33</v>
      </c>
      <c r="C23" s="174">
        <v>1</v>
      </c>
      <c r="D23" s="237">
        <v>8.4730000000000008</v>
      </c>
      <c r="E23" s="111">
        <f t="shared" si="0"/>
        <v>8.4700000000000006</v>
      </c>
      <c r="F23" s="95">
        <f t="shared" si="1"/>
        <v>101.6</v>
      </c>
      <c r="G23" s="95">
        <f>4015.6/1000</f>
        <v>4</v>
      </c>
      <c r="H23" s="95">
        <f>5782.5/1000</f>
        <v>5.8</v>
      </c>
      <c r="I23" s="95"/>
      <c r="J23" s="95"/>
      <c r="K23" s="95">
        <f>D23*0.2*7.6+D23*0.25*4.4</f>
        <v>22.2</v>
      </c>
      <c r="L23" s="95">
        <f t="shared" si="18"/>
        <v>27.6</v>
      </c>
      <c r="M23" s="95">
        <f t="shared" si="2"/>
        <v>161.19999999999999</v>
      </c>
      <c r="N23" s="111">
        <v>0.41</v>
      </c>
      <c r="O23" s="95">
        <f t="shared" si="3"/>
        <v>66.099999999999994</v>
      </c>
      <c r="P23" s="95">
        <f t="shared" si="4"/>
        <v>227.3</v>
      </c>
      <c r="Q23" s="95">
        <f t="shared" si="5"/>
        <v>181.8</v>
      </c>
      <c r="R23" s="95">
        <f t="shared" si="6"/>
        <v>181.8</v>
      </c>
      <c r="S23" s="95">
        <f t="shared" si="7"/>
        <v>18.899999999999999</v>
      </c>
      <c r="T23" s="95">
        <f t="shared" si="8"/>
        <v>609.79999999999995</v>
      </c>
      <c r="U23" s="1827"/>
      <c r="V23" s="95">
        <f t="shared" si="9"/>
        <v>609.79999999999995</v>
      </c>
      <c r="W23" s="95">
        <f t="shared" si="20"/>
        <v>184.2</v>
      </c>
      <c r="X23" s="238">
        <v>1</v>
      </c>
      <c r="Y23" s="240">
        <v>30</v>
      </c>
      <c r="Z23" s="241">
        <f t="shared" si="10"/>
        <v>30</v>
      </c>
      <c r="AA23" s="238"/>
      <c r="AB23" s="240">
        <v>15</v>
      </c>
      <c r="AC23" s="241">
        <f t="shared" si="11"/>
        <v>0</v>
      </c>
      <c r="AD23" s="238">
        <v>1</v>
      </c>
      <c r="AE23" s="240">
        <v>30</v>
      </c>
      <c r="AF23" s="241">
        <f t="shared" si="12"/>
        <v>30</v>
      </c>
      <c r="AG23" s="241">
        <f t="shared" si="13"/>
        <v>18</v>
      </c>
      <c r="AH23" s="241">
        <f t="shared" si="14"/>
        <v>78</v>
      </c>
      <c r="AI23" s="131">
        <f t="shared" si="15"/>
        <v>50816.67</v>
      </c>
      <c r="AK23" s="114">
        <f t="shared" si="16"/>
        <v>609.79999999999995</v>
      </c>
      <c r="AL23" s="114">
        <f t="shared" si="19"/>
        <v>228.5</v>
      </c>
      <c r="AM23" s="115">
        <v>0.30199999999999999</v>
      </c>
      <c r="AN23" s="263"/>
      <c r="AO23" s="263"/>
      <c r="AP23" s="263"/>
      <c r="AS23" s="99">
        <f t="shared" si="17"/>
        <v>12.7095</v>
      </c>
    </row>
    <row r="24" spans="1:45" ht="25.5" x14ac:dyDescent="0.2">
      <c r="A24" s="284">
        <v>16</v>
      </c>
      <c r="B24" s="236" t="s">
        <v>102</v>
      </c>
      <c r="C24" s="174">
        <v>0.5</v>
      </c>
      <c r="D24" s="237">
        <v>4.3769999999999998</v>
      </c>
      <c r="E24" s="111">
        <f t="shared" si="0"/>
        <v>2.19</v>
      </c>
      <c r="F24" s="95">
        <f t="shared" si="1"/>
        <v>26.3</v>
      </c>
      <c r="G24" s="95"/>
      <c r="H24" s="95"/>
      <c r="I24" s="95"/>
      <c r="J24" s="95"/>
      <c r="K24" s="95"/>
      <c r="L24" s="95">
        <f t="shared" si="18"/>
        <v>7.2</v>
      </c>
      <c r="M24" s="95">
        <f t="shared" si="2"/>
        <v>33.5</v>
      </c>
      <c r="N24" s="111">
        <v>0.49</v>
      </c>
      <c r="O24" s="95">
        <f t="shared" si="3"/>
        <v>16.399999999999999</v>
      </c>
      <c r="P24" s="95">
        <f t="shared" si="4"/>
        <v>49.9</v>
      </c>
      <c r="Q24" s="95">
        <f t="shared" si="5"/>
        <v>39.9</v>
      </c>
      <c r="R24" s="95">
        <f t="shared" si="6"/>
        <v>39.9</v>
      </c>
      <c r="S24" s="95">
        <f t="shared" si="7"/>
        <v>4.2</v>
      </c>
      <c r="T24" s="95">
        <f t="shared" si="8"/>
        <v>133.9</v>
      </c>
      <c r="U24" s="1827"/>
      <c r="V24" s="95">
        <f t="shared" si="9"/>
        <v>133.9</v>
      </c>
      <c r="W24" s="95">
        <f t="shared" si="20"/>
        <v>40.4</v>
      </c>
      <c r="X24" s="238"/>
      <c r="Y24" s="240"/>
      <c r="Z24" s="241"/>
      <c r="AA24" s="238"/>
      <c r="AB24" s="240"/>
      <c r="AC24" s="241"/>
      <c r="AD24" s="238"/>
      <c r="AE24" s="240"/>
      <c r="AF24" s="241"/>
      <c r="AG24" s="241"/>
      <c r="AH24" s="241"/>
      <c r="AI24" s="131"/>
      <c r="AK24" s="114"/>
      <c r="AL24" s="114"/>
      <c r="AM24" s="115"/>
      <c r="AN24" s="263"/>
      <c r="AO24" s="263"/>
      <c r="AP24" s="263"/>
      <c r="AS24" s="99">
        <f t="shared" si="17"/>
        <v>6.5655000000000001</v>
      </c>
    </row>
    <row r="25" spans="1:45" x14ac:dyDescent="0.2">
      <c r="A25" s="284">
        <v>17</v>
      </c>
      <c r="B25" s="236" t="s">
        <v>136</v>
      </c>
      <c r="C25" s="174">
        <v>0.5</v>
      </c>
      <c r="D25" s="237">
        <v>4.3769999999999998</v>
      </c>
      <c r="E25" s="111">
        <f t="shared" si="0"/>
        <v>2.19</v>
      </c>
      <c r="F25" s="95">
        <f t="shared" si="1"/>
        <v>26.3</v>
      </c>
      <c r="G25" s="95"/>
      <c r="H25" s="95"/>
      <c r="I25" s="95"/>
      <c r="J25" s="95"/>
      <c r="K25" s="95"/>
      <c r="L25" s="95">
        <f t="shared" si="18"/>
        <v>7.2</v>
      </c>
      <c r="M25" s="95">
        <f t="shared" si="2"/>
        <v>33.5</v>
      </c>
      <c r="N25" s="111">
        <v>0.49</v>
      </c>
      <c r="O25" s="95">
        <f t="shared" si="3"/>
        <v>16.399999999999999</v>
      </c>
      <c r="P25" s="95">
        <f t="shared" si="4"/>
        <v>49.9</v>
      </c>
      <c r="Q25" s="95">
        <f t="shared" si="5"/>
        <v>39.9</v>
      </c>
      <c r="R25" s="95">
        <f t="shared" si="6"/>
        <v>39.9</v>
      </c>
      <c r="S25" s="95">
        <f t="shared" si="7"/>
        <v>4.2</v>
      </c>
      <c r="T25" s="95">
        <f t="shared" si="8"/>
        <v>133.9</v>
      </c>
      <c r="U25" s="1827"/>
      <c r="V25" s="95">
        <f t="shared" si="9"/>
        <v>133.9</v>
      </c>
      <c r="W25" s="95">
        <f t="shared" si="20"/>
        <v>40.4</v>
      </c>
      <c r="X25" s="238"/>
      <c r="Y25" s="240"/>
      <c r="Z25" s="241"/>
      <c r="AA25" s="238"/>
      <c r="AB25" s="240"/>
      <c r="AC25" s="241"/>
      <c r="AD25" s="238"/>
      <c r="AE25" s="240"/>
      <c r="AF25" s="241"/>
      <c r="AG25" s="241"/>
      <c r="AH25" s="241"/>
      <c r="AI25" s="131"/>
      <c r="AK25" s="114"/>
      <c r="AL25" s="114"/>
      <c r="AM25" s="115"/>
      <c r="AN25" s="263"/>
      <c r="AO25" s="263"/>
      <c r="AP25" s="263"/>
      <c r="AS25" s="99">
        <f t="shared" si="17"/>
        <v>6.5655000000000001</v>
      </c>
    </row>
    <row r="26" spans="1:45" s="245" customFormat="1" x14ac:dyDescent="0.2">
      <c r="A26" s="284">
        <v>18</v>
      </c>
      <c r="B26" s="236" t="s">
        <v>60</v>
      </c>
      <c r="C26" s="262">
        <v>2</v>
      </c>
      <c r="D26" s="247">
        <v>4.3769999999999998</v>
      </c>
      <c r="E26" s="249">
        <f t="shared" si="0"/>
        <v>8.75</v>
      </c>
      <c r="F26" s="248">
        <f t="shared" si="1"/>
        <v>105</v>
      </c>
      <c r="G26" s="248">
        <f>12446.4/1000</f>
        <v>12.4</v>
      </c>
      <c r="H26" s="248">
        <f>5974.3/1000</f>
        <v>6</v>
      </c>
      <c r="I26" s="248"/>
      <c r="J26" s="248"/>
      <c r="K26" s="248"/>
      <c r="L26" s="95">
        <v>59</v>
      </c>
      <c r="M26" s="248">
        <f t="shared" si="2"/>
        <v>182.4</v>
      </c>
      <c r="N26" s="111">
        <v>0.49</v>
      </c>
      <c r="O26" s="248">
        <f t="shared" si="3"/>
        <v>89.4</v>
      </c>
      <c r="P26" s="248">
        <f t="shared" si="4"/>
        <v>271.8</v>
      </c>
      <c r="Q26" s="248">
        <f t="shared" si="5"/>
        <v>217.4</v>
      </c>
      <c r="R26" s="248">
        <f t="shared" si="6"/>
        <v>217.4</v>
      </c>
      <c r="S26" s="248">
        <f t="shared" si="7"/>
        <v>22.6</v>
      </c>
      <c r="T26" s="248">
        <f t="shared" si="8"/>
        <v>729.2</v>
      </c>
      <c r="U26" s="1827"/>
      <c r="V26" s="248">
        <f t="shared" si="9"/>
        <v>729.2</v>
      </c>
      <c r="W26" s="95">
        <f t="shared" si="20"/>
        <v>220.2</v>
      </c>
      <c r="X26" s="246">
        <v>1</v>
      </c>
      <c r="Y26" s="240">
        <v>30</v>
      </c>
      <c r="Z26" s="241">
        <f t="shared" si="10"/>
        <v>30</v>
      </c>
      <c r="AA26" s="246"/>
      <c r="AB26" s="240">
        <v>15</v>
      </c>
      <c r="AC26" s="241">
        <f t="shared" si="11"/>
        <v>0</v>
      </c>
      <c r="AD26" s="246"/>
      <c r="AE26" s="240">
        <v>30</v>
      </c>
      <c r="AF26" s="241">
        <f t="shared" si="12"/>
        <v>0</v>
      </c>
      <c r="AG26" s="241">
        <f t="shared" si="13"/>
        <v>9</v>
      </c>
      <c r="AH26" s="241">
        <f t="shared" si="14"/>
        <v>39</v>
      </c>
      <c r="AI26" s="131">
        <f>V26/12/C26*1000</f>
        <v>30383.33</v>
      </c>
      <c r="AK26" s="114">
        <f>V26/C26</f>
        <v>364.6</v>
      </c>
      <c r="AL26" s="114">
        <f t="shared" si="19"/>
        <v>183.8</v>
      </c>
      <c r="AM26" s="115">
        <v>0.30199999999999999</v>
      </c>
      <c r="AN26" s="211"/>
      <c r="AO26" s="211"/>
      <c r="AP26" s="211"/>
      <c r="AQ26" s="211"/>
      <c r="AS26" s="99">
        <f t="shared" si="17"/>
        <v>6.5655000000000001</v>
      </c>
    </row>
    <row r="27" spans="1:45" x14ac:dyDescent="0.2">
      <c r="A27" s="284">
        <v>19</v>
      </c>
      <c r="B27" s="261" t="s">
        <v>94</v>
      </c>
      <c r="C27" s="264">
        <v>2</v>
      </c>
      <c r="D27" s="237">
        <v>4.3769999999999998</v>
      </c>
      <c r="E27" s="111">
        <f t="shared" si="0"/>
        <v>8.75</v>
      </c>
      <c r="F27" s="95">
        <f t="shared" si="1"/>
        <v>105</v>
      </c>
      <c r="G27" s="95">
        <f>2074.4/1000</f>
        <v>2.1</v>
      </c>
      <c r="H27" s="95">
        <f>5.974</f>
        <v>6</v>
      </c>
      <c r="I27" s="95"/>
      <c r="J27" s="95"/>
      <c r="K27" s="95"/>
      <c r="L27" s="95">
        <v>70.8</v>
      </c>
      <c r="M27" s="95">
        <f t="shared" si="2"/>
        <v>183.9</v>
      </c>
      <c r="N27" s="111">
        <v>0.47</v>
      </c>
      <c r="O27" s="95">
        <f t="shared" si="3"/>
        <v>86.4</v>
      </c>
      <c r="P27" s="95">
        <f t="shared" si="4"/>
        <v>270.3</v>
      </c>
      <c r="Q27" s="95">
        <f t="shared" si="5"/>
        <v>216.2</v>
      </c>
      <c r="R27" s="95">
        <f t="shared" si="6"/>
        <v>216.2</v>
      </c>
      <c r="S27" s="95">
        <f t="shared" si="7"/>
        <v>22.5</v>
      </c>
      <c r="T27" s="95">
        <f t="shared" si="8"/>
        <v>725.2</v>
      </c>
      <c r="U27" s="1827"/>
      <c r="V27" s="95">
        <f>T27*$U$9+0.1</f>
        <v>725.3</v>
      </c>
      <c r="W27" s="95">
        <f t="shared" si="20"/>
        <v>219</v>
      </c>
      <c r="X27" s="284">
        <v>1</v>
      </c>
      <c r="Y27" s="112">
        <v>30</v>
      </c>
      <c r="Z27" s="113">
        <f t="shared" si="10"/>
        <v>30</v>
      </c>
      <c r="AA27" s="284"/>
      <c r="AB27" s="112">
        <v>15</v>
      </c>
      <c r="AC27" s="113">
        <f t="shared" si="11"/>
        <v>0</v>
      </c>
      <c r="AD27" s="284"/>
      <c r="AE27" s="112">
        <v>30</v>
      </c>
      <c r="AF27" s="113">
        <f t="shared" si="12"/>
        <v>0</v>
      </c>
      <c r="AG27" s="113">
        <f t="shared" si="13"/>
        <v>9</v>
      </c>
      <c r="AH27" s="113">
        <f t="shared" si="14"/>
        <v>39</v>
      </c>
      <c r="AI27" s="131">
        <f>V27/12/C27*1000</f>
        <v>30220.83</v>
      </c>
      <c r="AK27" s="114">
        <f>V27/C27</f>
        <v>362.7</v>
      </c>
      <c r="AL27" s="114">
        <f t="shared" si="19"/>
        <v>183.5</v>
      </c>
      <c r="AM27" s="115">
        <v>0.30199999999999999</v>
      </c>
      <c r="AS27" s="99">
        <f t="shared" si="17"/>
        <v>6.5655000000000001</v>
      </c>
    </row>
    <row r="28" spans="1:45" s="98" customFormat="1" ht="20.25" customHeight="1" x14ac:dyDescent="0.2">
      <c r="A28" s="1829" t="s">
        <v>8</v>
      </c>
      <c r="B28" s="1829"/>
      <c r="C28" s="265">
        <f>SUM(C9:C27)</f>
        <v>25</v>
      </c>
      <c r="D28" s="266">
        <f t="shared" ref="D28:T28" si="21">SUM(D9:D27)</f>
        <v>187.6</v>
      </c>
      <c r="E28" s="266">
        <f t="shared" si="21"/>
        <v>251.7</v>
      </c>
      <c r="F28" s="266">
        <f t="shared" si="21"/>
        <v>3020.1</v>
      </c>
      <c r="G28" s="266">
        <f t="shared" si="21"/>
        <v>18.5</v>
      </c>
      <c r="H28" s="266">
        <f t="shared" si="21"/>
        <v>110.7</v>
      </c>
      <c r="I28" s="266">
        <f t="shared" si="21"/>
        <v>0</v>
      </c>
      <c r="J28" s="266">
        <f t="shared" si="21"/>
        <v>0</v>
      </c>
      <c r="K28" s="266">
        <f t="shared" si="21"/>
        <v>703.9</v>
      </c>
      <c r="L28" s="266">
        <f t="shared" si="21"/>
        <v>894.2</v>
      </c>
      <c r="M28" s="266">
        <f t="shared" si="21"/>
        <v>4747.3999999999996</v>
      </c>
      <c r="N28" s="266">
        <f t="shared" si="21"/>
        <v>8.5</v>
      </c>
      <c r="O28" s="266">
        <f t="shared" si="21"/>
        <v>2108</v>
      </c>
      <c r="P28" s="266">
        <f t="shared" si="21"/>
        <v>6855.4</v>
      </c>
      <c r="Q28" s="266">
        <f t="shared" si="21"/>
        <v>5484.1</v>
      </c>
      <c r="R28" s="266">
        <f t="shared" si="21"/>
        <v>5484.1</v>
      </c>
      <c r="S28" s="266">
        <f t="shared" si="21"/>
        <v>570.29999999999995</v>
      </c>
      <c r="T28" s="266">
        <f t="shared" si="21"/>
        <v>18393.900000000001</v>
      </c>
      <c r="U28" s="266"/>
      <c r="V28" s="266">
        <f t="shared" ref="V28:AH28" si="22">SUM(V9:V27)</f>
        <v>18394</v>
      </c>
      <c r="W28" s="266">
        <f>SUM(W9:W27)</f>
        <v>5400.8</v>
      </c>
      <c r="X28" s="266">
        <f t="shared" si="22"/>
        <v>8</v>
      </c>
      <c r="Y28" s="266">
        <f t="shared" si="22"/>
        <v>510</v>
      </c>
      <c r="Z28" s="266">
        <f t="shared" si="22"/>
        <v>240</v>
      </c>
      <c r="AA28" s="266">
        <f t="shared" si="22"/>
        <v>1</v>
      </c>
      <c r="AB28" s="266">
        <f t="shared" si="22"/>
        <v>255</v>
      </c>
      <c r="AC28" s="266">
        <f t="shared" si="22"/>
        <v>15</v>
      </c>
      <c r="AD28" s="266">
        <f t="shared" si="22"/>
        <v>3</v>
      </c>
      <c r="AE28" s="266">
        <f t="shared" si="22"/>
        <v>510</v>
      </c>
      <c r="AF28" s="266">
        <f t="shared" si="22"/>
        <v>90</v>
      </c>
      <c r="AG28" s="266">
        <f t="shared" si="22"/>
        <v>103.5</v>
      </c>
      <c r="AH28" s="266">
        <f t="shared" si="22"/>
        <v>448.5</v>
      </c>
      <c r="AI28" s="131"/>
      <c r="AK28" s="114"/>
      <c r="AL28" s="114"/>
      <c r="AM28" s="115"/>
      <c r="AN28" s="211"/>
      <c r="AO28" s="211"/>
      <c r="AP28" s="211"/>
      <c r="AQ28" s="211"/>
      <c r="AS28" s="99"/>
    </row>
    <row r="29" spans="1:45" s="98" customFormat="1" ht="20.25" customHeight="1" x14ac:dyDescent="0.2">
      <c r="A29" s="267"/>
      <c r="B29" s="268"/>
      <c r="C29" s="269"/>
      <c r="D29" s="270"/>
      <c r="E29" s="270"/>
      <c r="F29" s="270"/>
      <c r="G29" s="270"/>
      <c r="H29" s="270"/>
      <c r="I29" s="270"/>
      <c r="J29" s="270"/>
      <c r="K29" s="270"/>
      <c r="L29" s="270"/>
      <c r="M29" s="270"/>
      <c r="N29" s="270"/>
      <c r="O29" s="270"/>
      <c r="P29" s="270"/>
      <c r="Q29" s="270"/>
      <c r="R29" s="270"/>
      <c r="S29" s="270"/>
      <c r="T29" s="270"/>
      <c r="U29" s="270"/>
      <c r="V29" s="270"/>
      <c r="W29" s="66"/>
      <c r="X29" s="270"/>
      <c r="Y29" s="270"/>
      <c r="Z29" s="270"/>
      <c r="AA29" s="270"/>
      <c r="AB29" s="270"/>
      <c r="AC29" s="270"/>
      <c r="AD29" s="270"/>
      <c r="AE29" s="270"/>
      <c r="AF29" s="270"/>
      <c r="AG29" s="270"/>
      <c r="AH29" s="270"/>
      <c r="AI29" s="131"/>
      <c r="AK29" s="114"/>
      <c r="AL29" s="114"/>
      <c r="AM29" s="115"/>
      <c r="AN29" s="211"/>
      <c r="AO29" s="211"/>
      <c r="AP29" s="211"/>
      <c r="AQ29" s="211"/>
    </row>
    <row r="30" spans="1:45" s="75" customFormat="1" x14ac:dyDescent="0.2">
      <c r="A30" s="70"/>
      <c r="B30" s="70"/>
      <c r="C30" s="71"/>
      <c r="D30" s="271"/>
      <c r="E30" s="72"/>
      <c r="F30" s="72"/>
      <c r="G30" s="72"/>
      <c r="H30" s="73"/>
      <c r="I30" s="73"/>
      <c r="J30" s="27"/>
      <c r="K30" s="27"/>
      <c r="L30" s="27"/>
      <c r="M30" s="27"/>
      <c r="N30" s="74"/>
      <c r="O30" s="27"/>
      <c r="P30" s="27"/>
      <c r="Q30" s="27"/>
      <c r="R30" s="27"/>
      <c r="S30" s="27"/>
      <c r="T30" s="27"/>
      <c r="U30" s="27"/>
      <c r="V30" s="27"/>
      <c r="W30" s="27"/>
      <c r="X30" s="27"/>
      <c r="Y30" s="27"/>
      <c r="Z30" s="27"/>
      <c r="AA30" s="27"/>
      <c r="AB30" s="27"/>
      <c r="AC30" s="27"/>
      <c r="AD30" s="27"/>
      <c r="AE30" s="27"/>
      <c r="AF30" s="27"/>
      <c r="AG30" s="27"/>
      <c r="AH30" s="27"/>
      <c r="AI30" s="27"/>
      <c r="AJ30" s="76"/>
      <c r="AN30" s="76"/>
      <c r="AO30" s="76"/>
      <c r="AP30" s="76"/>
      <c r="AQ30" s="76"/>
      <c r="AR30" s="76"/>
    </row>
    <row r="31" spans="1:45" s="75" customFormat="1" ht="58.5" customHeight="1" x14ac:dyDescent="0.2">
      <c r="A31" s="70"/>
      <c r="B31" s="70"/>
      <c r="C31" s="71"/>
      <c r="D31" s="77"/>
      <c r="E31" s="77"/>
      <c r="F31" s="27"/>
      <c r="G31" s="1438" t="s">
        <v>140</v>
      </c>
      <c r="H31" s="1438"/>
      <c r="I31" s="1438" t="s">
        <v>145</v>
      </c>
      <c r="J31" s="1438"/>
      <c r="K31" s="1438" t="s">
        <v>128</v>
      </c>
      <c r="L31" s="1438"/>
      <c r="Q31" s="27"/>
      <c r="R31" s="27"/>
      <c r="S31" s="27"/>
      <c r="T31" s="27"/>
      <c r="U31" s="27"/>
      <c r="V31" s="27"/>
      <c r="W31" s="27"/>
      <c r="X31" s="27"/>
      <c r="Y31" s="27"/>
      <c r="Z31" s="27"/>
      <c r="AA31" s="27"/>
      <c r="AB31" s="27"/>
      <c r="AC31" s="27"/>
      <c r="AD31" s="27"/>
      <c r="AE31" s="27"/>
      <c r="AF31" s="27"/>
      <c r="AG31" s="27"/>
      <c r="AH31" s="27"/>
      <c r="AI31" s="27"/>
      <c r="AJ31" s="76"/>
      <c r="AN31" s="76"/>
      <c r="AO31" s="76"/>
      <c r="AP31" s="76"/>
      <c r="AQ31" s="76"/>
      <c r="AR31" s="76"/>
    </row>
    <row r="32" spans="1:45" s="75" customFormat="1" x14ac:dyDescent="0.2">
      <c r="A32" s="70"/>
      <c r="B32" s="70"/>
      <c r="C32" s="71"/>
      <c r="D32" s="77"/>
      <c r="E32" s="77"/>
      <c r="F32" s="27"/>
      <c r="G32" s="279">
        <v>991</v>
      </c>
      <c r="H32" s="279">
        <v>992</v>
      </c>
      <c r="I32" s="279">
        <v>991</v>
      </c>
      <c r="J32" s="279">
        <v>992</v>
      </c>
      <c r="K32" s="279">
        <v>991</v>
      </c>
      <c r="L32" s="279">
        <v>992</v>
      </c>
      <c r="Q32" s="27"/>
      <c r="R32" s="27"/>
      <c r="S32" s="27"/>
      <c r="T32" s="27"/>
      <c r="U32" s="27"/>
      <c r="V32" s="27"/>
      <c r="W32" s="27"/>
      <c r="X32" s="27"/>
      <c r="Y32" s="27"/>
      <c r="Z32" s="27"/>
      <c r="AA32" s="27"/>
      <c r="AB32" s="27"/>
      <c r="AC32" s="27"/>
      <c r="AD32" s="27"/>
      <c r="AE32" s="27"/>
      <c r="AF32" s="27"/>
      <c r="AG32" s="27"/>
      <c r="AH32" s="27"/>
      <c r="AI32" s="27"/>
      <c r="AJ32" s="76"/>
      <c r="AN32" s="76"/>
      <c r="AO32" s="76"/>
      <c r="AP32" s="76"/>
      <c r="AQ32" s="76"/>
      <c r="AR32" s="76"/>
    </row>
    <row r="33" spans="1:44" s="75" customFormat="1" x14ac:dyDescent="0.2">
      <c r="A33" s="70"/>
      <c r="B33" s="70"/>
      <c r="C33" s="71"/>
      <c r="D33" s="77"/>
      <c r="E33" s="77"/>
      <c r="F33" s="27"/>
      <c r="G33" s="29">
        <v>18394</v>
      </c>
      <c r="H33" s="29">
        <v>5393.9</v>
      </c>
      <c r="I33" s="29">
        <f>V28</f>
        <v>18394</v>
      </c>
      <c r="J33" s="29">
        <f>W28</f>
        <v>5400.8</v>
      </c>
      <c r="K33" s="29">
        <f>G33-I33</f>
        <v>0</v>
      </c>
      <c r="L33" s="29">
        <f>H33-J33</f>
        <v>-6.9</v>
      </c>
      <c r="Q33" s="27"/>
      <c r="R33" s="27"/>
      <c r="S33" s="27"/>
      <c r="T33" s="27"/>
      <c r="U33" s="27"/>
      <c r="V33" s="27"/>
      <c r="W33" s="27"/>
      <c r="X33" s="27"/>
      <c r="Y33" s="27"/>
      <c r="Z33" s="27"/>
      <c r="AA33" s="27"/>
      <c r="AB33" s="27"/>
      <c r="AC33" s="27"/>
      <c r="AD33" s="27"/>
      <c r="AE33" s="27"/>
      <c r="AF33" s="27"/>
      <c r="AG33" s="27"/>
      <c r="AH33" s="27"/>
      <c r="AI33" s="27"/>
      <c r="AJ33" s="76"/>
      <c r="AN33" s="76"/>
      <c r="AO33" s="76"/>
      <c r="AP33" s="76"/>
      <c r="AQ33" s="76"/>
      <c r="AR33" s="76"/>
    </row>
    <row r="38" spans="1:44" s="282" customFormat="1" ht="20.25" x14ac:dyDescent="0.2">
      <c r="A38" s="81"/>
      <c r="B38" s="82" t="s">
        <v>138</v>
      </c>
      <c r="C38" s="83"/>
      <c r="D38" s="84"/>
      <c r="E38" s="84"/>
      <c r="F38" s="85"/>
      <c r="G38" s="85"/>
      <c r="H38" s="86"/>
      <c r="I38" s="86"/>
      <c r="J38" s="85"/>
      <c r="K38" s="30" t="s">
        <v>166</v>
      </c>
      <c r="L38" s="85"/>
      <c r="M38" s="85"/>
      <c r="N38" s="87"/>
      <c r="O38" s="85"/>
      <c r="P38" s="85"/>
      <c r="Q38" s="85"/>
      <c r="R38" s="85"/>
      <c r="S38" s="85"/>
      <c r="T38" s="85"/>
      <c r="U38" s="85"/>
      <c r="V38" s="85"/>
      <c r="W38" s="85"/>
      <c r="X38" s="85"/>
      <c r="Y38" s="85"/>
      <c r="Z38" s="85"/>
      <c r="AA38" s="85"/>
      <c r="AB38" s="85"/>
      <c r="AC38" s="85"/>
      <c r="AD38" s="85"/>
      <c r="AE38" s="85"/>
      <c r="AF38" s="85"/>
      <c r="AG38" s="85"/>
      <c r="AH38" s="85"/>
      <c r="AI38" s="85"/>
      <c r="AK38" s="88"/>
      <c r="AL38" s="88"/>
      <c r="AM38" s="88"/>
      <c r="AN38" s="88"/>
      <c r="AO38" s="88"/>
    </row>
    <row r="39" spans="1:44" s="143" customFormat="1" x14ac:dyDescent="0.2">
      <c r="A39" s="136"/>
      <c r="B39" s="136"/>
      <c r="C39" s="137"/>
      <c r="D39" s="144"/>
      <c r="E39" s="144"/>
      <c r="F39" s="140"/>
      <c r="G39" s="140"/>
      <c r="H39" s="139"/>
      <c r="I39" s="139"/>
      <c r="J39" s="140"/>
      <c r="K39" s="140"/>
      <c r="L39" s="140"/>
      <c r="M39" s="140"/>
      <c r="N39" s="141"/>
      <c r="O39" s="140"/>
      <c r="P39" s="140"/>
      <c r="Q39" s="140"/>
      <c r="R39" s="140"/>
      <c r="S39" s="140"/>
      <c r="T39" s="140"/>
      <c r="U39" s="140"/>
      <c r="V39" s="140"/>
      <c r="W39" s="140"/>
      <c r="X39" s="140"/>
      <c r="Y39" s="140"/>
      <c r="Z39" s="140"/>
      <c r="AA39" s="140"/>
      <c r="AB39" s="140"/>
      <c r="AC39" s="140"/>
      <c r="AD39" s="140"/>
      <c r="AE39" s="140"/>
      <c r="AF39" s="142"/>
      <c r="AK39" s="142"/>
      <c r="AL39" s="142"/>
      <c r="AM39" s="142"/>
      <c r="AN39" s="76"/>
      <c r="AO39" s="76"/>
      <c r="AP39" s="76"/>
      <c r="AQ39" s="76"/>
      <c r="AR39" s="99"/>
    </row>
    <row r="40" spans="1:44" s="143" customFormat="1" x14ac:dyDescent="0.2">
      <c r="A40" s="136"/>
      <c r="B40" s="136"/>
      <c r="C40" s="137"/>
      <c r="D40" s="144"/>
      <c r="E40" s="144"/>
      <c r="F40" s="140"/>
      <c r="G40" s="140"/>
      <c r="H40" s="139"/>
      <c r="I40" s="139"/>
      <c r="J40" s="140"/>
      <c r="K40" s="140"/>
      <c r="L40" s="140"/>
      <c r="M40" s="140"/>
      <c r="N40" s="202"/>
      <c r="O40" s="203"/>
      <c r="P40" s="140"/>
      <c r="Q40" s="140"/>
      <c r="R40" s="140"/>
      <c r="S40" s="140"/>
      <c r="T40" s="140"/>
      <c r="U40" s="140"/>
      <c r="V40" s="140"/>
      <c r="W40" s="140"/>
      <c r="X40" s="140"/>
      <c r="Y40" s="140"/>
      <c r="Z40" s="140"/>
      <c r="AA40" s="140"/>
      <c r="AB40" s="140"/>
      <c r="AC40" s="140"/>
      <c r="AD40" s="140"/>
      <c r="AE40" s="140"/>
      <c r="AF40" s="142"/>
      <c r="AK40" s="142"/>
      <c r="AL40" s="142"/>
      <c r="AM40" s="142"/>
      <c r="AN40" s="76"/>
      <c r="AO40" s="76"/>
      <c r="AP40" s="76"/>
      <c r="AQ40" s="76"/>
      <c r="AR40" s="252"/>
    </row>
    <row r="41" spans="1:44" s="143" customFormat="1" ht="20.25" customHeight="1" x14ac:dyDescent="0.2">
      <c r="A41" s="145" t="s">
        <v>96</v>
      </c>
      <c r="B41" s="145"/>
      <c r="C41" s="146"/>
      <c r="D41" s="146"/>
      <c r="E41" s="146"/>
      <c r="F41" s="146"/>
      <c r="G41" s="146"/>
      <c r="H41" s="146"/>
      <c r="I41" s="146"/>
      <c r="J41" s="146"/>
      <c r="K41" s="146"/>
      <c r="L41" s="147"/>
      <c r="M41" s="147"/>
      <c r="N41" s="202"/>
      <c r="O41" s="203"/>
      <c r="P41" s="147"/>
      <c r="Q41" s="147"/>
      <c r="R41" s="147"/>
      <c r="S41" s="147"/>
      <c r="T41" s="147"/>
      <c r="U41" s="147"/>
      <c r="V41" s="147"/>
      <c r="W41" s="147"/>
      <c r="X41" s="147"/>
      <c r="Y41" s="147"/>
      <c r="Z41" s="147"/>
      <c r="AA41" s="147"/>
      <c r="AB41" s="147"/>
      <c r="AC41" s="147"/>
      <c r="AD41" s="147"/>
      <c r="AE41" s="147"/>
      <c r="AF41" s="142"/>
      <c r="AK41" s="142"/>
      <c r="AL41" s="142"/>
      <c r="AM41" s="142"/>
      <c r="AN41" s="76"/>
      <c r="AO41" s="76"/>
      <c r="AP41" s="76"/>
      <c r="AQ41" s="76"/>
      <c r="AR41" s="99"/>
    </row>
    <row r="42" spans="1:44" s="143" customFormat="1" ht="20.25" customHeight="1" x14ac:dyDescent="0.2">
      <c r="A42" s="145" t="s">
        <v>139</v>
      </c>
      <c r="B42" s="149"/>
      <c r="C42" s="150"/>
      <c r="D42" s="150"/>
      <c r="E42" s="151"/>
      <c r="F42" s="151"/>
      <c r="G42" s="151"/>
      <c r="H42" s="151"/>
      <c r="I42" s="151"/>
      <c r="J42" s="151"/>
      <c r="K42" s="151"/>
      <c r="L42" s="147"/>
      <c r="M42" s="147"/>
      <c r="N42" s="202"/>
      <c r="O42" s="203"/>
      <c r="P42" s="147"/>
      <c r="Q42" s="147"/>
      <c r="R42" s="147"/>
      <c r="S42" s="147"/>
      <c r="T42" s="147"/>
      <c r="U42" s="147"/>
      <c r="V42" s="147"/>
      <c r="W42" s="147"/>
      <c r="X42" s="147"/>
      <c r="Y42" s="147"/>
      <c r="Z42" s="147"/>
      <c r="AA42" s="147"/>
      <c r="AB42" s="147"/>
      <c r="AC42" s="147"/>
      <c r="AD42" s="147"/>
      <c r="AE42" s="147"/>
      <c r="AF42" s="142"/>
      <c r="AK42" s="142"/>
      <c r="AL42" s="142"/>
      <c r="AM42" s="142"/>
      <c r="AN42" s="76"/>
      <c r="AO42" s="76"/>
      <c r="AP42" s="76"/>
      <c r="AQ42" s="76"/>
      <c r="AR42" s="252"/>
    </row>
    <row r="44" spans="1:44" x14ac:dyDescent="0.2">
      <c r="E44" s="115"/>
    </row>
    <row r="45" spans="1:44" x14ac:dyDescent="0.2">
      <c r="E45" s="115"/>
    </row>
    <row r="46" spans="1:44" x14ac:dyDescent="0.2">
      <c r="E46" s="115"/>
      <c r="Y46" s="99" t="s">
        <v>124</v>
      </c>
    </row>
    <row r="47" spans="1:44" x14ac:dyDescent="0.2">
      <c r="E47" s="115"/>
    </row>
    <row r="48" spans="1:44" x14ac:dyDescent="0.2">
      <c r="E48" s="115"/>
    </row>
    <row r="49" spans="5:5" x14ac:dyDescent="0.2">
      <c r="E49" s="115"/>
    </row>
    <row r="50" spans="5:5" x14ac:dyDescent="0.2">
      <c r="E50" s="115"/>
    </row>
    <row r="51" spans="5:5" x14ac:dyDescent="0.2">
      <c r="E51" s="115"/>
    </row>
    <row r="52" spans="5:5" x14ac:dyDescent="0.2">
      <c r="E52" s="115"/>
    </row>
    <row r="53" spans="5:5" x14ac:dyDescent="0.2">
      <c r="E53" s="115"/>
    </row>
    <row r="54" spans="5:5" x14ac:dyDescent="0.2">
      <c r="E54" s="115"/>
    </row>
    <row r="55" spans="5:5" x14ac:dyDescent="0.2">
      <c r="E55" s="115"/>
    </row>
    <row r="56" spans="5:5" x14ac:dyDescent="0.2">
      <c r="E56" s="115"/>
    </row>
    <row r="57" spans="5:5" x14ac:dyDescent="0.2">
      <c r="E57" s="115"/>
    </row>
    <row r="58" spans="5:5" x14ac:dyDescent="0.2">
      <c r="E58" s="115"/>
    </row>
    <row r="59" spans="5:5" x14ac:dyDescent="0.2">
      <c r="E59" s="115"/>
    </row>
    <row r="60" spans="5:5" x14ac:dyDescent="0.2">
      <c r="E60" s="115"/>
    </row>
    <row r="61" spans="5:5" x14ac:dyDescent="0.2">
      <c r="E61" s="115"/>
    </row>
    <row r="62" spans="5:5" x14ac:dyDescent="0.2">
      <c r="E62" s="115"/>
    </row>
    <row r="63" spans="5:5" x14ac:dyDescent="0.2">
      <c r="E63" s="115"/>
    </row>
    <row r="64" spans="5:5" x14ac:dyDescent="0.2">
      <c r="E64" s="115"/>
    </row>
    <row r="65" spans="5:5" x14ac:dyDescent="0.2">
      <c r="E65" s="115"/>
    </row>
    <row r="66" spans="5:5" x14ac:dyDescent="0.2">
      <c r="E66" s="115"/>
    </row>
    <row r="67" spans="5:5" x14ac:dyDescent="0.2">
      <c r="E67" s="115"/>
    </row>
    <row r="68" spans="5:5" x14ac:dyDescent="0.2">
      <c r="E68" s="115"/>
    </row>
  </sheetData>
  <autoFilter ref="A8:AS28"/>
  <mergeCells count="37">
    <mergeCell ref="G31:H31"/>
    <mergeCell ref="I31:J31"/>
    <mergeCell ref="K31:L31"/>
    <mergeCell ref="AA6:AC6"/>
    <mergeCell ref="J6:J7"/>
    <mergeCell ref="K6:K7"/>
    <mergeCell ref="AH6:AH7"/>
    <mergeCell ref="U9:U27"/>
    <mergeCell ref="A28:B28"/>
    <mergeCell ref="S6:S7"/>
    <mergeCell ref="T6:T7"/>
    <mergeCell ref="U6:U7"/>
    <mergeCell ref="V6:V7"/>
    <mergeCell ref="W6:W7"/>
    <mergeCell ref="X6:Z6"/>
    <mergeCell ref="L6:L7"/>
    <mergeCell ref="F6:F7"/>
    <mergeCell ref="G6:G7"/>
    <mergeCell ref="H6:H7"/>
    <mergeCell ref="I6:I7"/>
    <mergeCell ref="R6:R7"/>
    <mergeCell ref="AE1:AH1"/>
    <mergeCell ref="A2:AH2"/>
    <mergeCell ref="A3:AH3"/>
    <mergeCell ref="A5:A7"/>
    <mergeCell ref="B5:B7"/>
    <mergeCell ref="C5:C7"/>
    <mergeCell ref="D5:W5"/>
    <mergeCell ref="X5:AH5"/>
    <mergeCell ref="D6:D7"/>
    <mergeCell ref="E6:E7"/>
    <mergeCell ref="AG6:AG7"/>
    <mergeCell ref="M6:M7"/>
    <mergeCell ref="N6:O6"/>
    <mergeCell ref="P6:P7"/>
    <mergeCell ref="Q6:Q7"/>
    <mergeCell ref="AD6:AF6"/>
  </mergeCells>
  <printOptions horizontalCentered="1"/>
  <pageMargins left="0" right="0" top="0" bottom="0" header="0.31496062992125984" footer="0.31496062992125984"/>
  <pageSetup paperSize="9" scale="37" orientation="landscape"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P74"/>
  <sheetViews>
    <sheetView view="pageBreakPreview" zoomScale="70" zoomScaleNormal="80" zoomScaleSheetLayoutView="70" workbookViewId="0">
      <pane xSplit="3" ySplit="8" topLeftCell="D9"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2.75" x14ac:dyDescent="0.2"/>
  <cols>
    <col min="1" max="1" width="8" style="33" customWidth="1"/>
    <col min="2" max="2" width="30.83203125" style="22" customWidth="1"/>
    <col min="3" max="3" width="13.83203125" style="22" customWidth="1"/>
    <col min="4" max="4" width="13.1640625" style="22" customWidth="1"/>
    <col min="5" max="5" width="13" style="22" customWidth="1"/>
    <col min="6" max="6" width="14.6640625" style="22" customWidth="1"/>
    <col min="7" max="7" width="13.1640625" style="22" customWidth="1"/>
    <col min="8" max="8" width="15.6640625" style="22" customWidth="1"/>
    <col min="9" max="9" width="13.5" style="22" customWidth="1"/>
    <col min="10" max="10" width="20.33203125" style="22" customWidth="1"/>
    <col min="11" max="11" width="13" style="22" customWidth="1"/>
    <col min="12" max="16" width="14.83203125" style="22" customWidth="1"/>
    <col min="17" max="17" width="12.33203125" style="22" customWidth="1"/>
    <col min="18" max="18" width="13" style="22" customWidth="1"/>
    <col min="19" max="19" width="18.1640625" style="22" customWidth="1"/>
    <col min="20" max="20" width="14.83203125" style="22" customWidth="1"/>
    <col min="21" max="21" width="14" style="22" customWidth="1"/>
    <col min="22" max="22" width="15.6640625" style="22" customWidth="1"/>
    <col min="23" max="23" width="14.5" style="22" customWidth="1"/>
    <col min="24" max="24" width="11.33203125" style="22" customWidth="1"/>
    <col min="25" max="25" width="11" style="22" customWidth="1"/>
    <col min="26" max="26" width="11.5" style="22" customWidth="1"/>
    <col min="27" max="28" width="9.33203125" style="22" customWidth="1"/>
    <col min="29" max="29" width="10.1640625" style="22" customWidth="1"/>
    <col min="30" max="30" width="8.5" style="22" customWidth="1"/>
    <col min="31" max="31" width="10.83203125" style="22" customWidth="1"/>
    <col min="32" max="32" width="10.33203125" style="22" customWidth="1"/>
    <col min="33" max="33" width="11.5" style="22" customWidth="1"/>
    <col min="34" max="34" width="13.83203125" style="22" customWidth="1"/>
    <col min="35" max="35" width="12" style="34" customWidth="1"/>
    <col min="36" max="36" width="17.83203125" style="22" customWidth="1"/>
    <col min="37" max="37" width="14" style="22" bestFit="1" customWidth="1"/>
    <col min="38" max="39" width="9.5" style="22" bestFit="1" customWidth="1"/>
    <col min="40" max="40" width="11.5" style="22" bestFit="1" customWidth="1"/>
    <col min="41" max="41" width="9.33203125" style="22"/>
    <col min="42" max="42" width="9.5" style="22" bestFit="1" customWidth="1"/>
    <col min="43" max="16384" width="9.33203125" style="22"/>
  </cols>
  <sheetData>
    <row r="1" spans="1:42" ht="21.75" customHeight="1" x14ac:dyDescent="0.2">
      <c r="AE1" s="1427"/>
      <c r="AF1" s="1427"/>
      <c r="AG1" s="1427"/>
      <c r="AH1" s="1427"/>
    </row>
    <row r="2" spans="1:42" ht="33" customHeight="1" x14ac:dyDescent="0.2">
      <c r="A2" s="1428" t="s">
        <v>154</v>
      </c>
      <c r="B2" s="1428"/>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8"/>
      <c r="AA2" s="1428"/>
      <c r="AB2" s="1428"/>
      <c r="AC2" s="1428"/>
      <c r="AD2" s="1428"/>
      <c r="AE2" s="1428"/>
      <c r="AF2" s="1428"/>
      <c r="AG2" s="1428"/>
      <c r="AH2" s="1428"/>
      <c r="AI2" s="36"/>
    </row>
    <row r="3" spans="1:42" ht="24.75" customHeight="1" x14ac:dyDescent="0.2">
      <c r="A3" s="1429"/>
      <c r="B3" s="1429"/>
      <c r="C3" s="1429"/>
      <c r="D3" s="1429"/>
      <c r="E3" s="1429"/>
      <c r="F3" s="1429"/>
      <c r="G3" s="1429"/>
      <c r="H3" s="1429"/>
      <c r="I3" s="1429"/>
      <c r="J3" s="1429"/>
      <c r="K3" s="1429"/>
      <c r="L3" s="1429"/>
      <c r="M3" s="1429"/>
      <c r="N3" s="1429"/>
      <c r="O3" s="1429"/>
      <c r="P3" s="1429"/>
      <c r="Q3" s="1429"/>
      <c r="R3" s="1429"/>
      <c r="S3" s="1429"/>
      <c r="T3" s="1429"/>
      <c r="U3" s="1429"/>
      <c r="V3" s="1429"/>
      <c r="W3" s="1429"/>
      <c r="X3" s="1429"/>
      <c r="Y3" s="1429"/>
      <c r="Z3" s="1429"/>
      <c r="AA3" s="1429"/>
      <c r="AB3" s="1429"/>
      <c r="AC3" s="1429"/>
      <c r="AD3" s="1429"/>
      <c r="AE3" s="1429"/>
      <c r="AF3" s="1429"/>
      <c r="AG3" s="1429"/>
      <c r="AH3" s="1429"/>
      <c r="AI3" s="283"/>
    </row>
    <row r="4" spans="1:42" x14ac:dyDescent="0.2">
      <c r="L4" s="22">
        <v>0.32216</v>
      </c>
      <c r="O4" s="39"/>
      <c r="P4" s="39"/>
    </row>
    <row r="5" spans="1:42" ht="38.25" customHeight="1" x14ac:dyDescent="0.2">
      <c r="A5" s="1430" t="s">
        <v>78</v>
      </c>
      <c r="B5" s="1430" t="s">
        <v>77</v>
      </c>
      <c r="C5" s="1431" t="s">
        <v>0</v>
      </c>
      <c r="D5" s="1431" t="s">
        <v>3</v>
      </c>
      <c r="E5" s="1431"/>
      <c r="F5" s="1431"/>
      <c r="G5" s="1431"/>
      <c r="H5" s="1431"/>
      <c r="I5" s="1431"/>
      <c r="J5" s="1431"/>
      <c r="K5" s="1431"/>
      <c r="L5" s="1431"/>
      <c r="M5" s="1431"/>
      <c r="N5" s="1431"/>
      <c r="O5" s="1431"/>
      <c r="P5" s="1431"/>
      <c r="Q5" s="1431"/>
      <c r="R5" s="1431"/>
      <c r="S5" s="1431"/>
      <c r="T5" s="1431"/>
      <c r="U5" s="1431"/>
      <c r="V5" s="1431"/>
      <c r="W5" s="1431"/>
      <c r="X5" s="1431" t="s">
        <v>4</v>
      </c>
      <c r="Y5" s="1431"/>
      <c r="Z5" s="1431"/>
      <c r="AA5" s="1431"/>
      <c r="AB5" s="1431"/>
      <c r="AC5" s="1431"/>
      <c r="AD5" s="1431"/>
      <c r="AE5" s="1431"/>
      <c r="AF5" s="1431"/>
      <c r="AG5" s="1431"/>
      <c r="AH5" s="1431"/>
    </row>
    <row r="6" spans="1:42" ht="60" customHeight="1" x14ac:dyDescent="0.2">
      <c r="A6" s="1430"/>
      <c r="B6" s="1430"/>
      <c r="C6" s="1431"/>
      <c r="D6" s="1423" t="s">
        <v>79</v>
      </c>
      <c r="E6" s="1423" t="s">
        <v>69</v>
      </c>
      <c r="F6" s="1423" t="s">
        <v>89</v>
      </c>
      <c r="G6" s="1423" t="s">
        <v>1</v>
      </c>
      <c r="H6" s="1423" t="s">
        <v>2</v>
      </c>
      <c r="I6" s="1423" t="s">
        <v>70</v>
      </c>
      <c r="J6" s="1423" t="s">
        <v>61</v>
      </c>
      <c r="K6" s="1423" t="s">
        <v>27</v>
      </c>
      <c r="L6" s="1426" t="s">
        <v>65</v>
      </c>
      <c r="M6" s="1426" t="s">
        <v>86</v>
      </c>
      <c r="N6" s="1432" t="s">
        <v>90</v>
      </c>
      <c r="O6" s="1432"/>
      <c r="P6" s="1432" t="s">
        <v>88</v>
      </c>
      <c r="Q6" s="1426" t="s">
        <v>82</v>
      </c>
      <c r="R6" s="1423" t="s">
        <v>83</v>
      </c>
      <c r="S6" s="1426" t="s">
        <v>87</v>
      </c>
      <c r="T6" s="1423" t="s">
        <v>84</v>
      </c>
      <c r="U6" s="1423" t="s">
        <v>9</v>
      </c>
      <c r="V6" s="1423" t="s">
        <v>7</v>
      </c>
      <c r="W6" s="1423" t="s">
        <v>85</v>
      </c>
      <c r="X6" s="1431" t="s">
        <v>10</v>
      </c>
      <c r="Y6" s="1431"/>
      <c r="Z6" s="1431"/>
      <c r="AA6" s="1431" t="s">
        <v>11</v>
      </c>
      <c r="AB6" s="1431"/>
      <c r="AC6" s="1431"/>
      <c r="AD6" s="1431" t="s">
        <v>12</v>
      </c>
      <c r="AE6" s="1431"/>
      <c r="AF6" s="1431"/>
      <c r="AG6" s="1431" t="s">
        <v>13</v>
      </c>
      <c r="AH6" s="1431" t="s">
        <v>73</v>
      </c>
    </row>
    <row r="7" spans="1:42" ht="57" customHeight="1" x14ac:dyDescent="0.2">
      <c r="A7" s="1430"/>
      <c r="B7" s="1430"/>
      <c r="C7" s="1431"/>
      <c r="D7" s="1423"/>
      <c r="E7" s="1423"/>
      <c r="F7" s="1423"/>
      <c r="G7" s="1423"/>
      <c r="H7" s="1423"/>
      <c r="I7" s="1423"/>
      <c r="J7" s="1423"/>
      <c r="K7" s="1423"/>
      <c r="L7" s="1426" t="s">
        <v>66</v>
      </c>
      <c r="M7" s="1426"/>
      <c r="N7" s="281" t="s">
        <v>80</v>
      </c>
      <c r="O7" s="281" t="s">
        <v>81</v>
      </c>
      <c r="P7" s="1432"/>
      <c r="Q7" s="1426"/>
      <c r="R7" s="1423"/>
      <c r="S7" s="1426" t="s">
        <v>67</v>
      </c>
      <c r="T7" s="1423"/>
      <c r="U7" s="1423"/>
      <c r="V7" s="1423"/>
      <c r="W7" s="1423"/>
      <c r="X7" s="280" t="s">
        <v>5</v>
      </c>
      <c r="Y7" s="280" t="s">
        <v>6</v>
      </c>
      <c r="Z7" s="280" t="s">
        <v>74</v>
      </c>
      <c r="AA7" s="280" t="s">
        <v>5</v>
      </c>
      <c r="AB7" s="280" t="s">
        <v>6</v>
      </c>
      <c r="AC7" s="280" t="s">
        <v>75</v>
      </c>
      <c r="AD7" s="280" t="s">
        <v>5</v>
      </c>
      <c r="AE7" s="280" t="s">
        <v>6</v>
      </c>
      <c r="AF7" s="280" t="s">
        <v>76</v>
      </c>
      <c r="AG7" s="1431"/>
      <c r="AH7" s="1431"/>
      <c r="AJ7" s="33" t="s">
        <v>64</v>
      </c>
    </row>
    <row r="8" spans="1:42" ht="12.75" customHeight="1" x14ac:dyDescent="0.2">
      <c r="A8" s="278">
        <v>1</v>
      </c>
      <c r="B8" s="278">
        <v>2</v>
      </c>
      <c r="C8" s="278">
        <v>3</v>
      </c>
      <c r="D8" s="278">
        <v>4</v>
      </c>
      <c r="E8" s="278">
        <v>5</v>
      </c>
      <c r="F8" s="278">
        <v>6</v>
      </c>
      <c r="G8" s="278">
        <v>7</v>
      </c>
      <c r="H8" s="278">
        <v>8</v>
      </c>
      <c r="I8" s="278">
        <v>9</v>
      </c>
      <c r="J8" s="278">
        <v>10</v>
      </c>
      <c r="K8" s="278">
        <v>11</v>
      </c>
      <c r="L8" s="278">
        <v>12</v>
      </c>
      <c r="M8" s="278">
        <v>13</v>
      </c>
      <c r="N8" s="278">
        <v>14</v>
      </c>
      <c r="O8" s="278">
        <v>15</v>
      </c>
      <c r="P8" s="278">
        <v>16</v>
      </c>
      <c r="Q8" s="278">
        <v>17</v>
      </c>
      <c r="R8" s="278">
        <v>18</v>
      </c>
      <c r="S8" s="278">
        <v>19</v>
      </c>
      <c r="T8" s="278">
        <v>20</v>
      </c>
      <c r="U8" s="278">
        <v>21</v>
      </c>
      <c r="V8" s="278">
        <v>22</v>
      </c>
      <c r="W8" s="278">
        <v>23</v>
      </c>
      <c r="X8" s="278">
        <v>24</v>
      </c>
      <c r="Y8" s="278">
        <v>25</v>
      </c>
      <c r="Z8" s="278">
        <v>26</v>
      </c>
      <c r="AA8" s="278">
        <v>27</v>
      </c>
      <c r="AB8" s="278">
        <v>28</v>
      </c>
      <c r="AC8" s="278">
        <v>29</v>
      </c>
      <c r="AD8" s="278">
        <v>30</v>
      </c>
      <c r="AE8" s="278">
        <v>31</v>
      </c>
      <c r="AF8" s="278">
        <v>32</v>
      </c>
      <c r="AG8" s="278">
        <v>33</v>
      </c>
      <c r="AH8" s="278">
        <v>34</v>
      </c>
      <c r="AK8" s="43" t="s">
        <v>116</v>
      </c>
      <c r="AL8" s="43" t="s">
        <v>117</v>
      </c>
      <c r="AM8" s="43" t="s">
        <v>118</v>
      </c>
      <c r="AN8" s="43" t="s">
        <v>119</v>
      </c>
    </row>
    <row r="9" spans="1:42" ht="27" customHeight="1" x14ac:dyDescent="0.2">
      <c r="A9" s="278">
        <v>1</v>
      </c>
      <c r="B9" s="44" t="s">
        <v>21</v>
      </c>
      <c r="C9" s="278">
        <v>1</v>
      </c>
      <c r="D9" s="45">
        <v>21.991</v>
      </c>
      <c r="E9" s="46">
        <f>C9*D9</f>
        <v>21.99</v>
      </c>
      <c r="F9" s="47">
        <f>E9*12</f>
        <v>263.89999999999998</v>
      </c>
      <c r="G9" s="24"/>
      <c r="H9" s="24"/>
      <c r="I9" s="24"/>
      <c r="J9" s="24"/>
      <c r="K9" s="24">
        <f>D9*0.3*12+0.05*9</f>
        <v>79.599999999999994</v>
      </c>
      <c r="L9" s="24">
        <f>F9*$L$4</f>
        <v>85</v>
      </c>
      <c r="M9" s="24">
        <f t="shared" ref="M9:M27" si="0">F9+G9+H9+I9+J9+K9+L9</f>
        <v>428.5</v>
      </c>
      <c r="N9" s="48">
        <v>1.1100000000000001</v>
      </c>
      <c r="O9" s="24">
        <f t="shared" ref="O9:O27" si="1">M9*N9</f>
        <v>475.6</v>
      </c>
      <c r="P9" s="24">
        <f>M9+O9</f>
        <v>904.1</v>
      </c>
      <c r="Q9" s="24">
        <f>P9*0.8</f>
        <v>723.3</v>
      </c>
      <c r="R9" s="24">
        <f t="shared" ref="R9:R27" si="2">P9*0.8</f>
        <v>723.3</v>
      </c>
      <c r="S9" s="24">
        <f>(P9+Q9+R9)*0.032</f>
        <v>75.2</v>
      </c>
      <c r="T9" s="49">
        <f t="shared" ref="T9:T27" si="3">P9+Q9+R9+S9</f>
        <v>2425.9</v>
      </c>
      <c r="U9" s="1424">
        <v>1</v>
      </c>
      <c r="V9" s="49">
        <f>T9*$U$9</f>
        <v>2425.9</v>
      </c>
      <c r="W9" s="49">
        <f>AN9</f>
        <v>534.29999999999995</v>
      </c>
      <c r="X9" s="278">
        <v>1</v>
      </c>
      <c r="Y9" s="24">
        <v>30</v>
      </c>
      <c r="Z9" s="48">
        <f t="shared" ref="Z9:Z25" si="4">X9*Y9</f>
        <v>30</v>
      </c>
      <c r="AA9" s="278"/>
      <c r="AB9" s="24">
        <v>15</v>
      </c>
      <c r="AC9" s="48">
        <f t="shared" ref="AC9:AC25" si="5">AA9*AB9</f>
        <v>0</v>
      </c>
      <c r="AD9" s="278"/>
      <c r="AE9" s="24">
        <v>30</v>
      </c>
      <c r="AF9" s="48">
        <f t="shared" ref="AF9:AF25" si="6">AD9*AE9</f>
        <v>0</v>
      </c>
      <c r="AG9" s="48">
        <f t="shared" ref="AG9:AG25" si="7">(Z9+AC9+AF9)*1%*30</f>
        <v>9</v>
      </c>
      <c r="AH9" s="48">
        <f t="shared" ref="AH9:AH25" si="8">Z9+AC9+AF9+AG9</f>
        <v>39</v>
      </c>
      <c r="AI9" s="34">
        <f t="shared" ref="AI9:AI27" si="9">V9/12/C9*1000</f>
        <v>202158.3</v>
      </c>
      <c r="AJ9" s="34">
        <f t="shared" ref="AJ9:AJ27" si="10">V9/C9</f>
        <v>2425.9</v>
      </c>
      <c r="AK9" s="50">
        <f>1150*0.22*C9+(V9-1150*C9)*0.1</f>
        <v>380.6</v>
      </c>
      <c r="AL9" s="50">
        <f>865*0.029*C9</f>
        <v>25.1</v>
      </c>
      <c r="AM9" s="50">
        <f t="shared" ref="AM9:AM27" si="11">V9*0.053</f>
        <v>128.6</v>
      </c>
      <c r="AN9" s="50">
        <f>SUM(AK9:AM9)</f>
        <v>534.29999999999995</v>
      </c>
      <c r="AP9" s="51"/>
    </row>
    <row r="10" spans="1:42" ht="27" customHeight="1" x14ac:dyDescent="0.2">
      <c r="A10" s="278">
        <v>2</v>
      </c>
      <c r="B10" s="44" t="s">
        <v>125</v>
      </c>
      <c r="C10" s="278">
        <v>3</v>
      </c>
      <c r="D10" s="45">
        <v>15.394</v>
      </c>
      <c r="E10" s="46">
        <f>C10*D10</f>
        <v>46.18</v>
      </c>
      <c r="F10" s="47">
        <f>E10*12</f>
        <v>554.20000000000005</v>
      </c>
      <c r="G10" s="24"/>
      <c r="H10" s="24"/>
      <c r="I10" s="24"/>
      <c r="J10" s="24"/>
      <c r="K10" s="24">
        <f>D10*0.2*2*12+D10*0.4*12+D10*0.05*3</f>
        <v>150.1</v>
      </c>
      <c r="L10" s="24">
        <f t="shared" ref="L10:L25" si="12">F10*$L$4</f>
        <v>178.5</v>
      </c>
      <c r="M10" s="24">
        <f>F10+G10+H10+I10+J10+K10+L10</f>
        <v>882.8</v>
      </c>
      <c r="N10" s="48">
        <v>0.47</v>
      </c>
      <c r="O10" s="24">
        <f>M10*N10</f>
        <v>414.9</v>
      </c>
      <c r="P10" s="24">
        <f>M10+O10</f>
        <v>1297.7</v>
      </c>
      <c r="Q10" s="24">
        <f>P10*0.8</f>
        <v>1038.2</v>
      </c>
      <c r="R10" s="24">
        <f>P10*0.8</f>
        <v>1038.2</v>
      </c>
      <c r="S10" s="24">
        <f>(P10+Q10+R10)*0.032</f>
        <v>108</v>
      </c>
      <c r="T10" s="49">
        <f>P10+Q10+R10+S10</f>
        <v>3482.1</v>
      </c>
      <c r="U10" s="1425"/>
      <c r="V10" s="49">
        <f>T10*$U$9</f>
        <v>3482.1</v>
      </c>
      <c r="W10" s="49">
        <f>AN10</f>
        <v>1022.1</v>
      </c>
      <c r="X10" s="278">
        <v>2</v>
      </c>
      <c r="Y10" s="24">
        <v>30</v>
      </c>
      <c r="Z10" s="48">
        <f>X10*Y10</f>
        <v>60</v>
      </c>
      <c r="AA10" s="278">
        <v>1</v>
      </c>
      <c r="AB10" s="24">
        <v>15</v>
      </c>
      <c r="AC10" s="48">
        <f>AA10*AB10</f>
        <v>15</v>
      </c>
      <c r="AD10" s="278">
        <v>3</v>
      </c>
      <c r="AE10" s="24">
        <v>30</v>
      </c>
      <c r="AF10" s="48">
        <f>AD10*AE10</f>
        <v>90</v>
      </c>
      <c r="AG10" s="48">
        <f>(Z10+AC10+AF10)*1%*30</f>
        <v>49.5</v>
      </c>
      <c r="AH10" s="48">
        <f>Z10+AC10+AF10+AG10</f>
        <v>214.5</v>
      </c>
      <c r="AI10" s="34">
        <f t="shared" si="9"/>
        <v>96725</v>
      </c>
      <c r="AJ10" s="34">
        <f t="shared" si="10"/>
        <v>1160.7</v>
      </c>
      <c r="AK10" s="50">
        <f>1150*0.22*C10+(V10-1150*C10)*0.1</f>
        <v>762.2</v>
      </c>
      <c r="AL10" s="50">
        <f>865*0.029*C10</f>
        <v>75.3</v>
      </c>
      <c r="AM10" s="50">
        <f t="shared" si="11"/>
        <v>184.6</v>
      </c>
      <c r="AN10" s="50">
        <f>SUM(AK10:AM10)</f>
        <v>1022.1</v>
      </c>
      <c r="AP10" s="51"/>
    </row>
    <row r="11" spans="1:42" ht="27" customHeight="1" x14ac:dyDescent="0.2">
      <c r="A11" s="278">
        <v>3</v>
      </c>
      <c r="B11" s="52" t="s">
        <v>23</v>
      </c>
      <c r="C11" s="278">
        <v>7</v>
      </c>
      <c r="D11" s="53">
        <v>11.061999999999999</v>
      </c>
      <c r="E11" s="46">
        <f t="shared" ref="E11:E27" si="13">C11*D11</f>
        <v>77.430000000000007</v>
      </c>
      <c r="F11" s="47">
        <f t="shared" ref="F11:F27" si="14">E11*12</f>
        <v>929.2</v>
      </c>
      <c r="G11" s="24"/>
      <c r="H11" s="24">
        <f>(6470.9+1198.32)/1000</f>
        <v>7.7</v>
      </c>
      <c r="I11" s="24"/>
      <c r="J11" s="24"/>
      <c r="K11" s="24">
        <f>D11*0.25*12+D11*0.35*12+D11*0.4*4*12</f>
        <v>292</v>
      </c>
      <c r="L11" s="24">
        <f t="shared" si="12"/>
        <v>299.39999999999998</v>
      </c>
      <c r="M11" s="24">
        <f t="shared" si="0"/>
        <v>1528.3</v>
      </c>
      <c r="N11" s="48">
        <v>0.43</v>
      </c>
      <c r="O11" s="24">
        <f t="shared" si="1"/>
        <v>657.2</v>
      </c>
      <c r="P11" s="24">
        <f t="shared" ref="P11:P27" si="15">M11+O11</f>
        <v>2185.5</v>
      </c>
      <c r="Q11" s="24">
        <f t="shared" ref="Q11:Q27" si="16">P11*0.8</f>
        <v>1748.4</v>
      </c>
      <c r="R11" s="24">
        <f t="shared" si="2"/>
        <v>1748.4</v>
      </c>
      <c r="S11" s="24">
        <f t="shared" ref="S11:S27" si="17">(P11+Q11+R11)*0.032</f>
        <v>181.8</v>
      </c>
      <c r="T11" s="49">
        <f t="shared" si="3"/>
        <v>5864.1</v>
      </c>
      <c r="U11" s="1425"/>
      <c r="V11" s="49">
        <f t="shared" ref="V11:V25" si="18">T11*$U$9</f>
        <v>5864.1</v>
      </c>
      <c r="W11" s="49">
        <f>V11*0.302</f>
        <v>1771</v>
      </c>
      <c r="X11" s="278">
        <v>2</v>
      </c>
      <c r="Y11" s="24">
        <v>30</v>
      </c>
      <c r="Z11" s="48">
        <f t="shared" si="4"/>
        <v>60</v>
      </c>
      <c r="AA11" s="278">
        <v>3</v>
      </c>
      <c r="AB11" s="24">
        <v>15</v>
      </c>
      <c r="AC11" s="48">
        <f t="shared" si="5"/>
        <v>45</v>
      </c>
      <c r="AD11" s="278"/>
      <c r="AE11" s="24">
        <v>30</v>
      </c>
      <c r="AF11" s="48">
        <f t="shared" si="6"/>
        <v>0</v>
      </c>
      <c r="AG11" s="48">
        <f>(Z11+AC11+AF11)*1%*30</f>
        <v>31.5</v>
      </c>
      <c r="AH11" s="48">
        <f t="shared" si="8"/>
        <v>136.5</v>
      </c>
      <c r="AI11" s="34">
        <f t="shared" si="9"/>
        <v>69810.7</v>
      </c>
      <c r="AJ11" s="34">
        <f t="shared" si="10"/>
        <v>837.7</v>
      </c>
      <c r="AK11" s="50">
        <f t="shared" ref="AK11:AK27" si="19">V11*0.22</f>
        <v>1290.0999999999999</v>
      </c>
      <c r="AL11" s="50">
        <f>865*0.029*C11</f>
        <v>175.6</v>
      </c>
      <c r="AM11" s="50">
        <f t="shared" si="11"/>
        <v>310.8</v>
      </c>
      <c r="AN11" s="50">
        <f t="shared" ref="AN11:AN27" si="20">SUM(AK11:AM11)</f>
        <v>1776.5</v>
      </c>
      <c r="AP11" s="51"/>
    </row>
    <row r="12" spans="1:42" ht="27" customHeight="1" x14ac:dyDescent="0.2">
      <c r="A12" s="278">
        <v>4</v>
      </c>
      <c r="B12" s="52" t="s">
        <v>134</v>
      </c>
      <c r="C12" s="278">
        <v>1</v>
      </c>
      <c r="D12" s="53">
        <v>11.061999999999999</v>
      </c>
      <c r="E12" s="46">
        <f t="shared" si="13"/>
        <v>11.06</v>
      </c>
      <c r="F12" s="47">
        <f t="shared" si="14"/>
        <v>132.69999999999999</v>
      </c>
      <c r="G12" s="24"/>
      <c r="H12" s="24">
        <f>1078.5/1000</f>
        <v>1.1000000000000001</v>
      </c>
      <c r="I12" s="24"/>
      <c r="J12" s="24"/>
      <c r="K12" s="24"/>
      <c r="L12" s="24">
        <f t="shared" si="12"/>
        <v>42.8</v>
      </c>
      <c r="M12" s="24">
        <f t="shared" si="0"/>
        <v>176.6</v>
      </c>
      <c r="N12" s="48">
        <v>0.43</v>
      </c>
      <c r="O12" s="24">
        <f t="shared" si="1"/>
        <v>75.900000000000006</v>
      </c>
      <c r="P12" s="24">
        <f t="shared" si="15"/>
        <v>252.5</v>
      </c>
      <c r="Q12" s="24">
        <f t="shared" si="16"/>
        <v>202</v>
      </c>
      <c r="R12" s="24">
        <f t="shared" si="2"/>
        <v>202</v>
      </c>
      <c r="S12" s="24">
        <f t="shared" si="17"/>
        <v>21</v>
      </c>
      <c r="T12" s="49">
        <f t="shared" si="3"/>
        <v>677.5</v>
      </c>
      <c r="U12" s="1425"/>
      <c r="V12" s="49">
        <f t="shared" si="18"/>
        <v>677.5</v>
      </c>
      <c r="W12" s="49">
        <f t="shared" ref="W12:W26" si="21">V12*0.302</f>
        <v>204.6</v>
      </c>
      <c r="X12" s="278"/>
      <c r="Y12" s="24">
        <v>30</v>
      </c>
      <c r="Z12" s="48">
        <f t="shared" si="4"/>
        <v>0</v>
      </c>
      <c r="AA12" s="278"/>
      <c r="AB12" s="24">
        <v>15</v>
      </c>
      <c r="AC12" s="48">
        <f t="shared" si="5"/>
        <v>0</v>
      </c>
      <c r="AD12" s="278"/>
      <c r="AE12" s="24">
        <v>30</v>
      </c>
      <c r="AF12" s="48">
        <f t="shared" si="6"/>
        <v>0</v>
      </c>
      <c r="AG12" s="48">
        <f>(Z12+AC12+AF12)*1%*30</f>
        <v>0</v>
      </c>
      <c r="AH12" s="48">
        <f t="shared" si="8"/>
        <v>0</v>
      </c>
      <c r="AI12" s="34">
        <f t="shared" si="9"/>
        <v>56458.3</v>
      </c>
      <c r="AJ12" s="34">
        <f t="shared" si="10"/>
        <v>677.5</v>
      </c>
      <c r="AK12" s="50">
        <f t="shared" si="19"/>
        <v>149.1</v>
      </c>
      <c r="AL12" s="50">
        <f t="shared" ref="AL12:AL27" si="22">912*0.029*C12</f>
        <v>26.4</v>
      </c>
      <c r="AM12" s="50">
        <f t="shared" si="11"/>
        <v>35.9</v>
      </c>
      <c r="AN12" s="50">
        <f t="shared" si="20"/>
        <v>211.4</v>
      </c>
      <c r="AP12" s="51"/>
    </row>
    <row r="13" spans="1:42" ht="27" customHeight="1" x14ac:dyDescent="0.2">
      <c r="A13" s="278">
        <v>5</v>
      </c>
      <c r="B13" s="52" t="s">
        <v>17</v>
      </c>
      <c r="C13" s="278">
        <v>1</v>
      </c>
      <c r="D13" s="53">
        <v>12.335000000000001</v>
      </c>
      <c r="E13" s="46">
        <f t="shared" si="13"/>
        <v>12.34</v>
      </c>
      <c r="F13" s="47">
        <f t="shared" si="14"/>
        <v>148.1</v>
      </c>
      <c r="G13" s="24"/>
      <c r="H13" s="24">
        <f>1202.6/1000</f>
        <v>1.2</v>
      </c>
      <c r="I13" s="24"/>
      <c r="J13" s="24"/>
      <c r="K13" s="24">
        <f>F13*0.4</f>
        <v>59.2</v>
      </c>
      <c r="L13" s="24">
        <f t="shared" si="12"/>
        <v>47.7</v>
      </c>
      <c r="M13" s="24">
        <f t="shared" si="0"/>
        <v>256.2</v>
      </c>
      <c r="N13" s="48">
        <v>0.47</v>
      </c>
      <c r="O13" s="24">
        <f t="shared" si="1"/>
        <v>120.4</v>
      </c>
      <c r="P13" s="24">
        <f t="shared" si="15"/>
        <v>376.6</v>
      </c>
      <c r="Q13" s="24">
        <f t="shared" si="16"/>
        <v>301.3</v>
      </c>
      <c r="R13" s="24">
        <f t="shared" si="2"/>
        <v>301.3</v>
      </c>
      <c r="S13" s="24">
        <f t="shared" si="17"/>
        <v>31.3</v>
      </c>
      <c r="T13" s="49">
        <f t="shared" si="3"/>
        <v>1010.5</v>
      </c>
      <c r="U13" s="1425"/>
      <c r="V13" s="49">
        <f t="shared" si="18"/>
        <v>1010.5</v>
      </c>
      <c r="W13" s="49">
        <f>AN13</f>
        <v>301</v>
      </c>
      <c r="X13" s="278">
        <v>1</v>
      </c>
      <c r="Y13" s="24">
        <v>30</v>
      </c>
      <c r="Z13" s="48">
        <f t="shared" si="4"/>
        <v>30</v>
      </c>
      <c r="AA13" s="278">
        <v>1</v>
      </c>
      <c r="AB13" s="24">
        <v>15</v>
      </c>
      <c r="AC13" s="48">
        <f t="shared" si="5"/>
        <v>15</v>
      </c>
      <c r="AD13" s="278">
        <v>1</v>
      </c>
      <c r="AE13" s="24">
        <v>30</v>
      </c>
      <c r="AF13" s="48">
        <f t="shared" si="6"/>
        <v>30</v>
      </c>
      <c r="AG13" s="48">
        <f t="shared" si="7"/>
        <v>22.5</v>
      </c>
      <c r="AH13" s="48">
        <f t="shared" si="8"/>
        <v>97.5</v>
      </c>
      <c r="AI13" s="34">
        <f t="shared" si="9"/>
        <v>84208.3</v>
      </c>
      <c r="AJ13" s="34">
        <f t="shared" si="10"/>
        <v>1010.5</v>
      </c>
      <c r="AK13" s="50">
        <f t="shared" si="19"/>
        <v>222.3</v>
      </c>
      <c r="AL13" s="50">
        <f>865*0.029*C13</f>
        <v>25.1</v>
      </c>
      <c r="AM13" s="50">
        <f t="shared" si="11"/>
        <v>53.6</v>
      </c>
      <c r="AN13" s="50">
        <f>SUM(AK13:AM13)</f>
        <v>301</v>
      </c>
      <c r="AP13" s="51"/>
    </row>
    <row r="14" spans="1:42" ht="34.5" customHeight="1" x14ac:dyDescent="0.2">
      <c r="A14" s="278">
        <v>6</v>
      </c>
      <c r="B14" s="52" t="s">
        <v>129</v>
      </c>
      <c r="C14" s="54">
        <v>1</v>
      </c>
      <c r="D14" s="53">
        <v>8.4730000000000008</v>
      </c>
      <c r="E14" s="46">
        <f>C14*D14</f>
        <v>8.4700000000000006</v>
      </c>
      <c r="F14" s="47">
        <f>E14*11</f>
        <v>93.2</v>
      </c>
      <c r="G14" s="24"/>
      <c r="H14" s="24">
        <f>826.1/1000</f>
        <v>0.8</v>
      </c>
      <c r="I14" s="24"/>
      <c r="J14" s="24"/>
      <c r="K14" s="24">
        <f>F14*0.2</f>
        <v>18.600000000000001</v>
      </c>
      <c r="L14" s="24">
        <f t="shared" si="12"/>
        <v>30</v>
      </c>
      <c r="M14" s="24">
        <f t="shared" si="0"/>
        <v>142.6</v>
      </c>
      <c r="N14" s="48">
        <v>0.41</v>
      </c>
      <c r="O14" s="24">
        <f t="shared" si="1"/>
        <v>58.5</v>
      </c>
      <c r="P14" s="24">
        <f t="shared" si="15"/>
        <v>201.1</v>
      </c>
      <c r="Q14" s="24">
        <f t="shared" si="16"/>
        <v>160.9</v>
      </c>
      <c r="R14" s="24">
        <f t="shared" si="2"/>
        <v>160.9</v>
      </c>
      <c r="S14" s="24">
        <f t="shared" si="17"/>
        <v>16.7</v>
      </c>
      <c r="T14" s="49">
        <f t="shared" si="3"/>
        <v>539.6</v>
      </c>
      <c r="U14" s="1425"/>
      <c r="V14" s="49">
        <f>T14*$U$9</f>
        <v>539.6</v>
      </c>
      <c r="W14" s="49">
        <f t="shared" si="21"/>
        <v>163</v>
      </c>
      <c r="X14" s="278">
        <v>1</v>
      </c>
      <c r="Y14" s="24">
        <v>30</v>
      </c>
      <c r="Z14" s="48">
        <f t="shared" si="4"/>
        <v>30</v>
      </c>
      <c r="AA14" s="278">
        <v>1</v>
      </c>
      <c r="AB14" s="24">
        <v>15</v>
      </c>
      <c r="AC14" s="48">
        <f t="shared" si="5"/>
        <v>15</v>
      </c>
      <c r="AD14" s="278">
        <v>1</v>
      </c>
      <c r="AE14" s="24">
        <v>30</v>
      </c>
      <c r="AF14" s="48">
        <f t="shared" si="6"/>
        <v>30</v>
      </c>
      <c r="AG14" s="48">
        <f t="shared" si="7"/>
        <v>22.5</v>
      </c>
      <c r="AH14" s="48">
        <f t="shared" si="8"/>
        <v>97.5</v>
      </c>
      <c r="AI14" s="34">
        <f t="shared" si="9"/>
        <v>44966.7</v>
      </c>
      <c r="AJ14" s="34">
        <f t="shared" si="10"/>
        <v>539.6</v>
      </c>
      <c r="AK14" s="50">
        <f t="shared" si="19"/>
        <v>118.7</v>
      </c>
      <c r="AL14" s="50">
        <f t="shared" si="22"/>
        <v>26.4</v>
      </c>
      <c r="AM14" s="50">
        <f t="shared" si="11"/>
        <v>28.6</v>
      </c>
      <c r="AN14" s="50">
        <f t="shared" si="20"/>
        <v>173.7</v>
      </c>
      <c r="AP14" s="51"/>
    </row>
    <row r="15" spans="1:42" ht="27" customHeight="1" x14ac:dyDescent="0.2">
      <c r="A15" s="278">
        <v>7</v>
      </c>
      <c r="B15" s="52" t="s">
        <v>22</v>
      </c>
      <c r="C15" s="278">
        <v>1</v>
      </c>
      <c r="D15" s="53">
        <v>11.061999999999999</v>
      </c>
      <c r="E15" s="46">
        <f>C15*D15</f>
        <v>11.06</v>
      </c>
      <c r="F15" s="47">
        <f>E15*12</f>
        <v>132.69999999999999</v>
      </c>
      <c r="G15" s="24"/>
      <c r="H15" s="24">
        <f>1078.5/1000</f>
        <v>1.1000000000000001</v>
      </c>
      <c r="I15" s="24"/>
      <c r="J15" s="24"/>
      <c r="K15" s="24">
        <f>F15*0.4</f>
        <v>53.1</v>
      </c>
      <c r="L15" s="24">
        <f t="shared" si="12"/>
        <v>42.8</v>
      </c>
      <c r="M15" s="24">
        <f>F15+G15+H15+I15+J15+K15+L15</f>
        <v>229.7</v>
      </c>
      <c r="N15" s="48">
        <v>0.43</v>
      </c>
      <c r="O15" s="24">
        <f>M15*N15</f>
        <v>98.8</v>
      </c>
      <c r="P15" s="24">
        <f>M15+O15</f>
        <v>328.5</v>
      </c>
      <c r="Q15" s="24">
        <f>P15*0.8</f>
        <v>262.8</v>
      </c>
      <c r="R15" s="24">
        <f>P15*0.8</f>
        <v>262.8</v>
      </c>
      <c r="S15" s="24">
        <f>(P15+Q15+R15)*0.032</f>
        <v>27.3</v>
      </c>
      <c r="T15" s="49">
        <f>P15+Q15+R15+S15</f>
        <v>881.4</v>
      </c>
      <c r="U15" s="1425"/>
      <c r="V15" s="49">
        <f>T15*$U$9</f>
        <v>881.4</v>
      </c>
      <c r="W15" s="49">
        <f>AN15</f>
        <v>265.7</v>
      </c>
      <c r="X15" s="278">
        <v>1</v>
      </c>
      <c r="Y15" s="24">
        <v>30</v>
      </c>
      <c r="Z15" s="48">
        <f>X15*Y15</f>
        <v>30</v>
      </c>
      <c r="AA15" s="278"/>
      <c r="AB15" s="24">
        <v>15</v>
      </c>
      <c r="AC15" s="48">
        <f>AA15*AB15</f>
        <v>0</v>
      </c>
      <c r="AD15" s="278"/>
      <c r="AE15" s="24">
        <v>30</v>
      </c>
      <c r="AF15" s="48">
        <f>AD15*AE15</f>
        <v>0</v>
      </c>
      <c r="AG15" s="48">
        <f>(Z15+AC15+AF15)*1%*30</f>
        <v>9</v>
      </c>
      <c r="AH15" s="48">
        <f>Z15+AC15+AF15+AG15</f>
        <v>39</v>
      </c>
      <c r="AI15" s="34">
        <f t="shared" si="9"/>
        <v>73450</v>
      </c>
      <c r="AJ15" s="34">
        <f t="shared" si="10"/>
        <v>881.4</v>
      </c>
      <c r="AK15" s="50">
        <f t="shared" si="19"/>
        <v>193.9</v>
      </c>
      <c r="AL15" s="50">
        <f>865*0.029*C15</f>
        <v>25.1</v>
      </c>
      <c r="AM15" s="50">
        <f t="shared" si="11"/>
        <v>46.7</v>
      </c>
      <c r="AN15" s="50">
        <f>SUM(AK15:AM15)</f>
        <v>265.7</v>
      </c>
      <c r="AP15" s="51"/>
    </row>
    <row r="16" spans="1:42" ht="27" customHeight="1" x14ac:dyDescent="0.2">
      <c r="A16" s="278">
        <v>8</v>
      </c>
      <c r="B16" s="52" t="s">
        <v>28</v>
      </c>
      <c r="C16" s="54">
        <v>5</v>
      </c>
      <c r="D16" s="53">
        <v>9.593</v>
      </c>
      <c r="E16" s="46">
        <f t="shared" si="13"/>
        <v>47.97</v>
      </c>
      <c r="F16" s="47">
        <f t="shared" si="14"/>
        <v>575.6</v>
      </c>
      <c r="G16" s="24"/>
      <c r="H16" s="24">
        <f>4.78</f>
        <v>4.8</v>
      </c>
      <c r="I16" s="24"/>
      <c r="J16" s="24"/>
      <c r="K16" s="24">
        <f>D16*0.2*2*12+D16*0.05*5.5+D16*0.2*7.5</f>
        <v>63.1</v>
      </c>
      <c r="L16" s="24">
        <f t="shared" si="12"/>
        <v>185.4</v>
      </c>
      <c r="M16" s="24">
        <f t="shared" si="0"/>
        <v>828.9</v>
      </c>
      <c r="N16" s="48">
        <v>0.43</v>
      </c>
      <c r="O16" s="24">
        <f t="shared" si="1"/>
        <v>356.4</v>
      </c>
      <c r="P16" s="24">
        <f t="shared" si="15"/>
        <v>1185.3</v>
      </c>
      <c r="Q16" s="24">
        <f t="shared" si="16"/>
        <v>948.2</v>
      </c>
      <c r="R16" s="24">
        <f t="shared" si="2"/>
        <v>948.2</v>
      </c>
      <c r="S16" s="24">
        <f t="shared" si="17"/>
        <v>98.6</v>
      </c>
      <c r="T16" s="49">
        <f t="shared" si="3"/>
        <v>3180.3</v>
      </c>
      <c r="U16" s="1425"/>
      <c r="V16" s="49">
        <f>T16*$U$9</f>
        <v>3180.3</v>
      </c>
      <c r="W16" s="49">
        <f t="shared" si="21"/>
        <v>960.5</v>
      </c>
      <c r="X16" s="278"/>
      <c r="Y16" s="24">
        <v>30</v>
      </c>
      <c r="Z16" s="48">
        <f t="shared" si="4"/>
        <v>0</v>
      </c>
      <c r="AA16" s="278"/>
      <c r="AB16" s="24">
        <v>15</v>
      </c>
      <c r="AC16" s="48">
        <f t="shared" si="5"/>
        <v>0</v>
      </c>
      <c r="AD16" s="278"/>
      <c r="AE16" s="24">
        <v>30</v>
      </c>
      <c r="AF16" s="48">
        <f t="shared" si="6"/>
        <v>0</v>
      </c>
      <c r="AG16" s="48">
        <f t="shared" si="7"/>
        <v>0</v>
      </c>
      <c r="AH16" s="48">
        <f t="shared" si="8"/>
        <v>0</v>
      </c>
      <c r="AI16" s="34">
        <f t="shared" si="9"/>
        <v>53005</v>
      </c>
      <c r="AJ16" s="34">
        <f t="shared" si="10"/>
        <v>636.1</v>
      </c>
      <c r="AK16" s="50">
        <f t="shared" si="19"/>
        <v>699.7</v>
      </c>
      <c r="AL16" s="50">
        <f t="shared" si="22"/>
        <v>132.19999999999999</v>
      </c>
      <c r="AM16" s="50">
        <f t="shared" si="11"/>
        <v>168.6</v>
      </c>
      <c r="AN16" s="50">
        <f t="shared" si="20"/>
        <v>1000.5</v>
      </c>
      <c r="AP16" s="51"/>
    </row>
    <row r="17" spans="1:42" ht="27" customHeight="1" x14ac:dyDescent="0.2">
      <c r="A17" s="278">
        <v>9</v>
      </c>
      <c r="B17" s="52" t="s">
        <v>24</v>
      </c>
      <c r="C17" s="54">
        <v>15</v>
      </c>
      <c r="D17" s="53">
        <v>8.5419999999999998</v>
      </c>
      <c r="E17" s="46">
        <f t="shared" si="13"/>
        <v>128.13</v>
      </c>
      <c r="F17" s="47">
        <f t="shared" si="14"/>
        <v>1537.6</v>
      </c>
      <c r="G17" s="24"/>
      <c r="H17" s="24">
        <f>14.25</f>
        <v>14.3</v>
      </c>
      <c r="I17" s="24"/>
      <c r="J17" s="24"/>
      <c r="K17" s="24">
        <f>D17*0.2*8*12+D17*0.25*12+D17*0.05*12+D17*0.3*12</f>
        <v>225.5</v>
      </c>
      <c r="L17" s="24">
        <f t="shared" si="12"/>
        <v>495.4</v>
      </c>
      <c r="M17" s="24">
        <f t="shared" si="0"/>
        <v>2272.8000000000002</v>
      </c>
      <c r="N17" s="48">
        <v>0.4</v>
      </c>
      <c r="O17" s="24">
        <f t="shared" si="1"/>
        <v>909.1</v>
      </c>
      <c r="P17" s="24">
        <f t="shared" si="15"/>
        <v>3181.9</v>
      </c>
      <c r="Q17" s="24">
        <f t="shared" si="16"/>
        <v>2545.5</v>
      </c>
      <c r="R17" s="24">
        <f t="shared" si="2"/>
        <v>2545.5</v>
      </c>
      <c r="S17" s="24">
        <f t="shared" si="17"/>
        <v>264.7</v>
      </c>
      <c r="T17" s="49">
        <f t="shared" si="3"/>
        <v>8537.6</v>
      </c>
      <c r="U17" s="1425"/>
      <c r="V17" s="49">
        <f t="shared" si="18"/>
        <v>8537.6</v>
      </c>
      <c r="W17" s="49">
        <f t="shared" si="21"/>
        <v>2578.4</v>
      </c>
      <c r="X17" s="278">
        <v>10</v>
      </c>
      <c r="Y17" s="24">
        <v>30</v>
      </c>
      <c r="Z17" s="48">
        <f t="shared" si="4"/>
        <v>300</v>
      </c>
      <c r="AA17" s="278">
        <v>3</v>
      </c>
      <c r="AB17" s="24">
        <v>15</v>
      </c>
      <c r="AC17" s="48">
        <f t="shared" si="5"/>
        <v>45</v>
      </c>
      <c r="AD17" s="278">
        <v>2</v>
      </c>
      <c r="AE17" s="24">
        <v>30</v>
      </c>
      <c r="AF17" s="48">
        <f t="shared" si="6"/>
        <v>60</v>
      </c>
      <c r="AG17" s="48">
        <f>(Z17+AC17+AF17)*1%*30</f>
        <v>121.5</v>
      </c>
      <c r="AH17" s="48">
        <f t="shared" si="8"/>
        <v>526.5</v>
      </c>
      <c r="AI17" s="34">
        <f t="shared" si="9"/>
        <v>47431.1</v>
      </c>
      <c r="AJ17" s="34">
        <f t="shared" si="10"/>
        <v>569.20000000000005</v>
      </c>
      <c r="AK17" s="50">
        <f t="shared" si="19"/>
        <v>1878.3</v>
      </c>
      <c r="AL17" s="50">
        <f t="shared" si="22"/>
        <v>396.7</v>
      </c>
      <c r="AM17" s="50">
        <f t="shared" si="11"/>
        <v>452.5</v>
      </c>
      <c r="AN17" s="50">
        <f t="shared" si="20"/>
        <v>2727.5</v>
      </c>
      <c r="AP17" s="51"/>
    </row>
    <row r="18" spans="1:42" ht="27" customHeight="1" x14ac:dyDescent="0.2">
      <c r="A18" s="278">
        <v>10</v>
      </c>
      <c r="B18" s="55" t="s">
        <v>26</v>
      </c>
      <c r="C18" s="56">
        <v>16</v>
      </c>
      <c r="D18" s="53">
        <v>4.3109999999999999</v>
      </c>
      <c r="E18" s="46">
        <f>C18*D18</f>
        <v>68.98</v>
      </c>
      <c r="F18" s="47">
        <f>E18*12</f>
        <v>827.8</v>
      </c>
      <c r="G18" s="24"/>
      <c r="H18" s="24">
        <f>27739.8/1000</f>
        <v>27.7</v>
      </c>
      <c r="I18" s="24"/>
      <c r="J18" s="24"/>
      <c r="K18" s="24"/>
      <c r="L18" s="24">
        <v>390</v>
      </c>
      <c r="M18" s="24">
        <f>F18+G18+H18+I18+J18+K18+L18</f>
        <v>1245.5</v>
      </c>
      <c r="N18" s="48">
        <v>0.75</v>
      </c>
      <c r="O18" s="24">
        <f>M18*N18</f>
        <v>934.1</v>
      </c>
      <c r="P18" s="24">
        <f>M18+O18</f>
        <v>2179.6</v>
      </c>
      <c r="Q18" s="24">
        <f>P18*0.8</f>
        <v>1743.7</v>
      </c>
      <c r="R18" s="24">
        <f>P18*0.8</f>
        <v>1743.7</v>
      </c>
      <c r="S18" s="24">
        <f>(P18+Q18+R18)*0.032</f>
        <v>181.3</v>
      </c>
      <c r="T18" s="49">
        <f>P18+Q18+R18+S18</f>
        <v>5848.3</v>
      </c>
      <c r="U18" s="1425"/>
      <c r="V18" s="49">
        <f>T18*$U$9</f>
        <v>5848.3</v>
      </c>
      <c r="W18" s="49">
        <f t="shared" si="21"/>
        <v>1766.2</v>
      </c>
      <c r="X18" s="278">
        <v>7</v>
      </c>
      <c r="Y18" s="24">
        <v>30</v>
      </c>
      <c r="Z18" s="48">
        <f>X18*Y18</f>
        <v>210</v>
      </c>
      <c r="AA18" s="278">
        <v>2</v>
      </c>
      <c r="AB18" s="24">
        <v>15</v>
      </c>
      <c r="AC18" s="48">
        <f>AA18*AB18</f>
        <v>30</v>
      </c>
      <c r="AD18" s="278">
        <v>1</v>
      </c>
      <c r="AE18" s="24">
        <v>30</v>
      </c>
      <c r="AF18" s="48">
        <f>AD18*AE18</f>
        <v>30</v>
      </c>
      <c r="AG18" s="48">
        <f>(Z18+AC18+AF18)*1%*30</f>
        <v>81</v>
      </c>
      <c r="AH18" s="48">
        <f>Z18+AC18+AF18+AG18</f>
        <v>351</v>
      </c>
      <c r="AI18" s="34">
        <f t="shared" si="9"/>
        <v>30459.9</v>
      </c>
      <c r="AJ18" s="34">
        <f t="shared" si="10"/>
        <v>365.5</v>
      </c>
      <c r="AK18" s="50">
        <f t="shared" si="19"/>
        <v>1286.5999999999999</v>
      </c>
      <c r="AL18" s="50">
        <f t="shared" si="22"/>
        <v>423.2</v>
      </c>
      <c r="AM18" s="50">
        <f t="shared" si="11"/>
        <v>310</v>
      </c>
      <c r="AN18" s="50">
        <f t="shared" si="20"/>
        <v>2019.8</v>
      </c>
      <c r="AP18" s="51"/>
    </row>
    <row r="19" spans="1:42" ht="27" customHeight="1" x14ac:dyDescent="0.2">
      <c r="A19" s="278">
        <v>11</v>
      </c>
      <c r="B19" s="55" t="s">
        <v>50</v>
      </c>
      <c r="C19" s="57">
        <v>2</v>
      </c>
      <c r="D19" s="53">
        <v>8.4730000000000008</v>
      </c>
      <c r="E19" s="46">
        <f t="shared" si="13"/>
        <v>16.95</v>
      </c>
      <c r="F19" s="47">
        <f t="shared" si="14"/>
        <v>203.4</v>
      </c>
      <c r="G19" s="24"/>
      <c r="H19" s="24">
        <f>1652.1/1000</f>
        <v>1.7</v>
      </c>
      <c r="I19" s="24"/>
      <c r="J19" s="24"/>
      <c r="K19" s="24">
        <f>D19*0.25*12+D19*0.2*12</f>
        <v>45.8</v>
      </c>
      <c r="L19" s="24">
        <f t="shared" si="12"/>
        <v>65.5</v>
      </c>
      <c r="M19" s="24">
        <f t="shared" si="0"/>
        <v>316.39999999999998</v>
      </c>
      <c r="N19" s="48">
        <v>0.41</v>
      </c>
      <c r="O19" s="24">
        <f t="shared" si="1"/>
        <v>129.69999999999999</v>
      </c>
      <c r="P19" s="24">
        <f t="shared" si="15"/>
        <v>446.1</v>
      </c>
      <c r="Q19" s="24">
        <f t="shared" si="16"/>
        <v>356.9</v>
      </c>
      <c r="R19" s="24">
        <f t="shared" si="2"/>
        <v>356.9</v>
      </c>
      <c r="S19" s="24">
        <f t="shared" si="17"/>
        <v>37.1</v>
      </c>
      <c r="T19" s="49">
        <f t="shared" si="3"/>
        <v>1197</v>
      </c>
      <c r="U19" s="1425"/>
      <c r="V19" s="49">
        <f t="shared" si="18"/>
        <v>1197</v>
      </c>
      <c r="W19" s="49">
        <f t="shared" si="21"/>
        <v>361.5</v>
      </c>
      <c r="X19" s="278">
        <v>2</v>
      </c>
      <c r="Y19" s="24">
        <v>30</v>
      </c>
      <c r="Z19" s="48">
        <f t="shared" si="4"/>
        <v>60</v>
      </c>
      <c r="AA19" s="278"/>
      <c r="AB19" s="24">
        <v>15</v>
      </c>
      <c r="AC19" s="48">
        <f t="shared" si="5"/>
        <v>0</v>
      </c>
      <c r="AD19" s="278"/>
      <c r="AE19" s="24">
        <v>30</v>
      </c>
      <c r="AF19" s="48">
        <f t="shared" si="6"/>
        <v>0</v>
      </c>
      <c r="AG19" s="48">
        <f t="shared" si="7"/>
        <v>18</v>
      </c>
      <c r="AH19" s="48">
        <f t="shared" si="8"/>
        <v>78</v>
      </c>
      <c r="AI19" s="34">
        <f t="shared" si="9"/>
        <v>49875</v>
      </c>
      <c r="AJ19" s="34">
        <f t="shared" si="10"/>
        <v>598.5</v>
      </c>
      <c r="AK19" s="50">
        <f t="shared" si="19"/>
        <v>263.3</v>
      </c>
      <c r="AL19" s="50">
        <f t="shared" si="22"/>
        <v>52.9</v>
      </c>
      <c r="AM19" s="50">
        <f t="shared" si="11"/>
        <v>63.4</v>
      </c>
      <c r="AN19" s="50">
        <f t="shared" si="20"/>
        <v>379.6</v>
      </c>
      <c r="AP19" s="51"/>
    </row>
    <row r="20" spans="1:42" ht="27" customHeight="1" x14ac:dyDescent="0.2">
      <c r="A20" s="278">
        <v>12</v>
      </c>
      <c r="B20" s="52" t="s">
        <v>18</v>
      </c>
      <c r="C20" s="47">
        <v>1</v>
      </c>
      <c r="D20" s="53">
        <v>8.4730000000000008</v>
      </c>
      <c r="E20" s="46">
        <f t="shared" si="13"/>
        <v>8.4700000000000006</v>
      </c>
      <c r="F20" s="47">
        <f t="shared" si="14"/>
        <v>101.6</v>
      </c>
      <c r="G20" s="24"/>
      <c r="H20" s="24">
        <f>826.1/1000</f>
        <v>0.8</v>
      </c>
      <c r="I20" s="24"/>
      <c r="J20" s="24"/>
      <c r="K20" s="24">
        <f>D20*0.35*12+D20*0.05*9</f>
        <v>39.4</v>
      </c>
      <c r="L20" s="24">
        <f t="shared" si="12"/>
        <v>32.700000000000003</v>
      </c>
      <c r="M20" s="24">
        <f t="shared" si="0"/>
        <v>174.5</v>
      </c>
      <c r="N20" s="48">
        <v>0.41</v>
      </c>
      <c r="O20" s="24">
        <f t="shared" si="1"/>
        <v>71.5</v>
      </c>
      <c r="P20" s="24">
        <f t="shared" si="15"/>
        <v>246</v>
      </c>
      <c r="Q20" s="24">
        <f t="shared" si="16"/>
        <v>196.8</v>
      </c>
      <c r="R20" s="24">
        <f t="shared" si="2"/>
        <v>196.8</v>
      </c>
      <c r="S20" s="24">
        <f t="shared" si="17"/>
        <v>20.5</v>
      </c>
      <c r="T20" s="49">
        <f t="shared" si="3"/>
        <v>660.1</v>
      </c>
      <c r="U20" s="1425"/>
      <c r="V20" s="49">
        <f t="shared" si="18"/>
        <v>660.1</v>
      </c>
      <c r="W20" s="49">
        <f t="shared" si="21"/>
        <v>199.4</v>
      </c>
      <c r="X20" s="278"/>
      <c r="Y20" s="24">
        <v>30</v>
      </c>
      <c r="Z20" s="48">
        <f t="shared" si="4"/>
        <v>0</v>
      </c>
      <c r="AA20" s="278"/>
      <c r="AB20" s="24">
        <v>15</v>
      </c>
      <c r="AC20" s="48">
        <f t="shared" si="5"/>
        <v>0</v>
      </c>
      <c r="AD20" s="278"/>
      <c r="AE20" s="24">
        <v>30</v>
      </c>
      <c r="AF20" s="48">
        <f t="shared" si="6"/>
        <v>0</v>
      </c>
      <c r="AG20" s="48">
        <f t="shared" si="7"/>
        <v>0</v>
      </c>
      <c r="AH20" s="48">
        <f t="shared" si="8"/>
        <v>0</v>
      </c>
      <c r="AI20" s="34">
        <f t="shared" si="9"/>
        <v>55008.3</v>
      </c>
      <c r="AJ20" s="34">
        <f t="shared" si="10"/>
        <v>660.1</v>
      </c>
      <c r="AK20" s="50">
        <f t="shared" si="19"/>
        <v>145.19999999999999</v>
      </c>
      <c r="AL20" s="50">
        <f t="shared" si="22"/>
        <v>26.4</v>
      </c>
      <c r="AM20" s="50">
        <f t="shared" si="11"/>
        <v>35</v>
      </c>
      <c r="AN20" s="50">
        <f t="shared" si="20"/>
        <v>206.6</v>
      </c>
      <c r="AP20" s="51"/>
    </row>
    <row r="21" spans="1:42" ht="27" customHeight="1" x14ac:dyDescent="0.2">
      <c r="A21" s="278">
        <v>13</v>
      </c>
      <c r="B21" s="52" t="s">
        <v>106</v>
      </c>
      <c r="C21" s="47">
        <v>1</v>
      </c>
      <c r="D21" s="53">
        <v>8.4730000000000008</v>
      </c>
      <c r="E21" s="46">
        <f t="shared" si="13"/>
        <v>8.4700000000000006</v>
      </c>
      <c r="F21" s="47">
        <f t="shared" si="14"/>
        <v>101.6</v>
      </c>
      <c r="G21" s="24"/>
      <c r="H21" s="24">
        <f>917.9/1000</f>
        <v>0.9</v>
      </c>
      <c r="I21" s="24"/>
      <c r="J21" s="24"/>
      <c r="K21" s="24"/>
      <c r="L21" s="24">
        <f t="shared" si="12"/>
        <v>32.700000000000003</v>
      </c>
      <c r="M21" s="24">
        <f t="shared" si="0"/>
        <v>135.19999999999999</v>
      </c>
      <c r="N21" s="48">
        <v>0.47</v>
      </c>
      <c r="O21" s="24">
        <f t="shared" si="1"/>
        <v>63.5</v>
      </c>
      <c r="P21" s="24">
        <f t="shared" si="15"/>
        <v>198.7</v>
      </c>
      <c r="Q21" s="24">
        <f t="shared" si="16"/>
        <v>159</v>
      </c>
      <c r="R21" s="24">
        <f t="shared" si="2"/>
        <v>159</v>
      </c>
      <c r="S21" s="24">
        <f t="shared" si="17"/>
        <v>16.5</v>
      </c>
      <c r="T21" s="49">
        <f t="shared" si="3"/>
        <v>533.20000000000005</v>
      </c>
      <c r="U21" s="1425"/>
      <c r="V21" s="49">
        <f t="shared" si="18"/>
        <v>533.20000000000005</v>
      </c>
      <c r="W21" s="49">
        <f t="shared" si="21"/>
        <v>161</v>
      </c>
      <c r="X21" s="278"/>
      <c r="Y21" s="24">
        <v>30</v>
      </c>
      <c r="Z21" s="48">
        <f t="shared" si="4"/>
        <v>0</v>
      </c>
      <c r="AA21" s="278"/>
      <c r="AB21" s="24">
        <v>15</v>
      </c>
      <c r="AC21" s="48">
        <f t="shared" si="5"/>
        <v>0</v>
      </c>
      <c r="AD21" s="278"/>
      <c r="AE21" s="24">
        <v>30</v>
      </c>
      <c r="AF21" s="48">
        <f t="shared" si="6"/>
        <v>0</v>
      </c>
      <c r="AG21" s="48">
        <f t="shared" si="7"/>
        <v>0</v>
      </c>
      <c r="AH21" s="48">
        <f t="shared" si="8"/>
        <v>0</v>
      </c>
      <c r="AI21" s="34">
        <f t="shared" si="9"/>
        <v>44433.3</v>
      </c>
      <c r="AJ21" s="34">
        <f t="shared" si="10"/>
        <v>533.20000000000005</v>
      </c>
      <c r="AK21" s="50">
        <f t="shared" si="19"/>
        <v>117.3</v>
      </c>
      <c r="AL21" s="50">
        <f t="shared" si="22"/>
        <v>26.4</v>
      </c>
      <c r="AM21" s="50">
        <f t="shared" si="11"/>
        <v>28.3</v>
      </c>
      <c r="AN21" s="50">
        <f t="shared" si="20"/>
        <v>172</v>
      </c>
      <c r="AP21" s="51"/>
    </row>
    <row r="22" spans="1:42" ht="23.25" customHeight="1" x14ac:dyDescent="0.2">
      <c r="A22" s="278">
        <v>14</v>
      </c>
      <c r="B22" s="52" t="s">
        <v>29</v>
      </c>
      <c r="C22" s="57">
        <v>1</v>
      </c>
      <c r="D22" s="53">
        <v>8.4730000000000008</v>
      </c>
      <c r="E22" s="46">
        <f>C22*D22</f>
        <v>8.4700000000000006</v>
      </c>
      <c r="F22" s="47">
        <f>E22*12</f>
        <v>101.6</v>
      </c>
      <c r="G22" s="24"/>
      <c r="H22" s="24">
        <f>1239.1/1000</f>
        <v>1.2</v>
      </c>
      <c r="I22" s="24"/>
      <c r="J22" s="24"/>
      <c r="K22" s="24">
        <f>D22*0.4*12</f>
        <v>40.700000000000003</v>
      </c>
      <c r="L22" s="24">
        <f t="shared" si="12"/>
        <v>32.700000000000003</v>
      </c>
      <c r="M22" s="24">
        <f>F22+G22+H22+I22+J22+K22+L22</f>
        <v>176.2</v>
      </c>
      <c r="N22" s="48">
        <v>0.41</v>
      </c>
      <c r="O22" s="24">
        <f t="shared" si="1"/>
        <v>72.2</v>
      </c>
      <c r="P22" s="24">
        <f t="shared" si="15"/>
        <v>248.4</v>
      </c>
      <c r="Q22" s="24">
        <f t="shared" si="16"/>
        <v>198.7</v>
      </c>
      <c r="R22" s="24">
        <f t="shared" si="2"/>
        <v>198.7</v>
      </c>
      <c r="S22" s="24">
        <f t="shared" si="17"/>
        <v>20.7</v>
      </c>
      <c r="T22" s="49">
        <f t="shared" si="3"/>
        <v>666.5</v>
      </c>
      <c r="U22" s="1425"/>
      <c r="V22" s="49">
        <f t="shared" si="18"/>
        <v>666.5</v>
      </c>
      <c r="W22" s="49">
        <f t="shared" si="21"/>
        <v>201.3</v>
      </c>
      <c r="X22" s="278">
        <v>2</v>
      </c>
      <c r="Y22" s="24">
        <v>30</v>
      </c>
      <c r="Z22" s="48">
        <f t="shared" si="4"/>
        <v>60</v>
      </c>
      <c r="AA22" s="278">
        <v>1</v>
      </c>
      <c r="AB22" s="24">
        <v>15</v>
      </c>
      <c r="AC22" s="48">
        <f t="shared" si="5"/>
        <v>15</v>
      </c>
      <c r="AD22" s="278"/>
      <c r="AE22" s="24">
        <v>30</v>
      </c>
      <c r="AF22" s="48">
        <f t="shared" si="6"/>
        <v>0</v>
      </c>
      <c r="AG22" s="48">
        <f t="shared" si="7"/>
        <v>22.5</v>
      </c>
      <c r="AH22" s="48">
        <f t="shared" si="8"/>
        <v>97.5</v>
      </c>
      <c r="AI22" s="34">
        <f t="shared" si="9"/>
        <v>55541.7</v>
      </c>
      <c r="AJ22" s="34">
        <f t="shared" si="10"/>
        <v>666.5</v>
      </c>
      <c r="AK22" s="50">
        <f t="shared" si="19"/>
        <v>146.6</v>
      </c>
      <c r="AL22" s="50">
        <f t="shared" si="22"/>
        <v>26.4</v>
      </c>
      <c r="AM22" s="50">
        <f t="shared" si="11"/>
        <v>35.299999999999997</v>
      </c>
      <c r="AN22" s="50">
        <f t="shared" si="20"/>
        <v>208.3</v>
      </c>
      <c r="AP22" s="51"/>
    </row>
    <row r="23" spans="1:42" ht="23.25" customHeight="1" x14ac:dyDescent="0.2">
      <c r="A23" s="278">
        <v>15</v>
      </c>
      <c r="B23" s="52" t="s">
        <v>20</v>
      </c>
      <c r="C23" s="47">
        <v>0.5</v>
      </c>
      <c r="D23" s="53">
        <v>8.4730000000000008</v>
      </c>
      <c r="E23" s="46">
        <f>C23*D23</f>
        <v>4.24</v>
      </c>
      <c r="F23" s="47">
        <f>E23*12</f>
        <v>50.9</v>
      </c>
      <c r="G23" s="24"/>
      <c r="H23" s="24"/>
      <c r="I23" s="24"/>
      <c r="J23" s="24"/>
      <c r="K23" s="24"/>
      <c r="L23" s="24">
        <f t="shared" si="12"/>
        <v>16.399999999999999</v>
      </c>
      <c r="M23" s="24">
        <f>F23+G23+H23+I23+J23+K23+L23</f>
        <v>67.3</v>
      </c>
      <c r="N23" s="48">
        <v>0.41</v>
      </c>
      <c r="O23" s="24">
        <f t="shared" si="1"/>
        <v>27.6</v>
      </c>
      <c r="P23" s="24">
        <f t="shared" si="15"/>
        <v>94.9</v>
      </c>
      <c r="Q23" s="24">
        <f t="shared" si="16"/>
        <v>75.900000000000006</v>
      </c>
      <c r="R23" s="24">
        <f t="shared" si="2"/>
        <v>75.900000000000006</v>
      </c>
      <c r="S23" s="24">
        <f t="shared" si="17"/>
        <v>7.9</v>
      </c>
      <c r="T23" s="49">
        <f t="shared" si="3"/>
        <v>254.6</v>
      </c>
      <c r="U23" s="1425"/>
      <c r="V23" s="49">
        <f t="shared" si="18"/>
        <v>254.6</v>
      </c>
      <c r="W23" s="49">
        <f t="shared" si="21"/>
        <v>76.900000000000006</v>
      </c>
      <c r="X23" s="278"/>
      <c r="Y23" s="24">
        <v>30</v>
      </c>
      <c r="Z23" s="48">
        <f t="shared" si="4"/>
        <v>0</v>
      </c>
      <c r="AA23" s="278"/>
      <c r="AB23" s="24">
        <v>15</v>
      </c>
      <c r="AC23" s="48">
        <f t="shared" si="5"/>
        <v>0</v>
      </c>
      <c r="AD23" s="278"/>
      <c r="AE23" s="24">
        <v>30</v>
      </c>
      <c r="AF23" s="48">
        <f t="shared" si="6"/>
        <v>0</v>
      </c>
      <c r="AG23" s="48">
        <f t="shared" si="7"/>
        <v>0</v>
      </c>
      <c r="AH23" s="48">
        <f t="shared" si="8"/>
        <v>0</v>
      </c>
      <c r="AI23" s="34">
        <f t="shared" si="9"/>
        <v>42433.3</v>
      </c>
      <c r="AJ23" s="34">
        <f t="shared" si="10"/>
        <v>509.2</v>
      </c>
      <c r="AK23" s="50">
        <f t="shared" si="19"/>
        <v>56</v>
      </c>
      <c r="AL23" s="50">
        <f t="shared" si="22"/>
        <v>13.2</v>
      </c>
      <c r="AM23" s="50">
        <f t="shared" si="11"/>
        <v>13.5</v>
      </c>
      <c r="AN23" s="50">
        <f t="shared" si="20"/>
        <v>82.7</v>
      </c>
      <c r="AP23" s="51"/>
    </row>
    <row r="24" spans="1:42" ht="23.25" customHeight="1" x14ac:dyDescent="0.2">
      <c r="A24" s="278">
        <v>16</v>
      </c>
      <c r="B24" s="52" t="s">
        <v>30</v>
      </c>
      <c r="C24" s="57">
        <v>2</v>
      </c>
      <c r="D24" s="53">
        <v>8.4730000000000008</v>
      </c>
      <c r="E24" s="46">
        <f>C24*D24</f>
        <v>16.95</v>
      </c>
      <c r="F24" s="47">
        <f>E24*12</f>
        <v>203.4</v>
      </c>
      <c r="G24" s="24"/>
      <c r="H24" s="24">
        <f>1652.1/1000</f>
        <v>1.7</v>
      </c>
      <c r="I24" s="24"/>
      <c r="J24" s="24"/>
      <c r="K24" s="24">
        <f>D24*0.3*12+D24*0.25*12+D24*0.05*1</f>
        <v>56.3</v>
      </c>
      <c r="L24" s="24">
        <f t="shared" si="12"/>
        <v>65.5</v>
      </c>
      <c r="M24" s="24">
        <f>F24+G24+H24+I24+J24+K24+L24</f>
        <v>326.89999999999998</v>
      </c>
      <c r="N24" s="48">
        <v>0.41</v>
      </c>
      <c r="O24" s="24">
        <f t="shared" si="1"/>
        <v>134</v>
      </c>
      <c r="P24" s="24">
        <f t="shared" si="15"/>
        <v>460.9</v>
      </c>
      <c r="Q24" s="24">
        <f t="shared" si="16"/>
        <v>368.7</v>
      </c>
      <c r="R24" s="24">
        <f t="shared" si="2"/>
        <v>368.7</v>
      </c>
      <c r="S24" s="24">
        <f t="shared" si="17"/>
        <v>38.299999999999997</v>
      </c>
      <c r="T24" s="49">
        <f t="shared" si="3"/>
        <v>1236.5999999999999</v>
      </c>
      <c r="U24" s="1425"/>
      <c r="V24" s="49">
        <f t="shared" si="18"/>
        <v>1236.5999999999999</v>
      </c>
      <c r="W24" s="49">
        <f t="shared" si="21"/>
        <v>373.5</v>
      </c>
      <c r="X24" s="278"/>
      <c r="Y24" s="24">
        <v>30</v>
      </c>
      <c r="Z24" s="48">
        <f t="shared" si="4"/>
        <v>0</v>
      </c>
      <c r="AA24" s="278"/>
      <c r="AB24" s="24">
        <v>15</v>
      </c>
      <c r="AC24" s="48">
        <f t="shared" si="5"/>
        <v>0</v>
      </c>
      <c r="AD24" s="278"/>
      <c r="AE24" s="24">
        <v>30</v>
      </c>
      <c r="AF24" s="48">
        <f t="shared" si="6"/>
        <v>0</v>
      </c>
      <c r="AG24" s="48">
        <f t="shared" si="7"/>
        <v>0</v>
      </c>
      <c r="AH24" s="48">
        <f t="shared" si="8"/>
        <v>0</v>
      </c>
      <c r="AI24" s="34">
        <f t="shared" si="9"/>
        <v>51525</v>
      </c>
      <c r="AJ24" s="34">
        <f t="shared" si="10"/>
        <v>618.29999999999995</v>
      </c>
      <c r="AK24" s="50">
        <f t="shared" si="19"/>
        <v>272.10000000000002</v>
      </c>
      <c r="AL24" s="50">
        <f t="shared" si="22"/>
        <v>52.9</v>
      </c>
      <c r="AM24" s="50">
        <f t="shared" si="11"/>
        <v>65.5</v>
      </c>
      <c r="AN24" s="50">
        <f t="shared" si="20"/>
        <v>390.5</v>
      </c>
      <c r="AP24" s="51"/>
    </row>
    <row r="25" spans="1:42" ht="27" customHeight="1" x14ac:dyDescent="0.2">
      <c r="A25" s="278">
        <v>17</v>
      </c>
      <c r="B25" s="52" t="s">
        <v>33</v>
      </c>
      <c r="C25" s="57">
        <v>1</v>
      </c>
      <c r="D25" s="53">
        <v>8.4730000000000008</v>
      </c>
      <c r="E25" s="46">
        <f t="shared" si="13"/>
        <v>8.4700000000000006</v>
      </c>
      <c r="F25" s="47">
        <f t="shared" si="14"/>
        <v>101.6</v>
      </c>
      <c r="G25" s="24"/>
      <c r="H25" s="24">
        <f>826.1/1000</f>
        <v>0.8</v>
      </c>
      <c r="I25" s="24"/>
      <c r="J25" s="24"/>
      <c r="K25" s="24">
        <f>F25*0.2</f>
        <v>20.3</v>
      </c>
      <c r="L25" s="24">
        <f t="shared" si="12"/>
        <v>32.700000000000003</v>
      </c>
      <c r="M25" s="24">
        <f>F25+G25+H25+I25+J25+K25+L25</f>
        <v>155.4</v>
      </c>
      <c r="N25" s="48">
        <v>0.41</v>
      </c>
      <c r="O25" s="24">
        <f t="shared" si="1"/>
        <v>63.7</v>
      </c>
      <c r="P25" s="24">
        <f t="shared" si="15"/>
        <v>219.1</v>
      </c>
      <c r="Q25" s="24">
        <f t="shared" si="16"/>
        <v>175.3</v>
      </c>
      <c r="R25" s="24">
        <f t="shared" si="2"/>
        <v>175.3</v>
      </c>
      <c r="S25" s="24">
        <f t="shared" si="17"/>
        <v>18.2</v>
      </c>
      <c r="T25" s="49">
        <f t="shared" si="3"/>
        <v>587.9</v>
      </c>
      <c r="U25" s="1425"/>
      <c r="V25" s="49">
        <f t="shared" si="18"/>
        <v>587.9</v>
      </c>
      <c r="W25" s="49">
        <f t="shared" si="21"/>
        <v>177.5</v>
      </c>
      <c r="X25" s="278"/>
      <c r="Y25" s="24">
        <v>30</v>
      </c>
      <c r="Z25" s="48">
        <f t="shared" si="4"/>
        <v>0</v>
      </c>
      <c r="AA25" s="278"/>
      <c r="AB25" s="24">
        <v>15</v>
      </c>
      <c r="AC25" s="48">
        <f t="shared" si="5"/>
        <v>0</v>
      </c>
      <c r="AD25" s="278"/>
      <c r="AE25" s="24">
        <v>30</v>
      </c>
      <c r="AF25" s="48">
        <f t="shared" si="6"/>
        <v>0</v>
      </c>
      <c r="AG25" s="48">
        <f t="shared" si="7"/>
        <v>0</v>
      </c>
      <c r="AH25" s="48">
        <f t="shared" si="8"/>
        <v>0</v>
      </c>
      <c r="AI25" s="34">
        <f t="shared" si="9"/>
        <v>48991.7</v>
      </c>
      <c r="AJ25" s="34">
        <f t="shared" si="10"/>
        <v>587.9</v>
      </c>
      <c r="AK25" s="50">
        <f t="shared" si="19"/>
        <v>129.30000000000001</v>
      </c>
      <c r="AL25" s="50">
        <f t="shared" si="22"/>
        <v>26.4</v>
      </c>
      <c r="AM25" s="50">
        <f t="shared" si="11"/>
        <v>31.2</v>
      </c>
      <c r="AN25" s="50">
        <f t="shared" si="20"/>
        <v>186.9</v>
      </c>
      <c r="AP25" s="51"/>
    </row>
    <row r="26" spans="1:42" ht="27" customHeight="1" x14ac:dyDescent="0.2">
      <c r="A26" s="278">
        <v>18</v>
      </c>
      <c r="B26" s="55" t="s">
        <v>92</v>
      </c>
      <c r="C26" s="56">
        <v>3</v>
      </c>
      <c r="D26" s="53">
        <v>4.3769999999999998</v>
      </c>
      <c r="E26" s="46">
        <f t="shared" si="13"/>
        <v>13.13</v>
      </c>
      <c r="F26" s="47">
        <f t="shared" si="14"/>
        <v>157.6</v>
      </c>
      <c r="G26" s="24"/>
      <c r="H26" s="24">
        <f>7681.2/1000</f>
        <v>7.7</v>
      </c>
      <c r="I26" s="24"/>
      <c r="J26" s="24"/>
      <c r="K26" s="24"/>
      <c r="L26" s="24">
        <v>105</v>
      </c>
      <c r="M26" s="24">
        <f t="shared" si="0"/>
        <v>270.3</v>
      </c>
      <c r="N26" s="48">
        <v>0.47</v>
      </c>
      <c r="O26" s="24">
        <f t="shared" si="1"/>
        <v>127</v>
      </c>
      <c r="P26" s="24">
        <f t="shared" si="15"/>
        <v>397.3</v>
      </c>
      <c r="Q26" s="24">
        <f t="shared" si="16"/>
        <v>317.8</v>
      </c>
      <c r="R26" s="24">
        <f t="shared" si="2"/>
        <v>317.8</v>
      </c>
      <c r="S26" s="24">
        <f t="shared" si="17"/>
        <v>33.1</v>
      </c>
      <c r="T26" s="49">
        <f t="shared" si="3"/>
        <v>1066</v>
      </c>
      <c r="U26" s="1425"/>
      <c r="V26" s="49">
        <f>T26*$U$9</f>
        <v>1066</v>
      </c>
      <c r="W26" s="49">
        <f t="shared" si="21"/>
        <v>321.89999999999998</v>
      </c>
      <c r="X26" s="278"/>
      <c r="Y26" s="24">
        <v>30</v>
      </c>
      <c r="Z26" s="48">
        <f>X26*Y26</f>
        <v>0</v>
      </c>
      <c r="AA26" s="278"/>
      <c r="AB26" s="24">
        <v>15</v>
      </c>
      <c r="AC26" s="48">
        <f>AA26*AB26</f>
        <v>0</v>
      </c>
      <c r="AD26" s="278"/>
      <c r="AE26" s="24">
        <v>30</v>
      </c>
      <c r="AF26" s="48">
        <f>AD26*AE26</f>
        <v>0</v>
      </c>
      <c r="AG26" s="48">
        <f>(Z26+AC26+AF26)*1%*30</f>
        <v>0</v>
      </c>
      <c r="AH26" s="48">
        <f>Z26+AC26+AF26+AG26</f>
        <v>0</v>
      </c>
      <c r="AI26" s="34">
        <f t="shared" si="9"/>
        <v>29611.1</v>
      </c>
      <c r="AJ26" s="34">
        <f t="shared" si="10"/>
        <v>355.3</v>
      </c>
      <c r="AK26" s="50">
        <f t="shared" si="19"/>
        <v>234.5</v>
      </c>
      <c r="AL26" s="50">
        <f t="shared" si="22"/>
        <v>79.3</v>
      </c>
      <c r="AM26" s="50">
        <f t="shared" si="11"/>
        <v>56.5</v>
      </c>
      <c r="AN26" s="50">
        <f t="shared" si="20"/>
        <v>370.3</v>
      </c>
      <c r="AP26" s="51"/>
    </row>
    <row r="27" spans="1:42" ht="27" customHeight="1" x14ac:dyDescent="0.2">
      <c r="A27" s="278">
        <v>19</v>
      </c>
      <c r="B27" s="44" t="s">
        <v>102</v>
      </c>
      <c r="C27" s="58">
        <v>2</v>
      </c>
      <c r="D27" s="53">
        <v>4.3769999999999998</v>
      </c>
      <c r="E27" s="46">
        <f t="shared" si="13"/>
        <v>8.75</v>
      </c>
      <c r="F27" s="47">
        <f t="shared" si="14"/>
        <v>105</v>
      </c>
      <c r="G27" s="24"/>
      <c r="H27" s="24">
        <f>948.3/1000</f>
        <v>0.9</v>
      </c>
      <c r="I27" s="24"/>
      <c r="J27" s="24"/>
      <c r="K27" s="24"/>
      <c r="L27" s="24">
        <v>72</v>
      </c>
      <c r="M27" s="24">
        <f t="shared" si="0"/>
        <v>177.9</v>
      </c>
      <c r="N27" s="48">
        <v>0.49</v>
      </c>
      <c r="O27" s="24">
        <f t="shared" si="1"/>
        <v>87.2</v>
      </c>
      <c r="P27" s="24">
        <f t="shared" si="15"/>
        <v>265.10000000000002</v>
      </c>
      <c r="Q27" s="24">
        <f t="shared" si="16"/>
        <v>212.1</v>
      </c>
      <c r="R27" s="24">
        <f t="shared" si="2"/>
        <v>212.1</v>
      </c>
      <c r="S27" s="24">
        <f t="shared" si="17"/>
        <v>22.1</v>
      </c>
      <c r="T27" s="49">
        <f t="shared" si="3"/>
        <v>711.4</v>
      </c>
      <c r="U27" s="1425"/>
      <c r="V27" s="49">
        <f>T27*$U$9-0.2</f>
        <v>711.2</v>
      </c>
      <c r="W27" s="49">
        <f>V27*0.302</f>
        <v>214.8</v>
      </c>
      <c r="X27" s="278"/>
      <c r="Y27" s="24">
        <v>30</v>
      </c>
      <c r="Z27" s="48">
        <f>X27*Y27</f>
        <v>0</v>
      </c>
      <c r="AA27" s="278"/>
      <c r="AB27" s="24">
        <v>15</v>
      </c>
      <c r="AC27" s="48">
        <f>AA27*AB27</f>
        <v>0</v>
      </c>
      <c r="AD27" s="278"/>
      <c r="AE27" s="24">
        <v>30</v>
      </c>
      <c r="AF27" s="48">
        <f>AD27*AE27</f>
        <v>0</v>
      </c>
      <c r="AG27" s="48">
        <f>(Z27+AC27+AF27)*1%*30</f>
        <v>0</v>
      </c>
      <c r="AH27" s="48">
        <f>Z27+AC27+AF27+AG27</f>
        <v>0</v>
      </c>
      <c r="AI27" s="34">
        <f t="shared" si="9"/>
        <v>29633.3</v>
      </c>
      <c r="AJ27" s="34">
        <f t="shared" si="10"/>
        <v>355.6</v>
      </c>
      <c r="AK27" s="50">
        <f t="shared" si="19"/>
        <v>156.5</v>
      </c>
      <c r="AL27" s="50">
        <f t="shared" si="22"/>
        <v>52.9</v>
      </c>
      <c r="AM27" s="50">
        <f t="shared" si="11"/>
        <v>37.700000000000003</v>
      </c>
      <c r="AN27" s="50">
        <f t="shared" si="20"/>
        <v>247.1</v>
      </c>
      <c r="AP27" s="51"/>
    </row>
    <row r="28" spans="1:42" s="62" customFormat="1" ht="20.25" customHeight="1" x14ac:dyDescent="0.2">
      <c r="A28" s="1435" t="s">
        <v>97</v>
      </c>
      <c r="B28" s="1436"/>
      <c r="C28" s="59">
        <f t="shared" ref="C28:AH28" si="23">SUM(C9:C27)</f>
        <v>64.5</v>
      </c>
      <c r="D28" s="25">
        <f t="shared" si="23"/>
        <v>181.9</v>
      </c>
      <c r="E28" s="25">
        <f t="shared" si="23"/>
        <v>527.5</v>
      </c>
      <c r="F28" s="25">
        <f t="shared" si="23"/>
        <v>6321.7</v>
      </c>
      <c r="G28" s="25">
        <f t="shared" si="23"/>
        <v>0</v>
      </c>
      <c r="H28" s="25">
        <f>SUM(H9:H27)</f>
        <v>74.400000000000006</v>
      </c>
      <c r="I28" s="25">
        <f t="shared" si="23"/>
        <v>0</v>
      </c>
      <c r="J28" s="25">
        <f t="shared" si="23"/>
        <v>0</v>
      </c>
      <c r="K28" s="25">
        <f t="shared" si="23"/>
        <v>1143.7</v>
      </c>
      <c r="L28" s="25">
        <f t="shared" si="23"/>
        <v>2252.1999999999998</v>
      </c>
      <c r="M28" s="25">
        <f t="shared" si="23"/>
        <v>9792</v>
      </c>
      <c r="N28" s="25">
        <f t="shared" si="23"/>
        <v>9.1999999999999993</v>
      </c>
      <c r="O28" s="25">
        <f t="shared" si="23"/>
        <v>4877.3</v>
      </c>
      <c r="P28" s="25">
        <f t="shared" si="23"/>
        <v>14669.3</v>
      </c>
      <c r="Q28" s="25">
        <f t="shared" si="23"/>
        <v>11735.5</v>
      </c>
      <c r="R28" s="25">
        <f t="shared" si="23"/>
        <v>11735.5</v>
      </c>
      <c r="S28" s="25">
        <f t="shared" si="23"/>
        <v>1220.3</v>
      </c>
      <c r="T28" s="25">
        <f t="shared" si="23"/>
        <v>39360.6</v>
      </c>
      <c r="U28" s="25">
        <f t="shared" si="23"/>
        <v>1</v>
      </c>
      <c r="V28" s="25">
        <f t="shared" si="23"/>
        <v>39360.400000000001</v>
      </c>
      <c r="W28" s="25">
        <f>SUM(W9:W27)</f>
        <v>11654.6</v>
      </c>
      <c r="X28" s="25">
        <f t="shared" si="23"/>
        <v>29</v>
      </c>
      <c r="Y28" s="25">
        <f t="shared" si="23"/>
        <v>570</v>
      </c>
      <c r="Z28" s="25">
        <f t="shared" si="23"/>
        <v>870</v>
      </c>
      <c r="AA28" s="25">
        <f t="shared" si="23"/>
        <v>12</v>
      </c>
      <c r="AB28" s="25">
        <f t="shared" si="23"/>
        <v>285</v>
      </c>
      <c r="AC28" s="25">
        <f t="shared" si="23"/>
        <v>180</v>
      </c>
      <c r="AD28" s="25">
        <f t="shared" si="23"/>
        <v>8</v>
      </c>
      <c r="AE28" s="25">
        <f t="shared" si="23"/>
        <v>570</v>
      </c>
      <c r="AF28" s="25">
        <f t="shared" si="23"/>
        <v>240</v>
      </c>
      <c r="AG28" s="25">
        <f t="shared" si="23"/>
        <v>387</v>
      </c>
      <c r="AH28" s="25">
        <f t="shared" si="23"/>
        <v>1677</v>
      </c>
      <c r="AI28" s="60"/>
      <c r="AJ28" s="61"/>
      <c r="AN28" s="60">
        <f>SUM(AN9:AN27)</f>
        <v>12276.5</v>
      </c>
    </row>
    <row r="29" spans="1:42" s="62" customFormat="1" ht="20.25" customHeight="1" x14ac:dyDescent="0.2">
      <c r="A29" s="63"/>
      <c r="B29" s="63"/>
      <c r="C29" s="26"/>
      <c r="D29" s="26"/>
      <c r="E29" s="26"/>
      <c r="F29" s="26"/>
      <c r="G29" s="26"/>
      <c r="H29" s="26"/>
      <c r="I29" s="26"/>
      <c r="J29" s="26"/>
      <c r="K29" s="26"/>
      <c r="L29" s="26"/>
      <c r="M29" s="26"/>
      <c r="N29" s="26"/>
      <c r="O29" s="26"/>
      <c r="P29" s="26"/>
      <c r="Q29" s="26"/>
      <c r="R29" s="26"/>
      <c r="S29" s="26"/>
      <c r="T29" s="26"/>
      <c r="U29" s="64"/>
      <c r="V29" s="65"/>
      <c r="W29" s="66"/>
      <c r="X29" s="65"/>
      <c r="Y29" s="65"/>
      <c r="Z29" s="65"/>
      <c r="AA29" s="65"/>
      <c r="AB29" s="65"/>
      <c r="AC29" s="65"/>
      <c r="AD29" s="65"/>
      <c r="AE29" s="65"/>
      <c r="AF29" s="65"/>
      <c r="AG29" s="65"/>
      <c r="AH29" s="65"/>
      <c r="AI29" s="67"/>
      <c r="AJ29" s="61"/>
    </row>
    <row r="30" spans="1:42" s="62" customFormat="1" ht="14.25" x14ac:dyDescent="0.2">
      <c r="A30" s="68"/>
      <c r="B30" s="63"/>
      <c r="C30" s="26"/>
      <c r="D30" s="26"/>
      <c r="E30" s="26"/>
      <c r="F30" s="26"/>
      <c r="G30" s="26"/>
      <c r="H30" s="26"/>
      <c r="I30" s="26"/>
      <c r="J30" s="26"/>
      <c r="K30" s="26"/>
      <c r="L30" s="26"/>
      <c r="M30" s="26"/>
      <c r="N30" s="26"/>
      <c r="O30" s="26"/>
      <c r="P30" s="26"/>
      <c r="Q30" s="26"/>
      <c r="R30" s="26"/>
      <c r="S30" s="26"/>
      <c r="T30" s="26"/>
      <c r="U30" s="64"/>
      <c r="V30" s="69"/>
      <c r="W30" s="69"/>
      <c r="X30" s="65"/>
      <c r="Y30" s="65"/>
      <c r="Z30" s="65"/>
      <c r="AA30" s="65"/>
      <c r="AB30" s="65"/>
      <c r="AC30" s="65"/>
      <c r="AD30" s="65"/>
      <c r="AE30" s="65"/>
      <c r="AF30" s="65"/>
      <c r="AG30" s="65"/>
      <c r="AH30" s="65"/>
      <c r="AI30" s="67"/>
      <c r="AJ30" s="61"/>
    </row>
    <row r="31" spans="1:42" s="75" customFormat="1" ht="15" x14ac:dyDescent="0.2">
      <c r="A31" s="70"/>
      <c r="B31" s="70"/>
      <c r="C31" s="71"/>
      <c r="D31" s="72"/>
      <c r="E31" s="72"/>
      <c r="F31" s="72"/>
      <c r="G31" s="72"/>
      <c r="H31" s="73"/>
      <c r="I31" s="73"/>
      <c r="J31" s="27"/>
      <c r="K31" s="27"/>
      <c r="L31" s="27"/>
      <c r="M31" s="27"/>
      <c r="N31" s="74"/>
      <c r="O31" s="27"/>
      <c r="P31" s="27"/>
      <c r="Q31" s="27"/>
      <c r="R31" s="27"/>
      <c r="S31" s="27"/>
      <c r="T31" s="27"/>
      <c r="U31" s="27"/>
      <c r="V31" s="27"/>
      <c r="W31" s="27"/>
      <c r="X31" s="27"/>
      <c r="Y31" s="27"/>
      <c r="Z31" s="27"/>
      <c r="AA31" s="27"/>
      <c r="AB31" s="27"/>
      <c r="AC31" s="27"/>
      <c r="AD31" s="27"/>
      <c r="AE31" s="27"/>
      <c r="AF31" s="27"/>
      <c r="AG31" s="27"/>
      <c r="AH31" s="27"/>
      <c r="AI31" s="27"/>
      <c r="AK31" s="76"/>
      <c r="AL31" s="76"/>
      <c r="AM31" s="76"/>
      <c r="AN31" s="76"/>
      <c r="AO31" s="76"/>
    </row>
    <row r="32" spans="1:42" s="75" customFormat="1" ht="39.75" customHeight="1" x14ac:dyDescent="0.2">
      <c r="A32" s="70"/>
      <c r="B32" s="70"/>
      <c r="C32" s="71"/>
      <c r="D32" s="77"/>
      <c r="E32" s="77"/>
      <c r="F32" s="27"/>
      <c r="G32" s="1438" t="s">
        <v>140</v>
      </c>
      <c r="H32" s="1438"/>
      <c r="I32" s="1433" t="s">
        <v>141</v>
      </c>
      <c r="J32" s="1434"/>
      <c r="K32" s="1433" t="s">
        <v>128</v>
      </c>
      <c r="L32" s="1434"/>
      <c r="M32" s="70"/>
      <c r="N32" s="70"/>
      <c r="O32" s="70"/>
      <c r="P32" s="70"/>
      <c r="Q32" s="27"/>
      <c r="R32" s="27"/>
      <c r="S32" s="27"/>
      <c r="T32" s="27"/>
      <c r="U32" s="27"/>
      <c r="V32" s="27"/>
      <c r="W32" s="27"/>
      <c r="X32" s="27"/>
      <c r="Y32" s="27"/>
      <c r="Z32" s="27"/>
      <c r="AA32" s="27"/>
      <c r="AB32" s="27"/>
      <c r="AC32" s="27"/>
      <c r="AD32" s="27"/>
      <c r="AE32" s="27"/>
      <c r="AF32" s="27"/>
      <c r="AG32" s="27"/>
      <c r="AH32" s="27"/>
      <c r="AI32" s="27"/>
      <c r="AK32" s="76"/>
      <c r="AL32" s="76"/>
      <c r="AM32" s="76"/>
      <c r="AN32" s="76"/>
      <c r="AO32" s="76"/>
    </row>
    <row r="33" spans="1:41" s="75" customFormat="1" ht="15" x14ac:dyDescent="0.2">
      <c r="A33" s="70"/>
      <c r="B33" s="70"/>
      <c r="C33" s="71"/>
      <c r="D33" s="77"/>
      <c r="E33" s="77"/>
      <c r="F33" s="27"/>
      <c r="G33" s="279">
        <v>991</v>
      </c>
      <c r="H33" s="279">
        <v>992</v>
      </c>
      <c r="I33" s="279">
        <v>991</v>
      </c>
      <c r="J33" s="279">
        <v>992</v>
      </c>
      <c r="K33" s="279">
        <v>991</v>
      </c>
      <c r="L33" s="279">
        <v>992</v>
      </c>
      <c r="M33" s="79"/>
      <c r="N33" s="79"/>
      <c r="O33" s="79"/>
      <c r="P33" s="79"/>
      <c r="Q33" s="27"/>
      <c r="R33" s="27"/>
      <c r="S33" s="27"/>
      <c r="T33" s="27"/>
      <c r="U33" s="27"/>
      <c r="V33" s="27"/>
      <c r="W33" s="27"/>
      <c r="X33" s="27"/>
      <c r="Y33" s="27"/>
      <c r="Z33" s="27"/>
      <c r="AA33" s="27"/>
      <c r="AB33" s="27"/>
      <c r="AC33" s="27"/>
      <c r="AD33" s="27"/>
      <c r="AE33" s="27"/>
      <c r="AF33" s="27"/>
      <c r="AG33" s="27"/>
      <c r="AH33" s="27"/>
      <c r="AI33" s="27"/>
      <c r="AK33" s="76"/>
      <c r="AL33" s="76"/>
      <c r="AM33" s="76"/>
      <c r="AN33" s="76"/>
      <c r="AO33" s="76"/>
    </row>
    <row r="34" spans="1:41" s="75" customFormat="1" ht="15" x14ac:dyDescent="0.2">
      <c r="A34" s="70"/>
      <c r="B34" s="70"/>
      <c r="C34" s="71"/>
      <c r="D34" s="77"/>
      <c r="E34" s="77"/>
      <c r="F34" s="27"/>
      <c r="G34" s="29">
        <v>39360.400000000001</v>
      </c>
      <c r="H34" s="29">
        <v>11661.7</v>
      </c>
      <c r="I34" s="29">
        <f>V28</f>
        <v>39360.400000000001</v>
      </c>
      <c r="J34" s="29">
        <f>W28</f>
        <v>11654.6</v>
      </c>
      <c r="K34" s="29">
        <f>G34-I34</f>
        <v>0</v>
      </c>
      <c r="L34" s="29">
        <f>H34-J34</f>
        <v>7.1</v>
      </c>
      <c r="M34" s="80"/>
      <c r="N34" s="80"/>
      <c r="O34" s="80"/>
      <c r="P34" s="80"/>
      <c r="Q34" s="27"/>
      <c r="R34" s="27"/>
      <c r="S34" s="27"/>
      <c r="T34" s="27"/>
      <c r="U34" s="27"/>
      <c r="V34" s="27"/>
      <c r="W34" s="27"/>
      <c r="X34" s="27"/>
      <c r="Y34" s="27"/>
      <c r="Z34" s="27"/>
      <c r="AA34" s="27"/>
      <c r="AB34" s="27"/>
      <c r="AC34" s="27"/>
      <c r="AD34" s="27"/>
      <c r="AE34" s="27"/>
      <c r="AF34" s="27"/>
      <c r="AG34" s="27"/>
      <c r="AH34" s="27"/>
      <c r="AI34" s="27"/>
      <c r="AK34" s="76"/>
      <c r="AL34" s="76"/>
      <c r="AM34" s="76"/>
      <c r="AN34" s="76"/>
      <c r="AO34" s="76"/>
    </row>
    <row r="35" spans="1:41" s="75" customFormat="1" ht="15" x14ac:dyDescent="0.2">
      <c r="A35" s="70"/>
      <c r="B35" s="70"/>
      <c r="C35" s="71"/>
      <c r="D35" s="77"/>
      <c r="E35" s="77"/>
      <c r="F35" s="27"/>
      <c r="G35" s="27"/>
      <c r="H35" s="73"/>
      <c r="I35" s="73"/>
      <c r="J35" s="27"/>
      <c r="K35" s="27"/>
      <c r="L35" s="27"/>
      <c r="M35" s="27"/>
      <c r="N35" s="74"/>
      <c r="O35" s="27"/>
      <c r="P35" s="27"/>
      <c r="Q35" s="27"/>
      <c r="R35" s="27"/>
      <c r="S35" s="27"/>
      <c r="T35" s="27"/>
      <c r="U35" s="27"/>
      <c r="V35" s="27"/>
      <c r="W35" s="27"/>
      <c r="X35" s="27"/>
      <c r="Y35" s="27"/>
      <c r="Z35" s="27"/>
      <c r="AA35" s="27"/>
      <c r="AB35" s="27"/>
      <c r="AC35" s="27"/>
      <c r="AD35" s="27"/>
      <c r="AE35" s="27"/>
      <c r="AF35" s="27"/>
      <c r="AG35" s="27"/>
      <c r="AH35" s="27"/>
      <c r="AI35" s="27"/>
      <c r="AK35" s="76"/>
      <c r="AL35" s="76"/>
      <c r="AM35" s="76"/>
      <c r="AN35" s="76"/>
      <c r="AO35" s="76"/>
    </row>
    <row r="36" spans="1:41" s="75" customFormat="1" ht="15" x14ac:dyDescent="0.2">
      <c r="A36" s="70"/>
      <c r="B36" s="70"/>
      <c r="C36" s="71"/>
      <c r="D36" s="77"/>
      <c r="E36" s="77"/>
      <c r="F36" s="27"/>
      <c r="G36" s="27"/>
      <c r="H36" s="73"/>
      <c r="I36" s="73"/>
      <c r="J36" s="27"/>
      <c r="K36" s="27"/>
      <c r="L36" s="27"/>
      <c r="M36" s="27"/>
      <c r="N36" s="74"/>
      <c r="O36" s="27"/>
      <c r="P36" s="27"/>
      <c r="Q36" s="27"/>
      <c r="R36" s="27"/>
      <c r="S36" s="27"/>
      <c r="T36" s="27"/>
      <c r="U36" s="27"/>
      <c r="V36" s="27"/>
      <c r="W36" s="27"/>
      <c r="X36" s="27"/>
      <c r="Y36" s="27"/>
      <c r="Z36" s="27"/>
      <c r="AA36" s="27"/>
      <c r="AB36" s="27"/>
      <c r="AC36" s="27"/>
      <c r="AD36" s="27"/>
      <c r="AE36" s="27"/>
      <c r="AF36" s="27"/>
      <c r="AG36" s="27"/>
      <c r="AH36" s="27"/>
      <c r="AI36" s="27"/>
      <c r="AK36" s="76"/>
      <c r="AL36" s="76"/>
      <c r="AM36" s="76"/>
      <c r="AN36" s="76"/>
      <c r="AO36" s="76"/>
    </row>
    <row r="37" spans="1:41" s="282" customFormat="1" ht="20.25" x14ac:dyDescent="0.2">
      <c r="A37" s="81"/>
      <c r="B37" s="82" t="s">
        <v>138</v>
      </c>
      <c r="C37" s="83"/>
      <c r="D37" s="84"/>
      <c r="E37" s="84"/>
      <c r="F37" s="85"/>
      <c r="G37" s="85"/>
      <c r="H37" s="86"/>
      <c r="I37" s="86"/>
      <c r="J37" s="85"/>
      <c r="K37" s="30" t="s">
        <v>166</v>
      </c>
      <c r="L37" s="85"/>
      <c r="M37" s="85"/>
      <c r="N37" s="87"/>
      <c r="O37" s="85"/>
      <c r="P37" s="85"/>
      <c r="Q37" s="85"/>
      <c r="R37" s="85"/>
      <c r="S37" s="85"/>
      <c r="T37" s="85"/>
      <c r="U37" s="85"/>
      <c r="V37" s="85"/>
      <c r="W37" s="85"/>
      <c r="X37" s="85"/>
      <c r="Y37" s="85"/>
      <c r="Z37" s="85"/>
      <c r="AA37" s="85"/>
      <c r="AB37" s="85"/>
      <c r="AC37" s="85"/>
      <c r="AD37" s="85"/>
      <c r="AE37" s="85"/>
      <c r="AF37" s="85"/>
      <c r="AG37" s="85"/>
      <c r="AH37" s="85"/>
      <c r="AI37" s="85"/>
      <c r="AK37" s="88"/>
      <c r="AL37" s="88"/>
      <c r="AM37" s="88"/>
      <c r="AN37" s="88"/>
      <c r="AO37" s="88"/>
    </row>
    <row r="38" spans="1:41" s="75" customFormat="1" ht="15" x14ac:dyDescent="0.2">
      <c r="A38" s="70"/>
      <c r="B38" s="70"/>
      <c r="C38" s="71"/>
      <c r="D38" s="77"/>
      <c r="E38" s="77"/>
      <c r="F38" s="27"/>
      <c r="G38" s="27"/>
      <c r="H38" s="73"/>
      <c r="I38" s="73"/>
      <c r="J38" s="27"/>
      <c r="K38" s="27"/>
      <c r="L38" s="27"/>
      <c r="M38" s="27"/>
      <c r="N38" s="74"/>
      <c r="O38" s="27"/>
      <c r="P38" s="27"/>
      <c r="Q38" s="27"/>
      <c r="R38" s="27"/>
      <c r="S38" s="27"/>
      <c r="T38" s="27"/>
      <c r="U38" s="27"/>
      <c r="V38" s="27"/>
      <c r="W38" s="27"/>
      <c r="X38" s="27"/>
      <c r="Y38" s="27"/>
      <c r="Z38" s="27"/>
      <c r="AA38" s="27"/>
      <c r="AB38" s="27"/>
      <c r="AC38" s="27"/>
      <c r="AD38" s="27"/>
      <c r="AE38" s="27"/>
      <c r="AF38" s="27"/>
      <c r="AG38" s="27"/>
      <c r="AH38" s="27"/>
      <c r="AI38" s="27"/>
      <c r="AK38" s="76"/>
      <c r="AL38" s="76"/>
      <c r="AM38" s="76"/>
      <c r="AN38" s="76"/>
      <c r="AO38" s="76"/>
    </row>
    <row r="39" spans="1:41" s="75" customFormat="1" ht="20.25" customHeight="1" x14ac:dyDescent="0.2">
      <c r="A39" s="89" t="s">
        <v>96</v>
      </c>
      <c r="B39" s="89"/>
      <c r="C39" s="31"/>
      <c r="D39" s="31"/>
      <c r="E39" s="31"/>
      <c r="F39" s="31"/>
      <c r="G39" s="31"/>
      <c r="H39" s="31"/>
      <c r="I39" s="31"/>
      <c r="J39" s="31"/>
      <c r="K39" s="31"/>
      <c r="L39" s="90"/>
      <c r="M39" s="90"/>
      <c r="N39" s="91"/>
      <c r="O39" s="90"/>
      <c r="P39" s="90"/>
      <c r="Q39" s="90"/>
      <c r="R39" s="90"/>
      <c r="S39" s="90"/>
      <c r="T39" s="90"/>
      <c r="U39" s="90"/>
      <c r="V39" s="90"/>
      <c r="W39" s="90"/>
      <c r="X39" s="90"/>
      <c r="Y39" s="90"/>
      <c r="Z39" s="90"/>
      <c r="AA39" s="90"/>
      <c r="AB39" s="90"/>
      <c r="AC39" s="90"/>
      <c r="AD39" s="90"/>
      <c r="AE39" s="90"/>
      <c r="AF39" s="90"/>
      <c r="AG39" s="90"/>
      <c r="AH39" s="90"/>
      <c r="AI39" s="90"/>
      <c r="AK39" s="76"/>
      <c r="AL39" s="76"/>
      <c r="AM39" s="76"/>
      <c r="AN39" s="76"/>
      <c r="AO39" s="76"/>
    </row>
    <row r="40" spans="1:41" s="75" customFormat="1" ht="20.25" customHeight="1" x14ac:dyDescent="0.2">
      <c r="A40" s="89" t="s">
        <v>139</v>
      </c>
      <c r="B40" s="92"/>
      <c r="C40" s="93"/>
      <c r="D40" s="93"/>
      <c r="E40" s="32"/>
      <c r="F40" s="32"/>
      <c r="G40" s="32"/>
      <c r="H40" s="32"/>
      <c r="I40" s="32"/>
      <c r="J40" s="32"/>
      <c r="K40" s="32"/>
      <c r="L40" s="90"/>
      <c r="M40" s="90"/>
      <c r="N40" s="90"/>
      <c r="O40" s="90"/>
      <c r="P40" s="90"/>
      <c r="Q40" s="90"/>
      <c r="R40" s="90"/>
      <c r="S40" s="90"/>
      <c r="T40" s="90"/>
      <c r="U40" s="90"/>
      <c r="V40" s="90"/>
      <c r="W40" s="90"/>
      <c r="X40" s="90"/>
      <c r="Y40" s="90"/>
      <c r="Z40" s="90"/>
      <c r="AA40" s="90"/>
      <c r="AB40" s="90"/>
      <c r="AC40" s="90"/>
      <c r="AD40" s="90"/>
      <c r="AE40" s="90"/>
      <c r="AF40" s="90"/>
      <c r="AG40" s="90"/>
      <c r="AH40" s="90"/>
      <c r="AI40" s="90"/>
      <c r="AK40" s="76"/>
      <c r="AL40" s="76"/>
      <c r="AM40" s="76"/>
      <c r="AN40" s="76"/>
      <c r="AO40" s="76"/>
    </row>
    <row r="41" spans="1:41" ht="15.75" x14ac:dyDescent="0.2">
      <c r="A41" s="1437"/>
      <c r="B41" s="1437"/>
      <c r="C41" s="1437"/>
    </row>
    <row r="43" spans="1:41" x14ac:dyDescent="0.2">
      <c r="E43" s="51"/>
    </row>
    <row r="44" spans="1:41" x14ac:dyDescent="0.2">
      <c r="E44" s="51"/>
    </row>
    <row r="45" spans="1:41" x14ac:dyDescent="0.2">
      <c r="E45" s="51"/>
    </row>
    <row r="46" spans="1:41" x14ac:dyDescent="0.2">
      <c r="E46" s="51"/>
    </row>
    <row r="47" spans="1:41" x14ac:dyDescent="0.2">
      <c r="E47" s="51"/>
    </row>
    <row r="48" spans="1:41" x14ac:dyDescent="0.2">
      <c r="E48" s="51"/>
    </row>
    <row r="49" spans="5:5" x14ac:dyDescent="0.2">
      <c r="E49" s="51"/>
    </row>
    <row r="50" spans="5:5" x14ac:dyDescent="0.2">
      <c r="E50" s="51"/>
    </row>
    <row r="51" spans="5:5" x14ac:dyDescent="0.2">
      <c r="E51" s="51"/>
    </row>
    <row r="52" spans="5:5" x14ac:dyDescent="0.2">
      <c r="E52" s="51"/>
    </row>
    <row r="53" spans="5:5" x14ac:dyDescent="0.2">
      <c r="E53" s="51"/>
    </row>
    <row r="54" spans="5:5" x14ac:dyDescent="0.2">
      <c r="E54" s="51"/>
    </row>
    <row r="55" spans="5:5" x14ac:dyDescent="0.2">
      <c r="E55" s="51"/>
    </row>
    <row r="56" spans="5:5" x14ac:dyDescent="0.2">
      <c r="E56" s="51"/>
    </row>
    <row r="57" spans="5:5" x14ac:dyDescent="0.2">
      <c r="E57" s="51"/>
    </row>
    <row r="58" spans="5:5" x14ac:dyDescent="0.2">
      <c r="E58" s="51"/>
    </row>
    <row r="59" spans="5:5" x14ac:dyDescent="0.2">
      <c r="E59" s="51"/>
    </row>
    <row r="60" spans="5:5" x14ac:dyDescent="0.2">
      <c r="E60" s="51"/>
    </row>
    <row r="61" spans="5:5" x14ac:dyDescent="0.2">
      <c r="E61" s="51"/>
    </row>
    <row r="62" spans="5:5" x14ac:dyDescent="0.2">
      <c r="E62" s="51"/>
    </row>
    <row r="63" spans="5:5" x14ac:dyDescent="0.2">
      <c r="E63" s="51"/>
    </row>
    <row r="64" spans="5:5" x14ac:dyDescent="0.2">
      <c r="E64" s="51"/>
    </row>
    <row r="65" spans="5:5" x14ac:dyDescent="0.2">
      <c r="E65" s="51"/>
    </row>
    <row r="66" spans="5:5" x14ac:dyDescent="0.2">
      <c r="E66" s="51"/>
    </row>
    <row r="67" spans="5:5" x14ac:dyDescent="0.2">
      <c r="E67" s="51"/>
    </row>
    <row r="68" spans="5:5" x14ac:dyDescent="0.2">
      <c r="E68" s="51"/>
    </row>
    <row r="69" spans="5:5" x14ac:dyDescent="0.2">
      <c r="E69" s="51"/>
    </row>
    <row r="70" spans="5:5" x14ac:dyDescent="0.2">
      <c r="E70" s="51"/>
    </row>
    <row r="71" spans="5:5" x14ac:dyDescent="0.2">
      <c r="E71" s="51"/>
    </row>
    <row r="72" spans="5:5" x14ac:dyDescent="0.2">
      <c r="E72" s="51"/>
    </row>
    <row r="73" spans="5:5" x14ac:dyDescent="0.2">
      <c r="E73" s="51"/>
    </row>
    <row r="74" spans="5:5" x14ac:dyDescent="0.2">
      <c r="E74" s="51"/>
    </row>
  </sheetData>
  <autoFilter ref="A8:AP30"/>
  <mergeCells count="38">
    <mergeCell ref="J6:J7"/>
    <mergeCell ref="K6:K7"/>
    <mergeCell ref="U9:U27"/>
    <mergeCell ref="A28:B28"/>
    <mergeCell ref="S6:S7"/>
    <mergeCell ref="T6:T7"/>
    <mergeCell ref="G32:H32"/>
    <mergeCell ref="I32:J32"/>
    <mergeCell ref="K32:L32"/>
    <mergeCell ref="A41:C41"/>
    <mergeCell ref="AA6:AC6"/>
    <mergeCell ref="R6:R7"/>
    <mergeCell ref="F6:F7"/>
    <mergeCell ref="G6:G7"/>
    <mergeCell ref="H6:H7"/>
    <mergeCell ref="I6:I7"/>
    <mergeCell ref="U6:U7"/>
    <mergeCell ref="L6:L7"/>
    <mergeCell ref="M6:M7"/>
    <mergeCell ref="N6:O6"/>
    <mergeCell ref="P6:P7"/>
    <mergeCell ref="Q6:Q7"/>
    <mergeCell ref="AE1:AH1"/>
    <mergeCell ref="A2:AH2"/>
    <mergeCell ref="A3:AH3"/>
    <mergeCell ref="A5:A7"/>
    <mergeCell ref="B5:B7"/>
    <mergeCell ref="C5:C7"/>
    <mergeCell ref="D5:W5"/>
    <mergeCell ref="X5:AH5"/>
    <mergeCell ref="D6:D7"/>
    <mergeCell ref="E6:E7"/>
    <mergeCell ref="AD6:AF6"/>
    <mergeCell ref="AG6:AG7"/>
    <mergeCell ref="AH6:AH7"/>
    <mergeCell ref="V6:V7"/>
    <mergeCell ref="W6:W7"/>
    <mergeCell ref="X6:Z6"/>
  </mergeCells>
  <printOptions horizontalCentered="1"/>
  <pageMargins left="0.25" right="0.25" top="0.75" bottom="0.75" header="0.3" footer="0.3"/>
  <pageSetup paperSize="9" scale="33"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P74"/>
  <sheetViews>
    <sheetView view="pageBreakPreview" zoomScale="80" zoomScaleNormal="80" zoomScaleSheetLayoutView="80" workbookViewId="0">
      <pane xSplit="3" ySplit="8" topLeftCell="O21"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2.75" x14ac:dyDescent="0.2"/>
  <cols>
    <col min="1" max="1" width="8" style="33" customWidth="1"/>
    <col min="2" max="2" width="30.83203125" style="22" customWidth="1"/>
    <col min="3" max="3" width="13.83203125" style="22" customWidth="1"/>
    <col min="4" max="4" width="13.1640625" style="22" customWidth="1"/>
    <col min="5" max="5" width="13" style="22" customWidth="1"/>
    <col min="6" max="6" width="14.6640625" style="22" customWidth="1"/>
    <col min="7" max="7" width="13.1640625" style="22" customWidth="1"/>
    <col min="8" max="8" width="15.6640625" style="22" customWidth="1"/>
    <col min="9" max="9" width="13.5" style="22" customWidth="1"/>
    <col min="10" max="10" width="20.33203125" style="22" customWidth="1"/>
    <col min="11" max="11" width="13" style="22" customWidth="1"/>
    <col min="12" max="16" width="14.83203125" style="22" customWidth="1"/>
    <col min="17" max="17" width="12.33203125" style="22" customWidth="1"/>
    <col min="18" max="18" width="13" style="22" customWidth="1"/>
    <col min="19" max="19" width="18.1640625" style="22" customWidth="1"/>
    <col min="20" max="20" width="14.83203125" style="22" customWidth="1"/>
    <col min="21" max="21" width="14" style="22" customWidth="1"/>
    <col min="22" max="22" width="15.6640625" style="22" customWidth="1"/>
    <col min="23" max="23" width="14.5" style="22" customWidth="1"/>
    <col min="24" max="24" width="11.33203125" style="22" customWidth="1"/>
    <col min="25" max="25" width="11" style="22" customWidth="1"/>
    <col min="26" max="26" width="11.5" style="22" customWidth="1"/>
    <col min="27" max="28" width="9.33203125" style="22" customWidth="1"/>
    <col min="29" max="29" width="10.1640625" style="22" customWidth="1"/>
    <col min="30" max="30" width="8.5" style="22" customWidth="1"/>
    <col min="31" max="31" width="10.83203125" style="22" customWidth="1"/>
    <col min="32" max="32" width="10.33203125" style="22" customWidth="1"/>
    <col min="33" max="33" width="11.5" style="22" customWidth="1"/>
    <col min="34" max="34" width="13.83203125" style="22" customWidth="1"/>
    <col min="35" max="35" width="12" style="34" customWidth="1"/>
    <col min="36" max="36" width="17.83203125" style="22" customWidth="1"/>
    <col min="37" max="37" width="14" style="22" bestFit="1" customWidth="1"/>
    <col min="38" max="39" width="9.5" style="22" bestFit="1" customWidth="1"/>
    <col min="40" max="40" width="11.5" style="22" bestFit="1" customWidth="1"/>
    <col min="41" max="41" width="9.33203125" style="22"/>
    <col min="42" max="42" width="9.5" style="22" bestFit="1" customWidth="1"/>
    <col min="43" max="16384" width="9.33203125" style="22"/>
  </cols>
  <sheetData>
    <row r="1" spans="1:42" ht="21.75" customHeight="1" x14ac:dyDescent="0.2">
      <c r="AE1" s="1427"/>
      <c r="AF1" s="1427"/>
      <c r="AG1" s="1427"/>
      <c r="AH1" s="1427"/>
    </row>
    <row r="2" spans="1:42" ht="33" customHeight="1" x14ac:dyDescent="0.2">
      <c r="A2" s="1428" t="s">
        <v>137</v>
      </c>
      <c r="B2" s="1428"/>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8"/>
      <c r="AA2" s="1428"/>
      <c r="AB2" s="1428"/>
      <c r="AC2" s="1428"/>
      <c r="AD2" s="1428"/>
      <c r="AE2" s="1428"/>
      <c r="AF2" s="1428"/>
      <c r="AG2" s="1428"/>
      <c r="AH2" s="1428"/>
      <c r="AI2" s="36"/>
    </row>
    <row r="3" spans="1:42" ht="24.75" customHeight="1" x14ac:dyDescent="0.2">
      <c r="A3" s="1429"/>
      <c r="B3" s="1429"/>
      <c r="C3" s="1429"/>
      <c r="D3" s="1429"/>
      <c r="E3" s="1429"/>
      <c r="F3" s="1429"/>
      <c r="G3" s="1429"/>
      <c r="H3" s="1429"/>
      <c r="I3" s="1429"/>
      <c r="J3" s="1429"/>
      <c r="K3" s="1429"/>
      <c r="L3" s="1429"/>
      <c r="M3" s="1429"/>
      <c r="N3" s="1429"/>
      <c r="O3" s="1429"/>
      <c r="P3" s="1429"/>
      <c r="Q3" s="1429"/>
      <c r="R3" s="1429"/>
      <c r="S3" s="1429"/>
      <c r="T3" s="1429"/>
      <c r="U3" s="1429"/>
      <c r="V3" s="1429"/>
      <c r="W3" s="1429"/>
      <c r="X3" s="1429"/>
      <c r="Y3" s="1429"/>
      <c r="Z3" s="1429"/>
      <c r="AA3" s="1429"/>
      <c r="AB3" s="1429"/>
      <c r="AC3" s="1429"/>
      <c r="AD3" s="1429"/>
      <c r="AE3" s="1429"/>
      <c r="AF3" s="1429"/>
      <c r="AG3" s="1429"/>
      <c r="AH3" s="1429"/>
      <c r="AI3" s="37"/>
    </row>
    <row r="4" spans="1:42" x14ac:dyDescent="0.2">
      <c r="L4" s="38">
        <v>0.32216</v>
      </c>
      <c r="O4" s="39"/>
      <c r="P4" s="39"/>
    </row>
    <row r="5" spans="1:42" ht="38.25" customHeight="1" x14ac:dyDescent="0.2">
      <c r="A5" s="1430" t="s">
        <v>78</v>
      </c>
      <c r="B5" s="1430" t="s">
        <v>77</v>
      </c>
      <c r="C5" s="1431" t="s">
        <v>0</v>
      </c>
      <c r="D5" s="1431" t="s">
        <v>3</v>
      </c>
      <c r="E5" s="1431"/>
      <c r="F5" s="1431"/>
      <c r="G5" s="1431"/>
      <c r="H5" s="1431"/>
      <c r="I5" s="1431"/>
      <c r="J5" s="1431"/>
      <c r="K5" s="1431"/>
      <c r="L5" s="1431"/>
      <c r="M5" s="1431"/>
      <c r="N5" s="1431"/>
      <c r="O5" s="1431"/>
      <c r="P5" s="1431"/>
      <c r="Q5" s="1431"/>
      <c r="R5" s="1431"/>
      <c r="S5" s="1431"/>
      <c r="T5" s="1431"/>
      <c r="U5" s="1431"/>
      <c r="V5" s="1431"/>
      <c r="W5" s="1431"/>
      <c r="X5" s="1431" t="s">
        <v>4</v>
      </c>
      <c r="Y5" s="1431"/>
      <c r="Z5" s="1431"/>
      <c r="AA5" s="1431"/>
      <c r="AB5" s="1431"/>
      <c r="AC5" s="1431"/>
      <c r="AD5" s="1431"/>
      <c r="AE5" s="1431"/>
      <c r="AF5" s="1431"/>
      <c r="AG5" s="1431"/>
      <c r="AH5" s="1431"/>
    </row>
    <row r="6" spans="1:42" ht="60" customHeight="1" x14ac:dyDescent="0.2">
      <c r="A6" s="1430"/>
      <c r="B6" s="1430"/>
      <c r="C6" s="1431"/>
      <c r="D6" s="1423" t="s">
        <v>79</v>
      </c>
      <c r="E6" s="1423" t="s">
        <v>69</v>
      </c>
      <c r="F6" s="1423" t="s">
        <v>89</v>
      </c>
      <c r="G6" s="1423" t="s">
        <v>1</v>
      </c>
      <c r="H6" s="1423" t="s">
        <v>2</v>
      </c>
      <c r="I6" s="1423" t="s">
        <v>70</v>
      </c>
      <c r="J6" s="1423" t="s">
        <v>61</v>
      </c>
      <c r="K6" s="1423" t="s">
        <v>27</v>
      </c>
      <c r="L6" s="1426" t="s">
        <v>65</v>
      </c>
      <c r="M6" s="1426" t="s">
        <v>86</v>
      </c>
      <c r="N6" s="1432" t="s">
        <v>90</v>
      </c>
      <c r="O6" s="1432"/>
      <c r="P6" s="1432" t="s">
        <v>88</v>
      </c>
      <c r="Q6" s="1426" t="s">
        <v>82</v>
      </c>
      <c r="R6" s="1423" t="s">
        <v>83</v>
      </c>
      <c r="S6" s="1426" t="s">
        <v>87</v>
      </c>
      <c r="T6" s="1423" t="s">
        <v>84</v>
      </c>
      <c r="U6" s="1423" t="s">
        <v>9</v>
      </c>
      <c r="V6" s="1423" t="s">
        <v>7</v>
      </c>
      <c r="W6" s="1423" t="s">
        <v>85</v>
      </c>
      <c r="X6" s="1431" t="s">
        <v>10</v>
      </c>
      <c r="Y6" s="1431"/>
      <c r="Z6" s="1431"/>
      <c r="AA6" s="1431" t="s">
        <v>11</v>
      </c>
      <c r="AB6" s="1431"/>
      <c r="AC6" s="1431"/>
      <c r="AD6" s="1431" t="s">
        <v>12</v>
      </c>
      <c r="AE6" s="1431"/>
      <c r="AF6" s="1431"/>
      <c r="AG6" s="1431" t="s">
        <v>13</v>
      </c>
      <c r="AH6" s="1431" t="s">
        <v>73</v>
      </c>
    </row>
    <row r="7" spans="1:42" ht="57" customHeight="1" x14ac:dyDescent="0.2">
      <c r="A7" s="1430"/>
      <c r="B7" s="1430"/>
      <c r="C7" s="1431"/>
      <c r="D7" s="1423"/>
      <c r="E7" s="1423"/>
      <c r="F7" s="1423"/>
      <c r="G7" s="1423"/>
      <c r="H7" s="1423"/>
      <c r="I7" s="1423"/>
      <c r="J7" s="1423"/>
      <c r="K7" s="1423"/>
      <c r="L7" s="1426" t="s">
        <v>66</v>
      </c>
      <c r="M7" s="1426"/>
      <c r="N7" s="41" t="s">
        <v>80</v>
      </c>
      <c r="O7" s="41" t="s">
        <v>81</v>
      </c>
      <c r="P7" s="1432"/>
      <c r="Q7" s="1426"/>
      <c r="R7" s="1423"/>
      <c r="S7" s="1426" t="s">
        <v>67</v>
      </c>
      <c r="T7" s="1423"/>
      <c r="U7" s="1423"/>
      <c r="V7" s="1423"/>
      <c r="W7" s="1423"/>
      <c r="X7" s="42" t="s">
        <v>5</v>
      </c>
      <c r="Y7" s="42" t="s">
        <v>6</v>
      </c>
      <c r="Z7" s="42" t="s">
        <v>74</v>
      </c>
      <c r="AA7" s="42" t="s">
        <v>5</v>
      </c>
      <c r="AB7" s="42" t="s">
        <v>6</v>
      </c>
      <c r="AC7" s="42" t="s">
        <v>75</v>
      </c>
      <c r="AD7" s="42" t="s">
        <v>5</v>
      </c>
      <c r="AE7" s="42" t="s">
        <v>6</v>
      </c>
      <c r="AF7" s="42" t="s">
        <v>76</v>
      </c>
      <c r="AG7" s="1431"/>
      <c r="AH7" s="1431"/>
      <c r="AJ7" s="33" t="s">
        <v>64</v>
      </c>
    </row>
    <row r="8" spans="1:42" ht="12.75" customHeight="1" x14ac:dyDescent="0.2">
      <c r="A8" s="23">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c r="V8" s="23">
        <v>22</v>
      </c>
      <c r="W8" s="23">
        <v>23</v>
      </c>
      <c r="X8" s="23">
        <v>24</v>
      </c>
      <c r="Y8" s="23">
        <v>25</v>
      </c>
      <c r="Z8" s="23">
        <v>26</v>
      </c>
      <c r="AA8" s="23">
        <v>27</v>
      </c>
      <c r="AB8" s="23">
        <v>28</v>
      </c>
      <c r="AC8" s="23">
        <v>29</v>
      </c>
      <c r="AD8" s="23">
        <v>30</v>
      </c>
      <c r="AE8" s="23">
        <v>31</v>
      </c>
      <c r="AF8" s="23">
        <v>32</v>
      </c>
      <c r="AG8" s="23">
        <v>33</v>
      </c>
      <c r="AH8" s="23">
        <v>34</v>
      </c>
      <c r="AK8" s="43" t="s">
        <v>116</v>
      </c>
      <c r="AL8" s="43" t="s">
        <v>117</v>
      </c>
      <c r="AM8" s="43" t="s">
        <v>118</v>
      </c>
      <c r="AN8" s="43" t="s">
        <v>119</v>
      </c>
    </row>
    <row r="9" spans="1:42" ht="27" customHeight="1" x14ac:dyDescent="0.2">
      <c r="A9" s="23">
        <v>1</v>
      </c>
      <c r="B9" s="44" t="s">
        <v>21</v>
      </c>
      <c r="C9" s="23">
        <v>1</v>
      </c>
      <c r="D9" s="45">
        <v>21.991</v>
      </c>
      <c r="E9" s="46">
        <f>C9*D9</f>
        <v>21.99</v>
      </c>
      <c r="F9" s="47">
        <f>E9*12</f>
        <v>263.89999999999998</v>
      </c>
      <c r="G9" s="24"/>
      <c r="H9" s="24"/>
      <c r="I9" s="24"/>
      <c r="J9" s="24"/>
      <c r="K9" s="24">
        <f>D9*0.3*12+0.05*9</f>
        <v>79.599999999999994</v>
      </c>
      <c r="L9" s="24">
        <f>F9*$L$4</f>
        <v>85</v>
      </c>
      <c r="M9" s="24">
        <f t="shared" ref="M9:M27" si="0">F9+G9+H9+I9+J9+K9+L9</f>
        <v>428.5</v>
      </c>
      <c r="N9" s="48">
        <v>1.1100000000000001</v>
      </c>
      <c r="O9" s="24">
        <f t="shared" ref="O9:O27" si="1">M9*N9</f>
        <v>475.6</v>
      </c>
      <c r="P9" s="24">
        <f>M9+O9</f>
        <v>904.1</v>
      </c>
      <c r="Q9" s="24">
        <f>P9*0.8</f>
        <v>723.3</v>
      </c>
      <c r="R9" s="24">
        <f t="shared" ref="R9:R27" si="2">P9*0.8</f>
        <v>723.3</v>
      </c>
      <c r="S9" s="24">
        <f>(P9+Q9+R9)*0.032</f>
        <v>75.2</v>
      </c>
      <c r="T9" s="49">
        <f t="shared" ref="T9:T27" si="3">P9+Q9+R9+S9</f>
        <v>2425.9</v>
      </c>
      <c r="U9" s="1424">
        <v>1</v>
      </c>
      <c r="V9" s="49">
        <f>T9*$U$9</f>
        <v>2425.9</v>
      </c>
      <c r="W9" s="49">
        <f>AN9</f>
        <v>534.29999999999995</v>
      </c>
      <c r="X9" s="23">
        <v>1</v>
      </c>
      <c r="Y9" s="24">
        <v>30</v>
      </c>
      <c r="Z9" s="48">
        <f t="shared" ref="Z9:Z25" si="4">X9*Y9</f>
        <v>30</v>
      </c>
      <c r="AA9" s="23"/>
      <c r="AB9" s="24">
        <v>15</v>
      </c>
      <c r="AC9" s="48">
        <f t="shared" ref="AC9:AC25" si="5">AA9*AB9</f>
        <v>0</v>
      </c>
      <c r="AD9" s="23"/>
      <c r="AE9" s="24">
        <v>30</v>
      </c>
      <c r="AF9" s="48">
        <f t="shared" ref="AF9:AF25" si="6">AD9*AE9</f>
        <v>0</v>
      </c>
      <c r="AG9" s="48">
        <f t="shared" ref="AG9:AG25" si="7">(Z9+AC9+AF9)*1%*30</f>
        <v>9</v>
      </c>
      <c r="AH9" s="48">
        <f t="shared" ref="AH9:AH25" si="8">Z9+AC9+AF9+AG9</f>
        <v>39</v>
      </c>
      <c r="AI9" s="34">
        <f t="shared" ref="AI9:AI27" si="9">V9/12/C9*1000</f>
        <v>202158.3</v>
      </c>
      <c r="AJ9" s="34">
        <f t="shared" ref="AJ9:AJ27" si="10">V9/C9</f>
        <v>2425.9</v>
      </c>
      <c r="AK9" s="50">
        <f>1150*0.22*C9+(V9-1150*C9)*0.1</f>
        <v>380.6</v>
      </c>
      <c r="AL9" s="50">
        <f>865*0.029*C9</f>
        <v>25.1</v>
      </c>
      <c r="AM9" s="50">
        <f t="shared" ref="AM9:AM27" si="11">V9*0.053</f>
        <v>128.6</v>
      </c>
      <c r="AN9" s="50">
        <f>SUM(AK9:AM9)</f>
        <v>534.29999999999995</v>
      </c>
      <c r="AP9" s="51"/>
    </row>
    <row r="10" spans="1:42" ht="27" customHeight="1" x14ac:dyDescent="0.2">
      <c r="A10" s="23">
        <v>2</v>
      </c>
      <c r="B10" s="44" t="s">
        <v>125</v>
      </c>
      <c r="C10" s="23">
        <v>3</v>
      </c>
      <c r="D10" s="45">
        <v>15.394</v>
      </c>
      <c r="E10" s="46">
        <f>C10*D10</f>
        <v>46.18</v>
      </c>
      <c r="F10" s="47">
        <f>E10*12</f>
        <v>554.20000000000005</v>
      </c>
      <c r="G10" s="24"/>
      <c r="H10" s="24"/>
      <c r="I10" s="24"/>
      <c r="J10" s="24"/>
      <c r="K10" s="24">
        <f>D10*0.2*2*12+D10*0.4*12+D10*0.05*3</f>
        <v>150.1</v>
      </c>
      <c r="L10" s="24">
        <f t="shared" ref="L10:L25" si="12">F10*$L$4</f>
        <v>178.5</v>
      </c>
      <c r="M10" s="24">
        <f>F10+G10+H10+I10+J10+K10+L10</f>
        <v>882.8</v>
      </c>
      <c r="N10" s="48">
        <v>0.47</v>
      </c>
      <c r="O10" s="24">
        <f>M10*N10</f>
        <v>414.9</v>
      </c>
      <c r="P10" s="24">
        <f>M10+O10</f>
        <v>1297.7</v>
      </c>
      <c r="Q10" s="24">
        <f>P10*0.8</f>
        <v>1038.2</v>
      </c>
      <c r="R10" s="24">
        <f>P10*0.8</f>
        <v>1038.2</v>
      </c>
      <c r="S10" s="24">
        <f>(P10+Q10+R10)*0.032</f>
        <v>108</v>
      </c>
      <c r="T10" s="49">
        <f>P10+Q10+R10+S10</f>
        <v>3482.1</v>
      </c>
      <c r="U10" s="1425"/>
      <c r="V10" s="49">
        <f>T10*$U$9</f>
        <v>3482.1</v>
      </c>
      <c r="W10" s="49">
        <f>AN10</f>
        <v>1022.1</v>
      </c>
      <c r="X10" s="23">
        <v>2</v>
      </c>
      <c r="Y10" s="24">
        <v>30</v>
      </c>
      <c r="Z10" s="48">
        <f>X10*Y10</f>
        <v>60</v>
      </c>
      <c r="AA10" s="23">
        <v>1</v>
      </c>
      <c r="AB10" s="24">
        <v>15</v>
      </c>
      <c r="AC10" s="48">
        <f>AA10*AB10</f>
        <v>15</v>
      </c>
      <c r="AD10" s="23">
        <v>3</v>
      </c>
      <c r="AE10" s="24">
        <v>30</v>
      </c>
      <c r="AF10" s="48">
        <f>AD10*AE10</f>
        <v>90</v>
      </c>
      <c r="AG10" s="48">
        <f>(Z10+AC10+AF10)*1%*30</f>
        <v>49.5</v>
      </c>
      <c r="AH10" s="48">
        <f>Z10+AC10+AF10+AG10</f>
        <v>214.5</v>
      </c>
      <c r="AI10" s="34">
        <f t="shared" si="9"/>
        <v>96725</v>
      </c>
      <c r="AJ10" s="34">
        <f t="shared" si="10"/>
        <v>1160.7</v>
      </c>
      <c r="AK10" s="50">
        <f>1150*0.22*C10+(V10-1150*C10)*0.1</f>
        <v>762.2</v>
      </c>
      <c r="AL10" s="50">
        <f>865*0.029*C10</f>
        <v>75.3</v>
      </c>
      <c r="AM10" s="50">
        <f>V10*0.053</f>
        <v>184.6</v>
      </c>
      <c r="AN10" s="50">
        <f>SUM(AK10:AM10)</f>
        <v>1022.1</v>
      </c>
      <c r="AP10" s="51"/>
    </row>
    <row r="11" spans="1:42" ht="27" customHeight="1" x14ac:dyDescent="0.2">
      <c r="A11" s="23">
        <v>3</v>
      </c>
      <c r="B11" s="52" t="s">
        <v>23</v>
      </c>
      <c r="C11" s="23">
        <v>7</v>
      </c>
      <c r="D11" s="53">
        <v>11.061999999999999</v>
      </c>
      <c r="E11" s="46">
        <f t="shared" ref="E11:E27" si="13">C11*D11</f>
        <v>77.430000000000007</v>
      </c>
      <c r="F11" s="47">
        <f t="shared" ref="F11:F27" si="14">E11*12</f>
        <v>929.2</v>
      </c>
      <c r="G11" s="24"/>
      <c r="H11" s="24">
        <f>(6470.9+1198.32)/1000</f>
        <v>7.7</v>
      </c>
      <c r="I11" s="24"/>
      <c r="J11" s="24"/>
      <c r="K11" s="24">
        <f>D11*0.25*12+D11*0.35*12+D11*0.4*4*12</f>
        <v>292</v>
      </c>
      <c r="L11" s="24">
        <f t="shared" si="12"/>
        <v>299.39999999999998</v>
      </c>
      <c r="M11" s="24">
        <f t="shared" si="0"/>
        <v>1528.3</v>
      </c>
      <c r="N11" s="48">
        <v>0.43</v>
      </c>
      <c r="O11" s="24">
        <f t="shared" si="1"/>
        <v>657.2</v>
      </c>
      <c r="P11" s="24">
        <f t="shared" ref="P11:P27" si="15">M11+O11</f>
        <v>2185.5</v>
      </c>
      <c r="Q11" s="24">
        <f t="shared" ref="Q11:Q27" si="16">P11*0.8</f>
        <v>1748.4</v>
      </c>
      <c r="R11" s="24">
        <f t="shared" si="2"/>
        <v>1748.4</v>
      </c>
      <c r="S11" s="24">
        <f t="shared" ref="S11:S27" si="17">(P11+Q11+R11)*0.032</f>
        <v>181.8</v>
      </c>
      <c r="T11" s="49">
        <f t="shared" si="3"/>
        <v>5864.1</v>
      </c>
      <c r="U11" s="1425"/>
      <c r="V11" s="49">
        <f t="shared" ref="V11:V25" si="18">T11*$U$9</f>
        <v>5864.1</v>
      </c>
      <c r="W11" s="49">
        <f>V11*0.302</f>
        <v>1771</v>
      </c>
      <c r="X11" s="23">
        <v>2</v>
      </c>
      <c r="Y11" s="24">
        <v>30</v>
      </c>
      <c r="Z11" s="48">
        <f t="shared" si="4"/>
        <v>60</v>
      </c>
      <c r="AA11" s="23">
        <v>3</v>
      </c>
      <c r="AB11" s="24">
        <v>15</v>
      </c>
      <c r="AC11" s="48">
        <f t="shared" si="5"/>
        <v>45</v>
      </c>
      <c r="AD11" s="23"/>
      <c r="AE11" s="24">
        <v>30</v>
      </c>
      <c r="AF11" s="48">
        <f t="shared" si="6"/>
        <v>0</v>
      </c>
      <c r="AG11" s="48">
        <f>(Z11+AC11+AF11)*1%*30</f>
        <v>31.5</v>
      </c>
      <c r="AH11" s="48">
        <f t="shared" si="8"/>
        <v>136.5</v>
      </c>
      <c r="AI11" s="34">
        <f t="shared" si="9"/>
        <v>69810.7</v>
      </c>
      <c r="AJ11" s="34">
        <f t="shared" si="10"/>
        <v>837.7</v>
      </c>
      <c r="AK11" s="50">
        <f t="shared" ref="AK11:AK27" si="19">V11*0.22</f>
        <v>1290.0999999999999</v>
      </c>
      <c r="AL11" s="50">
        <f>865*0.029*C11</f>
        <v>175.6</v>
      </c>
      <c r="AM11" s="50">
        <f t="shared" si="11"/>
        <v>310.8</v>
      </c>
      <c r="AN11" s="50">
        <f t="shared" ref="AN11:AN27" si="20">SUM(AK11:AM11)</f>
        <v>1776.5</v>
      </c>
      <c r="AP11" s="51"/>
    </row>
    <row r="12" spans="1:42" ht="27" customHeight="1" x14ac:dyDescent="0.2">
      <c r="A12" s="23">
        <v>4</v>
      </c>
      <c r="B12" s="52" t="s">
        <v>134</v>
      </c>
      <c r="C12" s="23">
        <v>1</v>
      </c>
      <c r="D12" s="53">
        <v>11.061999999999999</v>
      </c>
      <c r="E12" s="46">
        <f>C12*D12</f>
        <v>11.06</v>
      </c>
      <c r="F12" s="47">
        <f>E12*12</f>
        <v>132.69999999999999</v>
      </c>
      <c r="G12" s="24"/>
      <c r="H12" s="24">
        <f>1078.5/1000</f>
        <v>1.1000000000000001</v>
      </c>
      <c r="I12" s="24"/>
      <c r="J12" s="24"/>
      <c r="K12" s="24"/>
      <c r="L12" s="24">
        <f>F12*$L$4</f>
        <v>42.8</v>
      </c>
      <c r="M12" s="24">
        <f>F12+G12+H12+I12+J12+K12+L12</f>
        <v>176.6</v>
      </c>
      <c r="N12" s="48">
        <v>0.43</v>
      </c>
      <c r="O12" s="24">
        <f>M12*N12</f>
        <v>75.900000000000006</v>
      </c>
      <c r="P12" s="24">
        <f>M12+O12</f>
        <v>252.5</v>
      </c>
      <c r="Q12" s="24">
        <f>P12*0.8</f>
        <v>202</v>
      </c>
      <c r="R12" s="24">
        <f>P12*0.8</f>
        <v>202</v>
      </c>
      <c r="S12" s="24">
        <f>(P12+Q12+R12)*0.032</f>
        <v>21</v>
      </c>
      <c r="T12" s="49">
        <f>P12+Q12+R12+S12</f>
        <v>677.5</v>
      </c>
      <c r="U12" s="1425"/>
      <c r="V12" s="49">
        <f>T12*$U$9</f>
        <v>677.5</v>
      </c>
      <c r="W12" s="49">
        <f t="shared" ref="W12:W26" si="21">V12*0.302</f>
        <v>204.6</v>
      </c>
      <c r="X12" s="23"/>
      <c r="Y12" s="24">
        <v>30</v>
      </c>
      <c r="Z12" s="48">
        <f>X12*Y12</f>
        <v>0</v>
      </c>
      <c r="AA12" s="23"/>
      <c r="AB12" s="24">
        <v>15</v>
      </c>
      <c r="AC12" s="48">
        <f>AA12*AB12</f>
        <v>0</v>
      </c>
      <c r="AD12" s="23"/>
      <c r="AE12" s="24">
        <v>30</v>
      </c>
      <c r="AF12" s="48">
        <f>AD12*AE12</f>
        <v>0</v>
      </c>
      <c r="AG12" s="48">
        <f>(Z12+AC12+AF12)*1%*30</f>
        <v>0</v>
      </c>
      <c r="AH12" s="48">
        <f>Z12+AC12+AF12+AG12</f>
        <v>0</v>
      </c>
      <c r="AI12" s="34">
        <f t="shared" si="9"/>
        <v>56458.3</v>
      </c>
      <c r="AJ12" s="34">
        <f t="shared" si="10"/>
        <v>677.5</v>
      </c>
      <c r="AK12" s="50">
        <f t="shared" si="19"/>
        <v>149.1</v>
      </c>
      <c r="AL12" s="50">
        <f t="shared" ref="AL12:AL27" si="22">912*0.029*C12</f>
        <v>26.4</v>
      </c>
      <c r="AM12" s="50">
        <f t="shared" si="11"/>
        <v>35.9</v>
      </c>
      <c r="AN12" s="50">
        <f t="shared" si="20"/>
        <v>211.4</v>
      </c>
      <c r="AP12" s="51"/>
    </row>
    <row r="13" spans="1:42" ht="27" customHeight="1" x14ac:dyDescent="0.2">
      <c r="A13" s="23">
        <v>5</v>
      </c>
      <c r="B13" s="52" t="s">
        <v>17</v>
      </c>
      <c r="C13" s="23">
        <v>1</v>
      </c>
      <c r="D13" s="53">
        <v>12.335000000000001</v>
      </c>
      <c r="E13" s="46">
        <f t="shared" si="13"/>
        <v>12.34</v>
      </c>
      <c r="F13" s="47">
        <f t="shared" si="14"/>
        <v>148.1</v>
      </c>
      <c r="G13" s="24"/>
      <c r="H13" s="24">
        <f>1202.6/1000</f>
        <v>1.2</v>
      </c>
      <c r="I13" s="24"/>
      <c r="J13" s="24"/>
      <c r="K13" s="24">
        <f>F13*0.4</f>
        <v>59.2</v>
      </c>
      <c r="L13" s="24">
        <f t="shared" si="12"/>
        <v>47.7</v>
      </c>
      <c r="M13" s="24">
        <f t="shared" si="0"/>
        <v>256.2</v>
      </c>
      <c r="N13" s="48">
        <v>0.47</v>
      </c>
      <c r="O13" s="24">
        <f t="shared" si="1"/>
        <v>120.4</v>
      </c>
      <c r="P13" s="24">
        <f t="shared" si="15"/>
        <v>376.6</v>
      </c>
      <c r="Q13" s="24">
        <f t="shared" si="16"/>
        <v>301.3</v>
      </c>
      <c r="R13" s="24">
        <f t="shared" si="2"/>
        <v>301.3</v>
      </c>
      <c r="S13" s="24">
        <f t="shared" si="17"/>
        <v>31.3</v>
      </c>
      <c r="T13" s="49">
        <f t="shared" si="3"/>
        <v>1010.5</v>
      </c>
      <c r="U13" s="1425"/>
      <c r="V13" s="49">
        <f t="shared" si="18"/>
        <v>1010.5</v>
      </c>
      <c r="W13" s="49">
        <f>AN13</f>
        <v>301</v>
      </c>
      <c r="X13" s="23">
        <v>1</v>
      </c>
      <c r="Y13" s="24">
        <v>30</v>
      </c>
      <c r="Z13" s="48">
        <f t="shared" si="4"/>
        <v>30</v>
      </c>
      <c r="AA13" s="23">
        <v>1</v>
      </c>
      <c r="AB13" s="24">
        <v>15</v>
      </c>
      <c r="AC13" s="48">
        <f t="shared" si="5"/>
        <v>15</v>
      </c>
      <c r="AD13" s="23">
        <v>1</v>
      </c>
      <c r="AE13" s="24">
        <v>30</v>
      </c>
      <c r="AF13" s="48">
        <f t="shared" si="6"/>
        <v>30</v>
      </c>
      <c r="AG13" s="48">
        <f t="shared" si="7"/>
        <v>22.5</v>
      </c>
      <c r="AH13" s="48">
        <f t="shared" si="8"/>
        <v>97.5</v>
      </c>
      <c r="AI13" s="34">
        <f t="shared" si="9"/>
        <v>84208.3</v>
      </c>
      <c r="AJ13" s="34">
        <f t="shared" si="10"/>
        <v>1010.5</v>
      </c>
      <c r="AK13" s="50">
        <f>V13*0.22</f>
        <v>222.3</v>
      </c>
      <c r="AL13" s="50">
        <f>865*0.029*C13</f>
        <v>25.1</v>
      </c>
      <c r="AM13" s="50">
        <f>V13*0.053</f>
        <v>53.6</v>
      </c>
      <c r="AN13" s="50">
        <f>SUM(AK13:AM13)</f>
        <v>301</v>
      </c>
      <c r="AP13" s="51"/>
    </row>
    <row r="14" spans="1:42" ht="34.5" customHeight="1" x14ac:dyDescent="0.2">
      <c r="A14" s="23">
        <v>6</v>
      </c>
      <c r="B14" s="52" t="s">
        <v>129</v>
      </c>
      <c r="C14" s="54">
        <v>1</v>
      </c>
      <c r="D14" s="53">
        <v>8.4730000000000008</v>
      </c>
      <c r="E14" s="46">
        <f>C14*D14</f>
        <v>8.4700000000000006</v>
      </c>
      <c r="F14" s="47">
        <f>E14*11</f>
        <v>93.2</v>
      </c>
      <c r="G14" s="24"/>
      <c r="H14" s="24">
        <f>826.1/1000</f>
        <v>0.8</v>
      </c>
      <c r="I14" s="24"/>
      <c r="J14" s="24"/>
      <c r="K14" s="24">
        <f>F14*0.2</f>
        <v>18.600000000000001</v>
      </c>
      <c r="L14" s="24">
        <f>F14*$L$4</f>
        <v>30</v>
      </c>
      <c r="M14" s="24">
        <f>F14+G14+H14+I14+J14+K14+L14</f>
        <v>142.6</v>
      </c>
      <c r="N14" s="48">
        <v>0.41</v>
      </c>
      <c r="O14" s="24">
        <f>M14*N14</f>
        <v>58.5</v>
      </c>
      <c r="P14" s="24">
        <f>M14+O14</f>
        <v>201.1</v>
      </c>
      <c r="Q14" s="24">
        <f>P14*0.8</f>
        <v>160.9</v>
      </c>
      <c r="R14" s="24">
        <f>P14*0.8</f>
        <v>160.9</v>
      </c>
      <c r="S14" s="24">
        <f>(P14+Q14+R14)*0.032</f>
        <v>16.7</v>
      </c>
      <c r="T14" s="49">
        <f>P14+Q14+R14+S14</f>
        <v>539.6</v>
      </c>
      <c r="U14" s="1425"/>
      <c r="V14" s="49">
        <f>T14*$U$9</f>
        <v>539.6</v>
      </c>
      <c r="W14" s="49">
        <f t="shared" si="21"/>
        <v>163</v>
      </c>
      <c r="X14" s="23">
        <v>1</v>
      </c>
      <c r="Y14" s="24">
        <v>30</v>
      </c>
      <c r="Z14" s="48">
        <f>X14*Y14</f>
        <v>30</v>
      </c>
      <c r="AA14" s="23">
        <v>1</v>
      </c>
      <c r="AB14" s="24">
        <v>15</v>
      </c>
      <c r="AC14" s="48">
        <f>AA14*AB14</f>
        <v>15</v>
      </c>
      <c r="AD14" s="23">
        <v>1</v>
      </c>
      <c r="AE14" s="24">
        <v>30</v>
      </c>
      <c r="AF14" s="48">
        <f>AD14*AE14</f>
        <v>30</v>
      </c>
      <c r="AG14" s="48">
        <f>(Z14+AC14+AF14)*1%*30</f>
        <v>22.5</v>
      </c>
      <c r="AH14" s="48">
        <f>Z14+AC14+AF14+AG14</f>
        <v>97.5</v>
      </c>
      <c r="AI14" s="34">
        <f t="shared" si="9"/>
        <v>44966.7</v>
      </c>
      <c r="AJ14" s="34">
        <f t="shared" si="10"/>
        <v>539.6</v>
      </c>
      <c r="AK14" s="50">
        <f t="shared" si="19"/>
        <v>118.7</v>
      </c>
      <c r="AL14" s="50">
        <f t="shared" si="22"/>
        <v>26.4</v>
      </c>
      <c r="AM14" s="50">
        <f t="shared" si="11"/>
        <v>28.6</v>
      </c>
      <c r="AN14" s="50">
        <f t="shared" si="20"/>
        <v>173.7</v>
      </c>
      <c r="AP14" s="51"/>
    </row>
    <row r="15" spans="1:42" ht="27" customHeight="1" x14ac:dyDescent="0.2">
      <c r="A15" s="23">
        <v>7</v>
      </c>
      <c r="B15" s="52" t="s">
        <v>22</v>
      </c>
      <c r="C15" s="277">
        <v>1</v>
      </c>
      <c r="D15" s="53">
        <v>11.061999999999999</v>
      </c>
      <c r="E15" s="46">
        <f>C15*D15</f>
        <v>11.06</v>
      </c>
      <c r="F15" s="47">
        <f>E15*12</f>
        <v>132.69999999999999</v>
      </c>
      <c r="G15" s="24"/>
      <c r="H15" s="24">
        <f>1078.5/1000</f>
        <v>1.1000000000000001</v>
      </c>
      <c r="I15" s="24"/>
      <c r="J15" s="24"/>
      <c r="K15" s="24">
        <f>F15*0.4</f>
        <v>53.1</v>
      </c>
      <c r="L15" s="24">
        <f t="shared" si="12"/>
        <v>42.8</v>
      </c>
      <c r="M15" s="24">
        <f>F15+G15+H15+I15+J15+K15+L15</f>
        <v>229.7</v>
      </c>
      <c r="N15" s="48">
        <v>0.43</v>
      </c>
      <c r="O15" s="24">
        <f>M15*N15</f>
        <v>98.8</v>
      </c>
      <c r="P15" s="24">
        <f>M15+O15</f>
        <v>328.5</v>
      </c>
      <c r="Q15" s="24">
        <f>P15*0.8</f>
        <v>262.8</v>
      </c>
      <c r="R15" s="24">
        <f>P15*0.8</f>
        <v>262.8</v>
      </c>
      <c r="S15" s="24">
        <f>(P15+Q15+R15)*0.032</f>
        <v>27.3</v>
      </c>
      <c r="T15" s="49">
        <f>P15+Q15+R15+S15</f>
        <v>881.4</v>
      </c>
      <c r="U15" s="1425"/>
      <c r="V15" s="49">
        <f>T15*$U$9</f>
        <v>881.4</v>
      </c>
      <c r="W15" s="49">
        <f>AN15</f>
        <v>265.7</v>
      </c>
      <c r="X15" s="23">
        <v>1</v>
      </c>
      <c r="Y15" s="24">
        <v>30</v>
      </c>
      <c r="Z15" s="48">
        <f>X15*Y15</f>
        <v>30</v>
      </c>
      <c r="AA15" s="23"/>
      <c r="AB15" s="24">
        <v>15</v>
      </c>
      <c r="AC15" s="48">
        <f>AA15*AB15</f>
        <v>0</v>
      </c>
      <c r="AD15" s="23"/>
      <c r="AE15" s="24">
        <v>30</v>
      </c>
      <c r="AF15" s="48">
        <f>AD15*AE15</f>
        <v>0</v>
      </c>
      <c r="AG15" s="48">
        <f>(Z15+AC15+AF15)*1%*30</f>
        <v>9</v>
      </c>
      <c r="AH15" s="48">
        <f>Z15+AC15+AF15+AG15</f>
        <v>39</v>
      </c>
      <c r="AI15" s="34">
        <f t="shared" si="9"/>
        <v>73450</v>
      </c>
      <c r="AJ15" s="34">
        <f t="shared" si="10"/>
        <v>881.4</v>
      </c>
      <c r="AK15" s="50">
        <f>V15*0.22</f>
        <v>193.9</v>
      </c>
      <c r="AL15" s="50">
        <f>865*0.029*C15</f>
        <v>25.1</v>
      </c>
      <c r="AM15" s="50">
        <f>V15*0.053</f>
        <v>46.7</v>
      </c>
      <c r="AN15" s="50">
        <f>SUM(AK15:AM15)</f>
        <v>265.7</v>
      </c>
      <c r="AP15" s="51"/>
    </row>
    <row r="16" spans="1:42" ht="27" customHeight="1" x14ac:dyDescent="0.2">
      <c r="A16" s="23">
        <v>8</v>
      </c>
      <c r="B16" s="52" t="s">
        <v>28</v>
      </c>
      <c r="C16" s="54">
        <v>5</v>
      </c>
      <c r="D16" s="53">
        <v>9.593</v>
      </c>
      <c r="E16" s="46">
        <f t="shared" si="13"/>
        <v>47.97</v>
      </c>
      <c r="F16" s="47">
        <f t="shared" si="14"/>
        <v>575.6</v>
      </c>
      <c r="G16" s="24"/>
      <c r="H16" s="24">
        <f>4.78</f>
        <v>4.8</v>
      </c>
      <c r="I16" s="24"/>
      <c r="J16" s="24"/>
      <c r="K16" s="24">
        <f>D16*0.2*2*12+D16*0.05*5.5+D16*0.2*7.5</f>
        <v>63.1</v>
      </c>
      <c r="L16" s="24">
        <f t="shared" si="12"/>
        <v>185.4</v>
      </c>
      <c r="M16" s="24">
        <f t="shared" si="0"/>
        <v>828.9</v>
      </c>
      <c r="N16" s="48">
        <v>0.43</v>
      </c>
      <c r="O16" s="24">
        <f t="shared" si="1"/>
        <v>356.4</v>
      </c>
      <c r="P16" s="24">
        <f t="shared" si="15"/>
        <v>1185.3</v>
      </c>
      <c r="Q16" s="24">
        <f t="shared" si="16"/>
        <v>948.2</v>
      </c>
      <c r="R16" s="24">
        <f t="shared" si="2"/>
        <v>948.2</v>
      </c>
      <c r="S16" s="24">
        <f t="shared" si="17"/>
        <v>98.6</v>
      </c>
      <c r="T16" s="49">
        <f t="shared" si="3"/>
        <v>3180.3</v>
      </c>
      <c r="U16" s="1425"/>
      <c r="V16" s="49">
        <f>T16*$U$9</f>
        <v>3180.3</v>
      </c>
      <c r="W16" s="49">
        <f t="shared" si="21"/>
        <v>960.5</v>
      </c>
      <c r="X16" s="23"/>
      <c r="Y16" s="24">
        <v>30</v>
      </c>
      <c r="Z16" s="48">
        <f t="shared" si="4"/>
        <v>0</v>
      </c>
      <c r="AA16" s="23"/>
      <c r="AB16" s="24">
        <v>15</v>
      </c>
      <c r="AC16" s="48">
        <f t="shared" si="5"/>
        <v>0</v>
      </c>
      <c r="AD16" s="23"/>
      <c r="AE16" s="24">
        <v>30</v>
      </c>
      <c r="AF16" s="48">
        <f t="shared" si="6"/>
        <v>0</v>
      </c>
      <c r="AG16" s="48">
        <f t="shared" si="7"/>
        <v>0</v>
      </c>
      <c r="AH16" s="48">
        <f t="shared" si="8"/>
        <v>0</v>
      </c>
      <c r="AI16" s="34">
        <f t="shared" si="9"/>
        <v>53005</v>
      </c>
      <c r="AJ16" s="34">
        <f t="shared" si="10"/>
        <v>636.1</v>
      </c>
      <c r="AK16" s="50">
        <f t="shared" si="19"/>
        <v>699.7</v>
      </c>
      <c r="AL16" s="50">
        <f t="shared" si="22"/>
        <v>132.19999999999999</v>
      </c>
      <c r="AM16" s="50">
        <f t="shared" si="11"/>
        <v>168.6</v>
      </c>
      <c r="AN16" s="50">
        <f t="shared" si="20"/>
        <v>1000.5</v>
      </c>
      <c r="AP16" s="51"/>
    </row>
    <row r="17" spans="1:42" ht="27" customHeight="1" x14ac:dyDescent="0.2">
      <c r="A17" s="23">
        <v>9</v>
      </c>
      <c r="B17" s="52" t="s">
        <v>24</v>
      </c>
      <c r="C17" s="54">
        <v>15</v>
      </c>
      <c r="D17" s="53">
        <v>8.5419999999999998</v>
      </c>
      <c r="E17" s="46">
        <f t="shared" si="13"/>
        <v>128.13</v>
      </c>
      <c r="F17" s="47">
        <f t="shared" si="14"/>
        <v>1537.6</v>
      </c>
      <c r="G17" s="24"/>
      <c r="H17" s="24">
        <f>14.25</f>
        <v>14.3</v>
      </c>
      <c r="I17" s="24"/>
      <c r="J17" s="24"/>
      <c r="K17" s="24">
        <f>D17*0.2*8*12+D17*0.25*12+D17*0.05*12+D17*0.3*12</f>
        <v>225.5</v>
      </c>
      <c r="L17" s="24">
        <f t="shared" si="12"/>
        <v>495.4</v>
      </c>
      <c r="M17" s="24">
        <f t="shared" si="0"/>
        <v>2272.8000000000002</v>
      </c>
      <c r="N17" s="48">
        <v>0.4</v>
      </c>
      <c r="O17" s="24">
        <f t="shared" si="1"/>
        <v>909.1</v>
      </c>
      <c r="P17" s="24">
        <f t="shared" si="15"/>
        <v>3181.9</v>
      </c>
      <c r="Q17" s="24">
        <f t="shared" si="16"/>
        <v>2545.5</v>
      </c>
      <c r="R17" s="24">
        <f t="shared" si="2"/>
        <v>2545.5</v>
      </c>
      <c r="S17" s="24">
        <f t="shared" si="17"/>
        <v>264.7</v>
      </c>
      <c r="T17" s="49">
        <f t="shared" si="3"/>
        <v>8537.6</v>
      </c>
      <c r="U17" s="1425"/>
      <c r="V17" s="49">
        <f t="shared" si="18"/>
        <v>8537.6</v>
      </c>
      <c r="W17" s="49">
        <f t="shared" si="21"/>
        <v>2578.4</v>
      </c>
      <c r="X17" s="23">
        <v>10</v>
      </c>
      <c r="Y17" s="24">
        <v>30</v>
      </c>
      <c r="Z17" s="48">
        <f t="shared" si="4"/>
        <v>300</v>
      </c>
      <c r="AA17" s="23">
        <v>3</v>
      </c>
      <c r="AB17" s="24">
        <v>15</v>
      </c>
      <c r="AC17" s="48">
        <f t="shared" si="5"/>
        <v>45</v>
      </c>
      <c r="AD17" s="23">
        <v>2</v>
      </c>
      <c r="AE17" s="24">
        <v>30</v>
      </c>
      <c r="AF17" s="48">
        <f t="shared" si="6"/>
        <v>60</v>
      </c>
      <c r="AG17" s="48">
        <f>(Z17+AC17+AF17)*1%*30</f>
        <v>121.5</v>
      </c>
      <c r="AH17" s="48">
        <f t="shared" si="8"/>
        <v>526.5</v>
      </c>
      <c r="AI17" s="34">
        <f t="shared" si="9"/>
        <v>47431.1</v>
      </c>
      <c r="AJ17" s="34">
        <f t="shared" si="10"/>
        <v>569.20000000000005</v>
      </c>
      <c r="AK17" s="50">
        <f t="shared" si="19"/>
        <v>1878.3</v>
      </c>
      <c r="AL17" s="50">
        <f t="shared" si="22"/>
        <v>396.7</v>
      </c>
      <c r="AM17" s="50">
        <f t="shared" si="11"/>
        <v>452.5</v>
      </c>
      <c r="AN17" s="50">
        <f t="shared" si="20"/>
        <v>2727.5</v>
      </c>
      <c r="AP17" s="51"/>
    </row>
    <row r="18" spans="1:42" ht="27" customHeight="1" x14ac:dyDescent="0.2">
      <c r="A18" s="23">
        <v>10</v>
      </c>
      <c r="B18" s="55" t="s">
        <v>26</v>
      </c>
      <c r="C18" s="56">
        <v>16</v>
      </c>
      <c r="D18" s="53">
        <v>4.3109999999999999</v>
      </c>
      <c r="E18" s="46">
        <f>C18*D18</f>
        <v>68.98</v>
      </c>
      <c r="F18" s="47">
        <f>E18*12</f>
        <v>827.8</v>
      </c>
      <c r="G18" s="24"/>
      <c r="H18" s="24">
        <f>27739.8/1000</f>
        <v>27.7</v>
      </c>
      <c r="I18" s="24"/>
      <c r="J18" s="24"/>
      <c r="K18" s="24"/>
      <c r="L18" s="24">
        <v>390</v>
      </c>
      <c r="M18" s="24">
        <f>F18+G18+H18+I18+J18+K18+L18</f>
        <v>1245.5</v>
      </c>
      <c r="N18" s="48">
        <v>0.75</v>
      </c>
      <c r="O18" s="24">
        <f>M18*N18</f>
        <v>934.1</v>
      </c>
      <c r="P18" s="24">
        <f>M18+O18</f>
        <v>2179.6</v>
      </c>
      <c r="Q18" s="24">
        <f>P18*0.8</f>
        <v>1743.7</v>
      </c>
      <c r="R18" s="24">
        <f>P18*0.8</f>
        <v>1743.7</v>
      </c>
      <c r="S18" s="24">
        <f>(P18+Q18+R18)*0.032</f>
        <v>181.3</v>
      </c>
      <c r="T18" s="49">
        <f>P18+Q18+R18+S18</f>
        <v>5848.3</v>
      </c>
      <c r="U18" s="1425"/>
      <c r="V18" s="49">
        <f>T18*$U$9</f>
        <v>5848.3</v>
      </c>
      <c r="W18" s="49">
        <f t="shared" si="21"/>
        <v>1766.2</v>
      </c>
      <c r="X18" s="23">
        <v>7</v>
      </c>
      <c r="Y18" s="24">
        <v>30</v>
      </c>
      <c r="Z18" s="48">
        <f>X18*Y18</f>
        <v>210</v>
      </c>
      <c r="AA18" s="23">
        <v>2</v>
      </c>
      <c r="AB18" s="24">
        <v>15</v>
      </c>
      <c r="AC18" s="48">
        <f>AA18*AB18</f>
        <v>30</v>
      </c>
      <c r="AD18" s="23">
        <v>1</v>
      </c>
      <c r="AE18" s="24">
        <v>30</v>
      </c>
      <c r="AF18" s="48">
        <f>AD18*AE18</f>
        <v>30</v>
      </c>
      <c r="AG18" s="48">
        <f>(Z18+AC18+AF18)*1%*30</f>
        <v>81</v>
      </c>
      <c r="AH18" s="48">
        <f>Z18+AC18+AF18+AG18</f>
        <v>351</v>
      </c>
      <c r="AI18" s="34">
        <f t="shared" si="9"/>
        <v>30459.9</v>
      </c>
      <c r="AJ18" s="34">
        <f t="shared" si="10"/>
        <v>365.5</v>
      </c>
      <c r="AK18" s="50">
        <f t="shared" si="19"/>
        <v>1286.5999999999999</v>
      </c>
      <c r="AL18" s="50">
        <f t="shared" si="22"/>
        <v>423.2</v>
      </c>
      <c r="AM18" s="50">
        <f t="shared" si="11"/>
        <v>310</v>
      </c>
      <c r="AN18" s="50">
        <f t="shared" si="20"/>
        <v>2019.8</v>
      </c>
      <c r="AP18" s="51"/>
    </row>
    <row r="19" spans="1:42" ht="27" customHeight="1" x14ac:dyDescent="0.2">
      <c r="A19" s="23">
        <v>11</v>
      </c>
      <c r="B19" s="55" t="s">
        <v>50</v>
      </c>
      <c r="C19" s="57">
        <v>2</v>
      </c>
      <c r="D19" s="53">
        <v>8.4730000000000008</v>
      </c>
      <c r="E19" s="46">
        <f t="shared" si="13"/>
        <v>16.95</v>
      </c>
      <c r="F19" s="47">
        <f t="shared" si="14"/>
        <v>203.4</v>
      </c>
      <c r="G19" s="24"/>
      <c r="H19" s="24">
        <f>1652.1/1000</f>
        <v>1.7</v>
      </c>
      <c r="I19" s="24"/>
      <c r="J19" s="24"/>
      <c r="K19" s="24">
        <f>D19*0.25*12+D19*0.2*12</f>
        <v>45.8</v>
      </c>
      <c r="L19" s="24">
        <f t="shared" si="12"/>
        <v>65.5</v>
      </c>
      <c r="M19" s="24">
        <f t="shared" si="0"/>
        <v>316.39999999999998</v>
      </c>
      <c r="N19" s="48">
        <v>0.41</v>
      </c>
      <c r="O19" s="24">
        <f t="shared" si="1"/>
        <v>129.69999999999999</v>
      </c>
      <c r="P19" s="24">
        <f t="shared" si="15"/>
        <v>446.1</v>
      </c>
      <c r="Q19" s="24">
        <f t="shared" si="16"/>
        <v>356.9</v>
      </c>
      <c r="R19" s="24">
        <f t="shared" si="2"/>
        <v>356.9</v>
      </c>
      <c r="S19" s="24">
        <f t="shared" si="17"/>
        <v>37.1</v>
      </c>
      <c r="T19" s="49">
        <f t="shared" si="3"/>
        <v>1197</v>
      </c>
      <c r="U19" s="1425"/>
      <c r="V19" s="49">
        <f t="shared" si="18"/>
        <v>1197</v>
      </c>
      <c r="W19" s="49">
        <f t="shared" si="21"/>
        <v>361.5</v>
      </c>
      <c r="X19" s="23">
        <v>2</v>
      </c>
      <c r="Y19" s="24">
        <v>30</v>
      </c>
      <c r="Z19" s="48">
        <f t="shared" si="4"/>
        <v>60</v>
      </c>
      <c r="AA19" s="23"/>
      <c r="AB19" s="24">
        <v>15</v>
      </c>
      <c r="AC19" s="48">
        <f t="shared" si="5"/>
        <v>0</v>
      </c>
      <c r="AD19" s="23"/>
      <c r="AE19" s="24">
        <v>30</v>
      </c>
      <c r="AF19" s="48">
        <f t="shared" si="6"/>
        <v>0</v>
      </c>
      <c r="AG19" s="48">
        <f t="shared" si="7"/>
        <v>18</v>
      </c>
      <c r="AH19" s="48">
        <f t="shared" si="8"/>
        <v>78</v>
      </c>
      <c r="AI19" s="34">
        <f t="shared" si="9"/>
        <v>49875</v>
      </c>
      <c r="AJ19" s="34">
        <f t="shared" si="10"/>
        <v>598.5</v>
      </c>
      <c r="AK19" s="50">
        <f t="shared" si="19"/>
        <v>263.3</v>
      </c>
      <c r="AL19" s="50">
        <f t="shared" si="22"/>
        <v>52.9</v>
      </c>
      <c r="AM19" s="50">
        <f t="shared" si="11"/>
        <v>63.4</v>
      </c>
      <c r="AN19" s="50">
        <f t="shared" si="20"/>
        <v>379.6</v>
      </c>
      <c r="AP19" s="51"/>
    </row>
    <row r="20" spans="1:42" ht="27" customHeight="1" x14ac:dyDescent="0.2">
      <c r="A20" s="23">
        <v>12</v>
      </c>
      <c r="B20" s="52" t="s">
        <v>18</v>
      </c>
      <c r="C20" s="47">
        <v>1</v>
      </c>
      <c r="D20" s="53">
        <v>8.4730000000000008</v>
      </c>
      <c r="E20" s="46">
        <f t="shared" si="13"/>
        <v>8.4700000000000006</v>
      </c>
      <c r="F20" s="47">
        <f t="shared" si="14"/>
        <v>101.6</v>
      </c>
      <c r="G20" s="24"/>
      <c r="H20" s="24">
        <f>826.1/1000</f>
        <v>0.8</v>
      </c>
      <c r="I20" s="24"/>
      <c r="J20" s="24"/>
      <c r="K20" s="24">
        <f>D20*0.35*12+D20*0.05*9</f>
        <v>39.4</v>
      </c>
      <c r="L20" s="24">
        <f t="shared" si="12"/>
        <v>32.700000000000003</v>
      </c>
      <c r="M20" s="24">
        <f t="shared" si="0"/>
        <v>174.5</v>
      </c>
      <c r="N20" s="48">
        <v>0.41</v>
      </c>
      <c r="O20" s="24">
        <f t="shared" si="1"/>
        <v>71.5</v>
      </c>
      <c r="P20" s="24">
        <f t="shared" si="15"/>
        <v>246</v>
      </c>
      <c r="Q20" s="24">
        <f t="shared" si="16"/>
        <v>196.8</v>
      </c>
      <c r="R20" s="24">
        <f t="shared" si="2"/>
        <v>196.8</v>
      </c>
      <c r="S20" s="24">
        <f t="shared" si="17"/>
        <v>20.5</v>
      </c>
      <c r="T20" s="49">
        <f t="shared" si="3"/>
        <v>660.1</v>
      </c>
      <c r="U20" s="1425"/>
      <c r="V20" s="49">
        <f t="shared" si="18"/>
        <v>660.1</v>
      </c>
      <c r="W20" s="49">
        <f t="shared" si="21"/>
        <v>199.4</v>
      </c>
      <c r="X20" s="23"/>
      <c r="Y20" s="24">
        <v>30</v>
      </c>
      <c r="Z20" s="48">
        <f t="shared" si="4"/>
        <v>0</v>
      </c>
      <c r="AA20" s="23"/>
      <c r="AB20" s="24">
        <v>15</v>
      </c>
      <c r="AC20" s="48">
        <f t="shared" si="5"/>
        <v>0</v>
      </c>
      <c r="AD20" s="23"/>
      <c r="AE20" s="24">
        <v>30</v>
      </c>
      <c r="AF20" s="48">
        <f t="shared" si="6"/>
        <v>0</v>
      </c>
      <c r="AG20" s="48">
        <f t="shared" si="7"/>
        <v>0</v>
      </c>
      <c r="AH20" s="48">
        <f t="shared" si="8"/>
        <v>0</v>
      </c>
      <c r="AI20" s="34">
        <f t="shared" si="9"/>
        <v>55008.3</v>
      </c>
      <c r="AJ20" s="34">
        <f t="shared" si="10"/>
        <v>660.1</v>
      </c>
      <c r="AK20" s="50">
        <f t="shared" si="19"/>
        <v>145.19999999999999</v>
      </c>
      <c r="AL20" s="50">
        <f t="shared" si="22"/>
        <v>26.4</v>
      </c>
      <c r="AM20" s="50">
        <f t="shared" si="11"/>
        <v>35</v>
      </c>
      <c r="AN20" s="50">
        <f t="shared" si="20"/>
        <v>206.6</v>
      </c>
      <c r="AP20" s="51"/>
    </row>
    <row r="21" spans="1:42" ht="27" customHeight="1" x14ac:dyDescent="0.2">
      <c r="A21" s="23">
        <v>13</v>
      </c>
      <c r="B21" s="52" t="s">
        <v>106</v>
      </c>
      <c r="C21" s="47">
        <v>1</v>
      </c>
      <c r="D21" s="53">
        <v>8.4730000000000008</v>
      </c>
      <c r="E21" s="46">
        <f>C21*D21</f>
        <v>8.4700000000000006</v>
      </c>
      <c r="F21" s="47">
        <f>E21*12</f>
        <v>101.6</v>
      </c>
      <c r="G21" s="24"/>
      <c r="H21" s="24">
        <f>917.9/1000</f>
        <v>0.9</v>
      </c>
      <c r="I21" s="24"/>
      <c r="J21" s="24"/>
      <c r="K21" s="24"/>
      <c r="L21" s="24">
        <f>F21*$L$4</f>
        <v>32.700000000000003</v>
      </c>
      <c r="M21" s="24">
        <f>F21+G21+H21+I21+J21+K21+L21</f>
        <v>135.19999999999999</v>
      </c>
      <c r="N21" s="48">
        <v>0.47</v>
      </c>
      <c r="O21" s="24">
        <f t="shared" si="1"/>
        <v>63.5</v>
      </c>
      <c r="P21" s="24">
        <f t="shared" si="15"/>
        <v>198.7</v>
      </c>
      <c r="Q21" s="24">
        <f t="shared" si="16"/>
        <v>159</v>
      </c>
      <c r="R21" s="24">
        <f t="shared" si="2"/>
        <v>159</v>
      </c>
      <c r="S21" s="24">
        <f t="shared" si="17"/>
        <v>16.5</v>
      </c>
      <c r="T21" s="49">
        <f t="shared" si="3"/>
        <v>533.20000000000005</v>
      </c>
      <c r="U21" s="1425"/>
      <c r="V21" s="49">
        <f t="shared" si="18"/>
        <v>533.20000000000005</v>
      </c>
      <c r="W21" s="49">
        <f t="shared" si="21"/>
        <v>161</v>
      </c>
      <c r="X21" s="23"/>
      <c r="Y21" s="24">
        <v>30</v>
      </c>
      <c r="Z21" s="48">
        <f>X21*Y21</f>
        <v>0</v>
      </c>
      <c r="AA21" s="23"/>
      <c r="AB21" s="24">
        <v>15</v>
      </c>
      <c r="AC21" s="48">
        <f>AA21*AB21</f>
        <v>0</v>
      </c>
      <c r="AD21" s="23"/>
      <c r="AE21" s="24">
        <v>30</v>
      </c>
      <c r="AF21" s="48">
        <f>AD21*AE21</f>
        <v>0</v>
      </c>
      <c r="AG21" s="48">
        <f>(Z21+AC21+AF21)*1%*30</f>
        <v>0</v>
      </c>
      <c r="AH21" s="48">
        <f>Z21+AC21+AF21+AG21</f>
        <v>0</v>
      </c>
      <c r="AI21" s="34">
        <f t="shared" si="9"/>
        <v>44433.3</v>
      </c>
      <c r="AJ21" s="34">
        <f t="shared" si="10"/>
        <v>533.20000000000005</v>
      </c>
      <c r="AK21" s="50">
        <f t="shared" si="19"/>
        <v>117.3</v>
      </c>
      <c r="AL21" s="50">
        <f t="shared" si="22"/>
        <v>26.4</v>
      </c>
      <c r="AM21" s="50">
        <f t="shared" si="11"/>
        <v>28.3</v>
      </c>
      <c r="AN21" s="50">
        <f t="shared" si="20"/>
        <v>172</v>
      </c>
      <c r="AP21" s="51"/>
    </row>
    <row r="22" spans="1:42" ht="23.25" customHeight="1" x14ac:dyDescent="0.2">
      <c r="A22" s="23">
        <v>14</v>
      </c>
      <c r="B22" s="52" t="s">
        <v>29</v>
      </c>
      <c r="C22" s="57">
        <v>1</v>
      </c>
      <c r="D22" s="53">
        <v>8.4730000000000008</v>
      </c>
      <c r="E22" s="46">
        <f>C22*D22</f>
        <v>8.4700000000000006</v>
      </c>
      <c r="F22" s="47">
        <f>E22*12</f>
        <v>101.6</v>
      </c>
      <c r="G22" s="24"/>
      <c r="H22" s="24">
        <f>1239.1/1000</f>
        <v>1.2</v>
      </c>
      <c r="I22" s="24"/>
      <c r="J22" s="24"/>
      <c r="K22" s="24">
        <f>D22*0.4*12</f>
        <v>40.700000000000003</v>
      </c>
      <c r="L22" s="24">
        <f t="shared" si="12"/>
        <v>32.700000000000003</v>
      </c>
      <c r="M22" s="24">
        <f>F22+G22+H22+I22+J22+K22+L22</f>
        <v>176.2</v>
      </c>
      <c r="N22" s="48">
        <v>0.41</v>
      </c>
      <c r="O22" s="24">
        <f t="shared" si="1"/>
        <v>72.2</v>
      </c>
      <c r="P22" s="24">
        <f t="shared" si="15"/>
        <v>248.4</v>
      </c>
      <c r="Q22" s="24">
        <f t="shared" si="16"/>
        <v>198.7</v>
      </c>
      <c r="R22" s="24">
        <f t="shared" si="2"/>
        <v>198.7</v>
      </c>
      <c r="S22" s="24">
        <f t="shared" si="17"/>
        <v>20.7</v>
      </c>
      <c r="T22" s="49">
        <f t="shared" si="3"/>
        <v>666.5</v>
      </c>
      <c r="U22" s="1425"/>
      <c r="V22" s="49">
        <f t="shared" si="18"/>
        <v>666.5</v>
      </c>
      <c r="W22" s="49">
        <f t="shared" si="21"/>
        <v>201.3</v>
      </c>
      <c r="X22" s="23">
        <v>2</v>
      </c>
      <c r="Y22" s="24">
        <v>30</v>
      </c>
      <c r="Z22" s="48">
        <f t="shared" si="4"/>
        <v>60</v>
      </c>
      <c r="AA22" s="23">
        <v>1</v>
      </c>
      <c r="AB22" s="24">
        <v>15</v>
      </c>
      <c r="AC22" s="48">
        <f t="shared" si="5"/>
        <v>15</v>
      </c>
      <c r="AD22" s="23"/>
      <c r="AE22" s="24">
        <v>30</v>
      </c>
      <c r="AF22" s="48">
        <f t="shared" si="6"/>
        <v>0</v>
      </c>
      <c r="AG22" s="48">
        <f t="shared" si="7"/>
        <v>22.5</v>
      </c>
      <c r="AH22" s="48">
        <f t="shared" si="8"/>
        <v>97.5</v>
      </c>
      <c r="AI22" s="34">
        <f t="shared" si="9"/>
        <v>55541.7</v>
      </c>
      <c r="AJ22" s="34">
        <f t="shared" si="10"/>
        <v>666.5</v>
      </c>
      <c r="AK22" s="50">
        <f t="shared" si="19"/>
        <v>146.6</v>
      </c>
      <c r="AL22" s="50">
        <f t="shared" si="22"/>
        <v>26.4</v>
      </c>
      <c r="AM22" s="50">
        <f t="shared" si="11"/>
        <v>35.299999999999997</v>
      </c>
      <c r="AN22" s="50">
        <f t="shared" si="20"/>
        <v>208.3</v>
      </c>
      <c r="AP22" s="51"/>
    </row>
    <row r="23" spans="1:42" ht="23.25" customHeight="1" x14ac:dyDescent="0.2">
      <c r="A23" s="23">
        <v>15</v>
      </c>
      <c r="B23" s="52" t="s">
        <v>20</v>
      </c>
      <c r="C23" s="47">
        <v>0.5</v>
      </c>
      <c r="D23" s="53">
        <v>8.4730000000000008</v>
      </c>
      <c r="E23" s="46">
        <f>C23*D23</f>
        <v>4.24</v>
      </c>
      <c r="F23" s="47">
        <f>E23*12</f>
        <v>50.9</v>
      </c>
      <c r="G23" s="24"/>
      <c r="H23" s="24"/>
      <c r="I23" s="24"/>
      <c r="J23" s="24"/>
      <c r="K23" s="24"/>
      <c r="L23" s="24">
        <f>F23*$L$4</f>
        <v>16.399999999999999</v>
      </c>
      <c r="M23" s="24">
        <f>F23+G23+H23+I23+J23+K23+L23</f>
        <v>67.3</v>
      </c>
      <c r="N23" s="48">
        <v>0.41</v>
      </c>
      <c r="O23" s="24">
        <f>M23*N23</f>
        <v>27.6</v>
      </c>
      <c r="P23" s="24">
        <f>M23+O23</f>
        <v>94.9</v>
      </c>
      <c r="Q23" s="24">
        <f>P23*0.8</f>
        <v>75.900000000000006</v>
      </c>
      <c r="R23" s="24">
        <f>P23*0.8</f>
        <v>75.900000000000006</v>
      </c>
      <c r="S23" s="24">
        <f>(P23+Q23+R23)*0.032</f>
        <v>7.9</v>
      </c>
      <c r="T23" s="49">
        <f>P23+Q23+R23+S23</f>
        <v>254.6</v>
      </c>
      <c r="U23" s="1425"/>
      <c r="V23" s="49">
        <f>T23*$U$9</f>
        <v>254.6</v>
      </c>
      <c r="W23" s="49">
        <f t="shared" si="21"/>
        <v>76.900000000000006</v>
      </c>
      <c r="X23" s="23"/>
      <c r="Y23" s="24">
        <v>30</v>
      </c>
      <c r="Z23" s="48">
        <f>X23*Y23</f>
        <v>0</v>
      </c>
      <c r="AA23" s="23"/>
      <c r="AB23" s="24">
        <v>15</v>
      </c>
      <c r="AC23" s="48">
        <f>AA23*AB23</f>
        <v>0</v>
      </c>
      <c r="AD23" s="23"/>
      <c r="AE23" s="24">
        <v>30</v>
      </c>
      <c r="AF23" s="48">
        <f>AD23*AE23</f>
        <v>0</v>
      </c>
      <c r="AG23" s="48">
        <f>(Z23+AC23+AF23)*1%*30</f>
        <v>0</v>
      </c>
      <c r="AH23" s="48">
        <f>Z23+AC23+AF23+AG23</f>
        <v>0</v>
      </c>
      <c r="AI23" s="34">
        <f t="shared" si="9"/>
        <v>42433.3</v>
      </c>
      <c r="AJ23" s="34">
        <f t="shared" si="10"/>
        <v>509.2</v>
      </c>
      <c r="AK23" s="50">
        <f t="shared" si="19"/>
        <v>56</v>
      </c>
      <c r="AL23" s="50">
        <f t="shared" si="22"/>
        <v>13.2</v>
      </c>
      <c r="AM23" s="50">
        <f t="shared" si="11"/>
        <v>13.5</v>
      </c>
      <c r="AN23" s="50">
        <f t="shared" si="20"/>
        <v>82.7</v>
      </c>
      <c r="AP23" s="51"/>
    </row>
    <row r="24" spans="1:42" ht="23.25" customHeight="1" x14ac:dyDescent="0.2">
      <c r="A24" s="23">
        <v>16</v>
      </c>
      <c r="B24" s="52" t="s">
        <v>30</v>
      </c>
      <c r="C24" s="57">
        <v>2</v>
      </c>
      <c r="D24" s="53">
        <v>8.4730000000000008</v>
      </c>
      <c r="E24" s="46">
        <f>C24*D24</f>
        <v>16.95</v>
      </c>
      <c r="F24" s="47">
        <f>E24*12</f>
        <v>203.4</v>
      </c>
      <c r="G24" s="24"/>
      <c r="H24" s="24">
        <f>1652.1/1000</f>
        <v>1.7</v>
      </c>
      <c r="I24" s="24"/>
      <c r="J24" s="24"/>
      <c r="K24" s="24">
        <f>D24*0.3*12+D24*0.25*12+D24*0.05*1</f>
        <v>56.3</v>
      </c>
      <c r="L24" s="24">
        <f t="shared" si="12"/>
        <v>65.5</v>
      </c>
      <c r="M24" s="24">
        <f>F24+G24+H24+I24+J24+K24+L24</f>
        <v>326.89999999999998</v>
      </c>
      <c r="N24" s="48">
        <v>0.41</v>
      </c>
      <c r="O24" s="24">
        <f t="shared" si="1"/>
        <v>134</v>
      </c>
      <c r="P24" s="24">
        <f t="shared" si="15"/>
        <v>460.9</v>
      </c>
      <c r="Q24" s="24">
        <f t="shared" si="16"/>
        <v>368.7</v>
      </c>
      <c r="R24" s="24">
        <f t="shared" si="2"/>
        <v>368.7</v>
      </c>
      <c r="S24" s="24">
        <f t="shared" si="17"/>
        <v>38.299999999999997</v>
      </c>
      <c r="T24" s="49">
        <f t="shared" si="3"/>
        <v>1236.5999999999999</v>
      </c>
      <c r="U24" s="1425"/>
      <c r="V24" s="49">
        <f t="shared" si="18"/>
        <v>1236.5999999999999</v>
      </c>
      <c r="W24" s="49">
        <f t="shared" si="21"/>
        <v>373.5</v>
      </c>
      <c r="X24" s="23"/>
      <c r="Y24" s="24">
        <v>30</v>
      </c>
      <c r="Z24" s="48">
        <f t="shared" si="4"/>
        <v>0</v>
      </c>
      <c r="AA24" s="23"/>
      <c r="AB24" s="24">
        <v>15</v>
      </c>
      <c r="AC24" s="48">
        <f t="shared" si="5"/>
        <v>0</v>
      </c>
      <c r="AD24" s="23"/>
      <c r="AE24" s="24">
        <v>30</v>
      </c>
      <c r="AF24" s="48">
        <f t="shared" si="6"/>
        <v>0</v>
      </c>
      <c r="AG24" s="48">
        <f t="shared" si="7"/>
        <v>0</v>
      </c>
      <c r="AH24" s="48">
        <f t="shared" si="8"/>
        <v>0</v>
      </c>
      <c r="AI24" s="34">
        <f t="shared" si="9"/>
        <v>51525</v>
      </c>
      <c r="AJ24" s="34">
        <f t="shared" si="10"/>
        <v>618.29999999999995</v>
      </c>
      <c r="AK24" s="50">
        <f t="shared" si="19"/>
        <v>272.10000000000002</v>
      </c>
      <c r="AL24" s="50">
        <f t="shared" si="22"/>
        <v>52.9</v>
      </c>
      <c r="AM24" s="50">
        <f t="shared" si="11"/>
        <v>65.5</v>
      </c>
      <c r="AN24" s="50">
        <f t="shared" si="20"/>
        <v>390.5</v>
      </c>
      <c r="AP24" s="51"/>
    </row>
    <row r="25" spans="1:42" ht="27" customHeight="1" x14ac:dyDescent="0.2">
      <c r="A25" s="23">
        <v>17</v>
      </c>
      <c r="B25" s="52" t="s">
        <v>33</v>
      </c>
      <c r="C25" s="57">
        <v>1</v>
      </c>
      <c r="D25" s="53">
        <v>8.4730000000000008</v>
      </c>
      <c r="E25" s="46">
        <f t="shared" si="13"/>
        <v>8.4700000000000006</v>
      </c>
      <c r="F25" s="47">
        <f t="shared" si="14"/>
        <v>101.6</v>
      </c>
      <c r="G25" s="24"/>
      <c r="H25" s="24">
        <f>826.1/1000</f>
        <v>0.8</v>
      </c>
      <c r="I25" s="24"/>
      <c r="J25" s="24"/>
      <c r="K25" s="24">
        <f>F25*0.2</f>
        <v>20.3</v>
      </c>
      <c r="L25" s="24">
        <f t="shared" si="12"/>
        <v>32.700000000000003</v>
      </c>
      <c r="M25" s="24">
        <f>F25+G25+H25+I25+J25+K25+L25</f>
        <v>155.4</v>
      </c>
      <c r="N25" s="48">
        <v>0.41</v>
      </c>
      <c r="O25" s="24">
        <f t="shared" si="1"/>
        <v>63.7</v>
      </c>
      <c r="P25" s="24">
        <f t="shared" si="15"/>
        <v>219.1</v>
      </c>
      <c r="Q25" s="24">
        <f t="shared" si="16"/>
        <v>175.3</v>
      </c>
      <c r="R25" s="24">
        <f t="shared" si="2"/>
        <v>175.3</v>
      </c>
      <c r="S25" s="24">
        <f t="shared" si="17"/>
        <v>18.2</v>
      </c>
      <c r="T25" s="49">
        <f t="shared" si="3"/>
        <v>587.9</v>
      </c>
      <c r="U25" s="1425"/>
      <c r="V25" s="49">
        <f t="shared" si="18"/>
        <v>587.9</v>
      </c>
      <c r="W25" s="49">
        <f t="shared" si="21"/>
        <v>177.5</v>
      </c>
      <c r="X25" s="23"/>
      <c r="Y25" s="24">
        <v>30</v>
      </c>
      <c r="Z25" s="48">
        <f t="shared" si="4"/>
        <v>0</v>
      </c>
      <c r="AA25" s="23"/>
      <c r="AB25" s="24">
        <v>15</v>
      </c>
      <c r="AC25" s="48">
        <f t="shared" si="5"/>
        <v>0</v>
      </c>
      <c r="AD25" s="23"/>
      <c r="AE25" s="24">
        <v>30</v>
      </c>
      <c r="AF25" s="48">
        <f t="shared" si="6"/>
        <v>0</v>
      </c>
      <c r="AG25" s="48">
        <f t="shared" si="7"/>
        <v>0</v>
      </c>
      <c r="AH25" s="48">
        <f t="shared" si="8"/>
        <v>0</v>
      </c>
      <c r="AI25" s="34">
        <f t="shared" si="9"/>
        <v>48991.7</v>
      </c>
      <c r="AJ25" s="34">
        <f t="shared" si="10"/>
        <v>587.9</v>
      </c>
      <c r="AK25" s="50">
        <f t="shared" si="19"/>
        <v>129.30000000000001</v>
      </c>
      <c r="AL25" s="50">
        <f t="shared" si="22"/>
        <v>26.4</v>
      </c>
      <c r="AM25" s="50">
        <f t="shared" si="11"/>
        <v>31.2</v>
      </c>
      <c r="AN25" s="50">
        <f t="shared" si="20"/>
        <v>186.9</v>
      </c>
      <c r="AP25" s="51"/>
    </row>
    <row r="26" spans="1:42" ht="27" customHeight="1" x14ac:dyDescent="0.2">
      <c r="A26" s="23">
        <v>18</v>
      </c>
      <c r="B26" s="55" t="s">
        <v>92</v>
      </c>
      <c r="C26" s="56">
        <v>3</v>
      </c>
      <c r="D26" s="53">
        <v>4.3769999999999998</v>
      </c>
      <c r="E26" s="46">
        <f t="shared" si="13"/>
        <v>13.13</v>
      </c>
      <c r="F26" s="47">
        <f t="shared" si="14"/>
        <v>157.6</v>
      </c>
      <c r="G26" s="24"/>
      <c r="H26" s="24">
        <f>7681.2/1000</f>
        <v>7.7</v>
      </c>
      <c r="I26" s="24"/>
      <c r="J26" s="24"/>
      <c r="K26" s="24"/>
      <c r="L26" s="24">
        <v>105</v>
      </c>
      <c r="M26" s="24">
        <f t="shared" si="0"/>
        <v>270.3</v>
      </c>
      <c r="N26" s="48">
        <v>0.47</v>
      </c>
      <c r="O26" s="24">
        <f t="shared" si="1"/>
        <v>127</v>
      </c>
      <c r="P26" s="24">
        <f t="shared" si="15"/>
        <v>397.3</v>
      </c>
      <c r="Q26" s="24">
        <f t="shared" si="16"/>
        <v>317.8</v>
      </c>
      <c r="R26" s="24">
        <f t="shared" si="2"/>
        <v>317.8</v>
      </c>
      <c r="S26" s="24">
        <f t="shared" si="17"/>
        <v>33.1</v>
      </c>
      <c r="T26" s="49">
        <f t="shared" si="3"/>
        <v>1066</v>
      </c>
      <c r="U26" s="1425"/>
      <c r="V26" s="49">
        <f>T26*$U$9</f>
        <v>1066</v>
      </c>
      <c r="W26" s="49">
        <f t="shared" si="21"/>
        <v>321.89999999999998</v>
      </c>
      <c r="X26" s="23"/>
      <c r="Y26" s="24">
        <v>30</v>
      </c>
      <c r="Z26" s="48">
        <f>X26*Y26</f>
        <v>0</v>
      </c>
      <c r="AA26" s="23"/>
      <c r="AB26" s="24">
        <v>15</v>
      </c>
      <c r="AC26" s="48">
        <f>AA26*AB26</f>
        <v>0</v>
      </c>
      <c r="AD26" s="23"/>
      <c r="AE26" s="24">
        <v>30</v>
      </c>
      <c r="AF26" s="48">
        <f>AD26*AE26</f>
        <v>0</v>
      </c>
      <c r="AG26" s="48">
        <f>(Z26+AC26+AF26)*1%*30</f>
        <v>0</v>
      </c>
      <c r="AH26" s="48">
        <f>Z26+AC26+AF26+AG26</f>
        <v>0</v>
      </c>
      <c r="AI26" s="34">
        <f t="shared" si="9"/>
        <v>29611.1</v>
      </c>
      <c r="AJ26" s="34">
        <f t="shared" si="10"/>
        <v>355.3</v>
      </c>
      <c r="AK26" s="50">
        <f t="shared" si="19"/>
        <v>234.5</v>
      </c>
      <c r="AL26" s="50">
        <f t="shared" si="22"/>
        <v>79.3</v>
      </c>
      <c r="AM26" s="50">
        <f t="shared" si="11"/>
        <v>56.5</v>
      </c>
      <c r="AN26" s="50">
        <f t="shared" si="20"/>
        <v>370.3</v>
      </c>
      <c r="AP26" s="51"/>
    </row>
    <row r="27" spans="1:42" ht="27" customHeight="1" x14ac:dyDescent="0.2">
      <c r="A27" s="23">
        <v>19</v>
      </c>
      <c r="B27" s="44" t="s">
        <v>102</v>
      </c>
      <c r="C27" s="58">
        <v>2</v>
      </c>
      <c r="D27" s="53">
        <v>4.3769999999999998</v>
      </c>
      <c r="E27" s="46">
        <f t="shared" si="13"/>
        <v>8.75</v>
      </c>
      <c r="F27" s="47">
        <f t="shared" si="14"/>
        <v>105</v>
      </c>
      <c r="G27" s="24"/>
      <c r="H27" s="24">
        <f>948.3/1000</f>
        <v>0.9</v>
      </c>
      <c r="I27" s="24"/>
      <c r="J27" s="24"/>
      <c r="K27" s="24"/>
      <c r="L27" s="24">
        <v>72</v>
      </c>
      <c r="M27" s="24">
        <f t="shared" si="0"/>
        <v>177.9</v>
      </c>
      <c r="N27" s="48">
        <v>0.49</v>
      </c>
      <c r="O27" s="24">
        <f t="shared" si="1"/>
        <v>87.2</v>
      </c>
      <c r="P27" s="24">
        <f t="shared" si="15"/>
        <v>265.10000000000002</v>
      </c>
      <c r="Q27" s="24">
        <f t="shared" si="16"/>
        <v>212.1</v>
      </c>
      <c r="R27" s="24">
        <f t="shared" si="2"/>
        <v>212.1</v>
      </c>
      <c r="S27" s="24">
        <f t="shared" si="17"/>
        <v>22.1</v>
      </c>
      <c r="T27" s="49">
        <f t="shared" si="3"/>
        <v>711.4</v>
      </c>
      <c r="U27" s="1425"/>
      <c r="V27" s="49">
        <f>T27*$U$9-0.2</f>
        <v>711.2</v>
      </c>
      <c r="W27" s="49">
        <f>V27*0.302</f>
        <v>214.8</v>
      </c>
      <c r="X27" s="23"/>
      <c r="Y27" s="24">
        <v>30</v>
      </c>
      <c r="Z27" s="48">
        <f>X27*Y27</f>
        <v>0</v>
      </c>
      <c r="AA27" s="23"/>
      <c r="AB27" s="24">
        <v>15</v>
      </c>
      <c r="AC27" s="48">
        <f>AA27*AB27</f>
        <v>0</v>
      </c>
      <c r="AD27" s="23"/>
      <c r="AE27" s="24">
        <v>30</v>
      </c>
      <c r="AF27" s="48">
        <f>AD27*AE27</f>
        <v>0</v>
      </c>
      <c r="AG27" s="48">
        <f>(Z27+AC27+AF27)*1%*30</f>
        <v>0</v>
      </c>
      <c r="AH27" s="48">
        <f>Z27+AC27+AF27+AG27</f>
        <v>0</v>
      </c>
      <c r="AI27" s="34">
        <f t="shared" si="9"/>
        <v>29633.3</v>
      </c>
      <c r="AJ27" s="34">
        <f t="shared" si="10"/>
        <v>355.6</v>
      </c>
      <c r="AK27" s="50">
        <f t="shared" si="19"/>
        <v>156.5</v>
      </c>
      <c r="AL27" s="50">
        <f t="shared" si="22"/>
        <v>52.9</v>
      </c>
      <c r="AM27" s="50">
        <f t="shared" si="11"/>
        <v>37.700000000000003</v>
      </c>
      <c r="AN27" s="50">
        <f t="shared" si="20"/>
        <v>247.1</v>
      </c>
      <c r="AP27" s="51"/>
    </row>
    <row r="28" spans="1:42" s="62" customFormat="1" ht="20.25" customHeight="1" x14ac:dyDescent="0.2">
      <c r="A28" s="1435" t="s">
        <v>97</v>
      </c>
      <c r="B28" s="1436"/>
      <c r="C28" s="59">
        <f t="shared" ref="C28:AH28" si="23">SUM(C9:C27)</f>
        <v>64.5</v>
      </c>
      <c r="D28" s="25">
        <f t="shared" si="23"/>
        <v>181.9</v>
      </c>
      <c r="E28" s="25">
        <f t="shared" si="23"/>
        <v>527.5</v>
      </c>
      <c r="F28" s="25">
        <f t="shared" si="23"/>
        <v>6321.7</v>
      </c>
      <c r="G28" s="25">
        <f t="shared" si="23"/>
        <v>0</v>
      </c>
      <c r="H28" s="25">
        <f>SUM(H9:H27)</f>
        <v>74.400000000000006</v>
      </c>
      <c r="I28" s="25">
        <f t="shared" si="23"/>
        <v>0</v>
      </c>
      <c r="J28" s="25">
        <f t="shared" si="23"/>
        <v>0</v>
      </c>
      <c r="K28" s="25">
        <f t="shared" si="23"/>
        <v>1143.7</v>
      </c>
      <c r="L28" s="25">
        <f t="shared" si="23"/>
        <v>2252.1999999999998</v>
      </c>
      <c r="M28" s="25">
        <f t="shared" si="23"/>
        <v>9792</v>
      </c>
      <c r="N28" s="25">
        <f t="shared" si="23"/>
        <v>9.1999999999999993</v>
      </c>
      <c r="O28" s="25">
        <f t="shared" si="23"/>
        <v>4877.3</v>
      </c>
      <c r="P28" s="25">
        <f t="shared" si="23"/>
        <v>14669.3</v>
      </c>
      <c r="Q28" s="25">
        <f t="shared" si="23"/>
        <v>11735.5</v>
      </c>
      <c r="R28" s="25">
        <f t="shared" si="23"/>
        <v>11735.5</v>
      </c>
      <c r="S28" s="25">
        <f t="shared" si="23"/>
        <v>1220.3</v>
      </c>
      <c r="T28" s="25">
        <f t="shared" si="23"/>
        <v>39360.6</v>
      </c>
      <c r="U28" s="25">
        <f t="shared" si="23"/>
        <v>1</v>
      </c>
      <c r="V28" s="25">
        <f t="shared" si="23"/>
        <v>39360.400000000001</v>
      </c>
      <c r="W28" s="25">
        <f>SUM(W9:W27)</f>
        <v>11654.6</v>
      </c>
      <c r="X28" s="25">
        <f t="shared" si="23"/>
        <v>29</v>
      </c>
      <c r="Y28" s="25">
        <f t="shared" si="23"/>
        <v>570</v>
      </c>
      <c r="Z28" s="25">
        <f t="shared" si="23"/>
        <v>870</v>
      </c>
      <c r="AA28" s="25">
        <f t="shared" si="23"/>
        <v>12</v>
      </c>
      <c r="AB28" s="25">
        <f t="shared" si="23"/>
        <v>285</v>
      </c>
      <c r="AC28" s="25">
        <f t="shared" si="23"/>
        <v>180</v>
      </c>
      <c r="AD28" s="25">
        <f t="shared" si="23"/>
        <v>8</v>
      </c>
      <c r="AE28" s="25">
        <f t="shared" si="23"/>
        <v>570</v>
      </c>
      <c r="AF28" s="25">
        <f t="shared" si="23"/>
        <v>240</v>
      </c>
      <c r="AG28" s="25">
        <f t="shared" si="23"/>
        <v>387</v>
      </c>
      <c r="AH28" s="25">
        <f t="shared" si="23"/>
        <v>1677</v>
      </c>
      <c r="AI28" s="60"/>
      <c r="AJ28" s="61"/>
      <c r="AN28" s="60">
        <f>SUM(AN9:AN27)</f>
        <v>12276.5</v>
      </c>
    </row>
    <row r="29" spans="1:42" s="62" customFormat="1" ht="20.25" customHeight="1" x14ac:dyDescent="0.2">
      <c r="A29" s="63"/>
      <c r="B29" s="63"/>
      <c r="C29" s="26"/>
      <c r="D29" s="26"/>
      <c r="E29" s="26"/>
      <c r="F29" s="26"/>
      <c r="G29" s="26"/>
      <c r="H29" s="26"/>
      <c r="I29" s="26"/>
      <c r="J29" s="26"/>
      <c r="K29" s="26"/>
      <c r="L29" s="26"/>
      <c r="M29" s="26"/>
      <c r="N29" s="26"/>
      <c r="O29" s="26"/>
      <c r="P29" s="26"/>
      <c r="Q29" s="26"/>
      <c r="R29" s="26"/>
      <c r="S29" s="26"/>
      <c r="T29" s="26"/>
      <c r="U29" s="64"/>
      <c r="V29" s="65"/>
      <c r="W29" s="66"/>
      <c r="X29" s="65"/>
      <c r="Y29" s="65"/>
      <c r="Z29" s="65"/>
      <c r="AA29" s="65"/>
      <c r="AB29" s="65"/>
      <c r="AC29" s="65"/>
      <c r="AD29" s="65"/>
      <c r="AE29" s="65"/>
      <c r="AF29" s="65"/>
      <c r="AG29" s="65"/>
      <c r="AH29" s="65"/>
      <c r="AI29" s="67"/>
      <c r="AJ29" s="61"/>
    </row>
    <row r="30" spans="1:42" s="62" customFormat="1" ht="14.25" x14ac:dyDescent="0.2">
      <c r="A30" s="68"/>
      <c r="B30" s="63"/>
      <c r="C30" s="26"/>
      <c r="D30" s="26"/>
      <c r="E30" s="26"/>
      <c r="F30" s="26"/>
      <c r="G30" s="26"/>
      <c r="H30" s="26"/>
      <c r="I30" s="26"/>
      <c r="J30" s="26"/>
      <c r="K30" s="26"/>
      <c r="L30" s="26"/>
      <c r="M30" s="26"/>
      <c r="N30" s="26"/>
      <c r="O30" s="26"/>
      <c r="P30" s="26"/>
      <c r="Q30" s="26"/>
      <c r="R30" s="26"/>
      <c r="S30" s="26"/>
      <c r="T30" s="26"/>
      <c r="U30" s="64"/>
      <c r="V30" s="69"/>
      <c r="W30" s="69"/>
      <c r="X30" s="65"/>
      <c r="Y30" s="65"/>
      <c r="Z30" s="65"/>
      <c r="AA30" s="65"/>
      <c r="AB30" s="65"/>
      <c r="AC30" s="65"/>
      <c r="AD30" s="65"/>
      <c r="AE30" s="65"/>
      <c r="AF30" s="65"/>
      <c r="AG30" s="65"/>
      <c r="AH30" s="65"/>
      <c r="AI30" s="67"/>
      <c r="AJ30" s="61"/>
    </row>
    <row r="31" spans="1:42" s="75" customFormat="1" ht="15" x14ac:dyDescent="0.2">
      <c r="A31" s="70"/>
      <c r="B31" s="70"/>
      <c r="C31" s="71"/>
      <c r="D31" s="72"/>
      <c r="E31" s="72"/>
      <c r="F31" s="72"/>
      <c r="G31" s="72"/>
      <c r="H31" s="73"/>
      <c r="I31" s="73"/>
      <c r="J31" s="27"/>
      <c r="K31" s="27"/>
      <c r="L31" s="27"/>
      <c r="M31" s="27"/>
      <c r="N31" s="74"/>
      <c r="O31" s="27"/>
      <c r="P31" s="27"/>
      <c r="Q31" s="27"/>
      <c r="R31" s="27"/>
      <c r="S31" s="27"/>
      <c r="T31" s="27"/>
      <c r="U31" s="27"/>
      <c r="V31" s="27"/>
      <c r="W31" s="27"/>
      <c r="X31" s="27"/>
      <c r="Y31" s="27"/>
      <c r="Z31" s="27"/>
      <c r="AA31" s="27"/>
      <c r="AB31" s="27"/>
      <c r="AC31" s="27"/>
      <c r="AD31" s="27"/>
      <c r="AE31" s="27"/>
      <c r="AF31" s="27"/>
      <c r="AG31" s="27"/>
      <c r="AH31" s="27"/>
      <c r="AI31" s="27"/>
      <c r="AK31" s="76"/>
      <c r="AL31" s="76"/>
      <c r="AM31" s="76"/>
      <c r="AN31" s="76"/>
      <c r="AO31" s="76"/>
    </row>
    <row r="32" spans="1:42" s="75" customFormat="1" ht="39.75" customHeight="1" x14ac:dyDescent="0.2">
      <c r="A32" s="70"/>
      <c r="B32" s="70"/>
      <c r="C32" s="71"/>
      <c r="D32" s="77"/>
      <c r="E32" s="77"/>
      <c r="F32" s="27"/>
      <c r="G32" s="1438" t="s">
        <v>140</v>
      </c>
      <c r="H32" s="1438"/>
      <c r="I32" s="1433" t="s">
        <v>141</v>
      </c>
      <c r="J32" s="1434"/>
      <c r="K32" s="1433" t="s">
        <v>128</v>
      </c>
      <c r="L32" s="1434"/>
      <c r="M32" s="70"/>
      <c r="N32" s="70"/>
      <c r="O32" s="70"/>
      <c r="P32" s="70"/>
      <c r="Q32" s="27"/>
      <c r="R32" s="27"/>
      <c r="S32" s="27"/>
      <c r="T32" s="27"/>
      <c r="U32" s="27"/>
      <c r="V32" s="27"/>
      <c r="W32" s="27"/>
      <c r="X32" s="27"/>
      <c r="Y32" s="27"/>
      <c r="Z32" s="27"/>
      <c r="AA32" s="27"/>
      <c r="AB32" s="27"/>
      <c r="AC32" s="27"/>
      <c r="AD32" s="27"/>
      <c r="AE32" s="27"/>
      <c r="AF32" s="27"/>
      <c r="AG32" s="27"/>
      <c r="AH32" s="27"/>
      <c r="AI32" s="27"/>
      <c r="AK32" s="76"/>
      <c r="AL32" s="76"/>
      <c r="AM32" s="76"/>
      <c r="AN32" s="76"/>
      <c r="AO32" s="76"/>
    </row>
    <row r="33" spans="1:41" s="75" customFormat="1" ht="15" x14ac:dyDescent="0.2">
      <c r="A33" s="70"/>
      <c r="B33" s="70"/>
      <c r="C33" s="71"/>
      <c r="D33" s="77"/>
      <c r="E33" s="77"/>
      <c r="F33" s="27"/>
      <c r="G33" s="28">
        <v>991</v>
      </c>
      <c r="H33" s="28">
        <v>992</v>
      </c>
      <c r="I33" s="28">
        <v>991</v>
      </c>
      <c r="J33" s="28">
        <v>992</v>
      </c>
      <c r="K33" s="28">
        <v>991</v>
      </c>
      <c r="L33" s="28">
        <v>992</v>
      </c>
      <c r="M33" s="79"/>
      <c r="N33" s="79"/>
      <c r="O33" s="79"/>
      <c r="P33" s="79"/>
      <c r="Q33" s="27"/>
      <c r="R33" s="27"/>
      <c r="S33" s="27"/>
      <c r="T33" s="27"/>
      <c r="U33" s="27"/>
      <c r="V33" s="27"/>
      <c r="W33" s="27"/>
      <c r="X33" s="27"/>
      <c r="Y33" s="27"/>
      <c r="Z33" s="27"/>
      <c r="AA33" s="27"/>
      <c r="AB33" s="27"/>
      <c r="AC33" s="27"/>
      <c r="AD33" s="27"/>
      <c r="AE33" s="27"/>
      <c r="AF33" s="27"/>
      <c r="AG33" s="27"/>
      <c r="AH33" s="27"/>
      <c r="AI33" s="27"/>
      <c r="AK33" s="76"/>
      <c r="AL33" s="76"/>
      <c r="AM33" s="76"/>
      <c r="AN33" s="76"/>
      <c r="AO33" s="76"/>
    </row>
    <row r="34" spans="1:41" s="75" customFormat="1" ht="15" x14ac:dyDescent="0.2">
      <c r="A34" s="70"/>
      <c r="B34" s="70"/>
      <c r="C34" s="71"/>
      <c r="D34" s="77"/>
      <c r="E34" s="77"/>
      <c r="F34" s="27"/>
      <c r="G34" s="29">
        <v>39360.400000000001</v>
      </c>
      <c r="H34" s="29">
        <v>11661.7</v>
      </c>
      <c r="I34" s="29">
        <f>V28</f>
        <v>39360.400000000001</v>
      </c>
      <c r="J34" s="29">
        <f>W28</f>
        <v>11654.6</v>
      </c>
      <c r="K34" s="29">
        <f>G34-I34</f>
        <v>0</v>
      </c>
      <c r="L34" s="29">
        <f>H34-J34</f>
        <v>7.1</v>
      </c>
      <c r="M34" s="80"/>
      <c r="N34" s="80"/>
      <c r="O34" s="80"/>
      <c r="P34" s="80"/>
      <c r="Q34" s="27"/>
      <c r="R34" s="27"/>
      <c r="S34" s="27"/>
      <c r="T34" s="27"/>
      <c r="U34" s="27"/>
      <c r="V34" s="27"/>
      <c r="W34" s="27"/>
      <c r="X34" s="27"/>
      <c r="Y34" s="27"/>
      <c r="Z34" s="27"/>
      <c r="AA34" s="27"/>
      <c r="AB34" s="27"/>
      <c r="AC34" s="27"/>
      <c r="AD34" s="27"/>
      <c r="AE34" s="27"/>
      <c r="AF34" s="27"/>
      <c r="AG34" s="27"/>
      <c r="AH34" s="27"/>
      <c r="AI34" s="27"/>
      <c r="AK34" s="76"/>
      <c r="AL34" s="76"/>
      <c r="AM34" s="76"/>
      <c r="AN34" s="76"/>
      <c r="AO34" s="76"/>
    </row>
    <row r="35" spans="1:41" s="75" customFormat="1" ht="15" x14ac:dyDescent="0.2">
      <c r="A35" s="70"/>
      <c r="B35" s="70"/>
      <c r="C35" s="71"/>
      <c r="D35" s="77"/>
      <c r="E35" s="77"/>
      <c r="F35" s="27"/>
      <c r="G35" s="27"/>
      <c r="H35" s="73"/>
      <c r="I35" s="73"/>
      <c r="J35" s="27"/>
      <c r="K35" s="27"/>
      <c r="L35" s="27"/>
      <c r="M35" s="27"/>
      <c r="N35" s="74"/>
      <c r="O35" s="27"/>
      <c r="P35" s="27"/>
      <c r="Q35" s="27"/>
      <c r="R35" s="27"/>
      <c r="S35" s="27"/>
      <c r="T35" s="27"/>
      <c r="U35" s="27"/>
      <c r="V35" s="27"/>
      <c r="W35" s="27"/>
      <c r="X35" s="27"/>
      <c r="Y35" s="27"/>
      <c r="Z35" s="27"/>
      <c r="AA35" s="27"/>
      <c r="AB35" s="27"/>
      <c r="AC35" s="27"/>
      <c r="AD35" s="27"/>
      <c r="AE35" s="27"/>
      <c r="AF35" s="27"/>
      <c r="AG35" s="27"/>
      <c r="AH35" s="27"/>
      <c r="AI35" s="27"/>
      <c r="AK35" s="76"/>
      <c r="AL35" s="76"/>
      <c r="AM35" s="76"/>
      <c r="AN35" s="76"/>
      <c r="AO35" s="76"/>
    </row>
    <row r="36" spans="1:41" s="75" customFormat="1" ht="15" x14ac:dyDescent="0.2">
      <c r="A36" s="70"/>
      <c r="B36" s="70"/>
      <c r="C36" s="71"/>
      <c r="D36" s="77"/>
      <c r="E36" s="77"/>
      <c r="F36" s="27"/>
      <c r="G36" s="27"/>
      <c r="H36" s="73"/>
      <c r="I36" s="73"/>
      <c r="J36" s="27"/>
      <c r="K36" s="27"/>
      <c r="L36" s="27"/>
      <c r="M36" s="27"/>
      <c r="N36" s="74"/>
      <c r="O36" s="27"/>
      <c r="P36" s="27"/>
      <c r="Q36" s="27"/>
      <c r="R36" s="27"/>
      <c r="S36" s="27"/>
      <c r="T36" s="27"/>
      <c r="U36" s="27"/>
      <c r="V36" s="27"/>
      <c r="W36" s="27"/>
      <c r="X36" s="27"/>
      <c r="Y36" s="27"/>
      <c r="Z36" s="27"/>
      <c r="AA36" s="27"/>
      <c r="AB36" s="27"/>
      <c r="AC36" s="27"/>
      <c r="AD36" s="27"/>
      <c r="AE36" s="27"/>
      <c r="AF36" s="27"/>
      <c r="AG36" s="27"/>
      <c r="AH36" s="27"/>
      <c r="AI36" s="27"/>
      <c r="AK36" s="76"/>
      <c r="AL36" s="76"/>
      <c r="AM36" s="76"/>
      <c r="AN36" s="76"/>
      <c r="AO36" s="76"/>
    </row>
    <row r="37" spans="1:41" s="35" customFormat="1" ht="20.25" x14ac:dyDescent="0.2">
      <c r="A37" s="81"/>
      <c r="B37" s="82" t="s">
        <v>138</v>
      </c>
      <c r="C37" s="83"/>
      <c r="D37" s="84"/>
      <c r="E37" s="84"/>
      <c r="F37" s="85"/>
      <c r="G37" s="85"/>
      <c r="H37" s="86"/>
      <c r="I37" s="86"/>
      <c r="J37" s="85"/>
      <c r="K37" s="30" t="s">
        <v>166</v>
      </c>
      <c r="L37" s="85"/>
      <c r="M37" s="85"/>
      <c r="N37" s="87"/>
      <c r="O37" s="85"/>
      <c r="P37" s="85"/>
      <c r="Q37" s="85"/>
      <c r="R37" s="85"/>
      <c r="S37" s="85"/>
      <c r="T37" s="85"/>
      <c r="U37" s="85"/>
      <c r="V37" s="85"/>
      <c r="W37" s="85"/>
      <c r="X37" s="85"/>
      <c r="Y37" s="85"/>
      <c r="Z37" s="85"/>
      <c r="AA37" s="85"/>
      <c r="AB37" s="85"/>
      <c r="AC37" s="85"/>
      <c r="AD37" s="85"/>
      <c r="AE37" s="85"/>
      <c r="AF37" s="85"/>
      <c r="AG37" s="85"/>
      <c r="AH37" s="85"/>
      <c r="AI37" s="85"/>
      <c r="AK37" s="88"/>
      <c r="AL37" s="88"/>
      <c r="AM37" s="88"/>
      <c r="AN37" s="88"/>
      <c r="AO37" s="88"/>
    </row>
    <row r="38" spans="1:41" s="75" customFormat="1" ht="15" x14ac:dyDescent="0.2">
      <c r="A38" s="70"/>
      <c r="B38" s="70"/>
      <c r="C38" s="71"/>
      <c r="D38" s="77"/>
      <c r="E38" s="77"/>
      <c r="F38" s="27"/>
      <c r="G38" s="27"/>
      <c r="H38" s="73"/>
      <c r="I38" s="73"/>
      <c r="J38" s="27"/>
      <c r="K38" s="27"/>
      <c r="L38" s="27"/>
      <c r="M38" s="27"/>
      <c r="N38" s="74"/>
      <c r="O38" s="27"/>
      <c r="P38" s="27"/>
      <c r="Q38" s="27"/>
      <c r="R38" s="27"/>
      <c r="S38" s="27"/>
      <c r="T38" s="27"/>
      <c r="U38" s="27"/>
      <c r="V38" s="27"/>
      <c r="W38" s="27"/>
      <c r="X38" s="27"/>
      <c r="Y38" s="27"/>
      <c r="Z38" s="27"/>
      <c r="AA38" s="27"/>
      <c r="AB38" s="27"/>
      <c r="AC38" s="27"/>
      <c r="AD38" s="27"/>
      <c r="AE38" s="27"/>
      <c r="AF38" s="27"/>
      <c r="AG38" s="27"/>
      <c r="AH38" s="27"/>
      <c r="AI38" s="27"/>
      <c r="AK38" s="76"/>
      <c r="AL38" s="76"/>
      <c r="AM38" s="76"/>
      <c r="AN38" s="76"/>
      <c r="AO38" s="76"/>
    </row>
    <row r="39" spans="1:41" s="75" customFormat="1" ht="20.25" customHeight="1" x14ac:dyDescent="0.2">
      <c r="A39" s="89" t="s">
        <v>96</v>
      </c>
      <c r="B39" s="89"/>
      <c r="C39" s="31"/>
      <c r="D39" s="31"/>
      <c r="E39" s="31"/>
      <c r="F39" s="31"/>
      <c r="G39" s="31"/>
      <c r="H39" s="31"/>
      <c r="I39" s="31"/>
      <c r="J39" s="31"/>
      <c r="K39" s="31"/>
      <c r="L39" s="90"/>
      <c r="M39" s="90"/>
      <c r="N39" s="91"/>
      <c r="O39" s="90"/>
      <c r="P39" s="90"/>
      <c r="Q39" s="90"/>
      <c r="R39" s="90"/>
      <c r="S39" s="90"/>
      <c r="T39" s="90"/>
      <c r="U39" s="90"/>
      <c r="V39" s="90"/>
      <c r="W39" s="90"/>
      <c r="X39" s="90"/>
      <c r="Y39" s="90"/>
      <c r="Z39" s="90"/>
      <c r="AA39" s="90"/>
      <c r="AB39" s="90"/>
      <c r="AC39" s="90"/>
      <c r="AD39" s="90"/>
      <c r="AE39" s="90"/>
      <c r="AF39" s="90"/>
      <c r="AG39" s="90"/>
      <c r="AH39" s="90"/>
      <c r="AI39" s="90"/>
      <c r="AK39" s="76"/>
      <c r="AL39" s="76"/>
      <c r="AM39" s="76"/>
      <c r="AN39" s="76"/>
      <c r="AO39" s="76"/>
    </row>
    <row r="40" spans="1:41" s="75" customFormat="1" ht="20.25" customHeight="1" x14ac:dyDescent="0.2">
      <c r="A40" s="89" t="s">
        <v>139</v>
      </c>
      <c r="B40" s="92"/>
      <c r="C40" s="93"/>
      <c r="D40" s="93"/>
      <c r="E40" s="32"/>
      <c r="F40" s="32"/>
      <c r="G40" s="32"/>
      <c r="H40" s="32"/>
      <c r="I40" s="32"/>
      <c r="J40" s="32"/>
      <c r="K40" s="32"/>
      <c r="L40" s="90"/>
      <c r="M40" s="90"/>
      <c r="N40" s="90"/>
      <c r="O40" s="90"/>
      <c r="P40" s="90"/>
      <c r="Q40" s="90"/>
      <c r="R40" s="90"/>
      <c r="S40" s="90"/>
      <c r="T40" s="90"/>
      <c r="U40" s="90"/>
      <c r="V40" s="90"/>
      <c r="W40" s="90"/>
      <c r="X40" s="90"/>
      <c r="Y40" s="90"/>
      <c r="Z40" s="90"/>
      <c r="AA40" s="90"/>
      <c r="AB40" s="90"/>
      <c r="AC40" s="90"/>
      <c r="AD40" s="90"/>
      <c r="AE40" s="90"/>
      <c r="AF40" s="90"/>
      <c r="AG40" s="90"/>
      <c r="AH40" s="90"/>
      <c r="AI40" s="90"/>
      <c r="AK40" s="76"/>
      <c r="AL40" s="76"/>
      <c r="AM40" s="76"/>
      <c r="AN40" s="76"/>
      <c r="AO40" s="76"/>
    </row>
    <row r="41" spans="1:41" ht="15.75" x14ac:dyDescent="0.2">
      <c r="A41" s="1437"/>
      <c r="B41" s="1437"/>
      <c r="C41" s="1437"/>
    </row>
    <row r="43" spans="1:41" x14ac:dyDescent="0.2">
      <c r="E43" s="51"/>
    </row>
    <row r="44" spans="1:41" x14ac:dyDescent="0.2">
      <c r="E44" s="51"/>
    </row>
    <row r="45" spans="1:41" x14ac:dyDescent="0.2">
      <c r="E45" s="51"/>
    </row>
    <row r="46" spans="1:41" x14ac:dyDescent="0.2">
      <c r="E46" s="51"/>
    </row>
    <row r="47" spans="1:41" x14ac:dyDescent="0.2">
      <c r="E47" s="51"/>
    </row>
    <row r="48" spans="1:41" x14ac:dyDescent="0.2">
      <c r="E48" s="51"/>
    </row>
    <row r="49" spans="5:5" x14ac:dyDescent="0.2">
      <c r="E49" s="51"/>
    </row>
    <row r="50" spans="5:5" x14ac:dyDescent="0.2">
      <c r="E50" s="51"/>
    </row>
    <row r="51" spans="5:5" x14ac:dyDescent="0.2">
      <c r="E51" s="51"/>
    </row>
    <row r="52" spans="5:5" x14ac:dyDescent="0.2">
      <c r="E52" s="51"/>
    </row>
    <row r="53" spans="5:5" x14ac:dyDescent="0.2">
      <c r="E53" s="51"/>
    </row>
    <row r="54" spans="5:5" x14ac:dyDescent="0.2">
      <c r="E54" s="51"/>
    </row>
    <row r="55" spans="5:5" x14ac:dyDescent="0.2">
      <c r="E55" s="51"/>
    </row>
    <row r="56" spans="5:5" x14ac:dyDescent="0.2">
      <c r="E56" s="51"/>
    </row>
    <row r="57" spans="5:5" x14ac:dyDescent="0.2">
      <c r="E57" s="51"/>
    </row>
    <row r="58" spans="5:5" x14ac:dyDescent="0.2">
      <c r="E58" s="51"/>
    </row>
    <row r="59" spans="5:5" x14ac:dyDescent="0.2">
      <c r="E59" s="51"/>
    </row>
    <row r="60" spans="5:5" x14ac:dyDescent="0.2">
      <c r="E60" s="51"/>
    </row>
    <row r="61" spans="5:5" x14ac:dyDescent="0.2">
      <c r="E61" s="51"/>
    </row>
    <row r="62" spans="5:5" x14ac:dyDescent="0.2">
      <c r="E62" s="51"/>
    </row>
    <row r="63" spans="5:5" x14ac:dyDescent="0.2">
      <c r="E63" s="51"/>
    </row>
    <row r="64" spans="5:5" x14ac:dyDescent="0.2">
      <c r="E64" s="51"/>
    </row>
    <row r="65" spans="5:5" x14ac:dyDescent="0.2">
      <c r="E65" s="51"/>
    </row>
    <row r="66" spans="5:5" x14ac:dyDescent="0.2">
      <c r="E66" s="51"/>
    </row>
    <row r="67" spans="5:5" x14ac:dyDescent="0.2">
      <c r="E67" s="51"/>
    </row>
    <row r="68" spans="5:5" x14ac:dyDescent="0.2">
      <c r="E68" s="51"/>
    </row>
    <row r="69" spans="5:5" x14ac:dyDescent="0.2">
      <c r="E69" s="51"/>
    </row>
    <row r="70" spans="5:5" x14ac:dyDescent="0.2">
      <c r="E70" s="51"/>
    </row>
    <row r="71" spans="5:5" x14ac:dyDescent="0.2">
      <c r="E71" s="51"/>
    </row>
    <row r="72" spans="5:5" x14ac:dyDescent="0.2">
      <c r="E72" s="51"/>
    </row>
    <row r="73" spans="5:5" x14ac:dyDescent="0.2">
      <c r="E73" s="51"/>
    </row>
    <row r="74" spans="5:5" x14ac:dyDescent="0.2">
      <c r="E74" s="51"/>
    </row>
  </sheetData>
  <autoFilter ref="A8:AP30"/>
  <mergeCells count="38">
    <mergeCell ref="A28:B28"/>
    <mergeCell ref="T6:T7"/>
    <mergeCell ref="X5:AH5"/>
    <mergeCell ref="A41:C41"/>
    <mergeCell ref="G32:H32"/>
    <mergeCell ref="AA6:AC6"/>
    <mergeCell ref="R6:R7"/>
    <mergeCell ref="F6:F7"/>
    <mergeCell ref="G6:G7"/>
    <mergeCell ref="H6:H7"/>
    <mergeCell ref="I6:I7"/>
    <mergeCell ref="J6:J7"/>
    <mergeCell ref="L6:L7"/>
    <mergeCell ref="M6:M7"/>
    <mergeCell ref="N6:O6"/>
    <mergeCell ref="X6:Z6"/>
    <mergeCell ref="V6:V7"/>
    <mergeCell ref="P6:P7"/>
    <mergeCell ref="Q6:Q7"/>
    <mergeCell ref="I32:J32"/>
    <mergeCell ref="K32:L32"/>
    <mergeCell ref="K6:K7"/>
    <mergeCell ref="W6:W7"/>
    <mergeCell ref="U9:U27"/>
    <mergeCell ref="S6:S7"/>
    <mergeCell ref="U6:U7"/>
    <mergeCell ref="AE1:AH1"/>
    <mergeCell ref="A2:AH2"/>
    <mergeCell ref="A3:AH3"/>
    <mergeCell ref="A5:A7"/>
    <mergeCell ref="B5:B7"/>
    <mergeCell ref="C5:C7"/>
    <mergeCell ref="D5:W5"/>
    <mergeCell ref="D6:D7"/>
    <mergeCell ref="E6:E7"/>
    <mergeCell ref="AD6:AF6"/>
    <mergeCell ref="AG6:AG7"/>
    <mergeCell ref="AH6:AH7"/>
  </mergeCells>
  <printOptions horizontalCentered="1"/>
  <pageMargins left="0.25" right="0.25" top="0.75" bottom="0.75" header="0.3" footer="0.3"/>
  <pageSetup paperSize="9" scale="33" orientation="landscape"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AS43"/>
  <sheetViews>
    <sheetView view="pageBreakPreview" zoomScale="80" zoomScaleSheetLayoutView="80" workbookViewId="0">
      <pane xSplit="3" ySplit="8" topLeftCell="U9"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2.75" x14ac:dyDescent="0.2"/>
  <cols>
    <col min="1" max="1" width="12.83203125" style="98" customWidth="1"/>
    <col min="2" max="2" width="30.83203125" style="99" customWidth="1"/>
    <col min="3" max="3" width="13.83203125" style="99" customWidth="1"/>
    <col min="4" max="4" width="11.5" style="99" customWidth="1"/>
    <col min="5" max="5" width="13" style="99" customWidth="1"/>
    <col min="6" max="6" width="14.6640625" style="99" customWidth="1"/>
    <col min="7" max="8" width="13.1640625" style="99" customWidth="1"/>
    <col min="9" max="9" width="11.6640625" style="99" customWidth="1"/>
    <col min="10" max="10" width="16.83203125" style="99" customWidth="1"/>
    <col min="11" max="11" width="12" style="99" customWidth="1"/>
    <col min="12" max="17" width="11.5" style="100" customWidth="1"/>
    <col min="18" max="18" width="14.1640625" style="99" customWidth="1"/>
    <col min="19" max="19" width="15.5" style="99" customWidth="1"/>
    <col min="20" max="20" width="12.33203125" style="99" customWidth="1"/>
    <col min="21" max="21" width="11.6640625" style="99" customWidth="1"/>
    <col min="22" max="23" width="12" style="99" customWidth="1"/>
    <col min="24" max="24" width="12.6640625" style="99" customWidth="1"/>
    <col min="25" max="25" width="12" style="99" customWidth="1"/>
    <col min="26" max="26" width="9.6640625" style="99" customWidth="1"/>
    <col min="27" max="31" width="8.5" style="99" customWidth="1"/>
    <col min="32" max="32" width="9.6640625" style="99" customWidth="1"/>
    <col min="33" max="33" width="9.33203125" style="99" customWidth="1"/>
    <col min="34" max="34" width="12" style="99" customWidth="1"/>
    <col min="35" max="36" width="11.1640625" style="99" customWidth="1"/>
    <col min="37" max="37" width="12.6640625" style="99" customWidth="1"/>
    <col min="38" max="38" width="11.83203125" style="99" hidden="1" customWidth="1"/>
    <col min="39" max="39" width="13" style="99" hidden="1" customWidth="1"/>
    <col min="40" max="42" width="9.33203125" style="22"/>
    <col min="43" max="43" width="11.33203125" style="22" bestFit="1" customWidth="1"/>
    <col min="44" max="16384" width="9.33203125" style="99"/>
  </cols>
  <sheetData>
    <row r="1" spans="1:45" ht="21" customHeight="1" x14ac:dyDescent="0.2">
      <c r="AE1" s="1439"/>
      <c r="AF1" s="1439"/>
      <c r="AG1" s="1439"/>
      <c r="AH1" s="1439"/>
    </row>
    <row r="2" spans="1:45" ht="24" customHeight="1" x14ac:dyDescent="0.2">
      <c r="A2" s="1440" t="s">
        <v>156</v>
      </c>
      <c r="B2" s="1440"/>
      <c r="C2" s="1440"/>
      <c r="D2" s="1440"/>
      <c r="E2" s="1440"/>
      <c r="F2" s="1440"/>
      <c r="G2" s="1440"/>
      <c r="H2" s="1440"/>
      <c r="I2" s="1440"/>
      <c r="J2" s="1440"/>
      <c r="K2" s="1440"/>
      <c r="L2" s="1440"/>
      <c r="M2" s="1440"/>
      <c r="N2" s="1440"/>
      <c r="O2" s="1440"/>
      <c r="P2" s="1440"/>
      <c r="Q2" s="1440"/>
      <c r="R2" s="1440"/>
      <c r="S2" s="1440"/>
      <c r="T2" s="1440"/>
      <c r="U2" s="1440"/>
      <c r="V2" s="1440"/>
      <c r="W2" s="1440"/>
      <c r="X2" s="1440"/>
      <c r="Y2" s="1440"/>
      <c r="Z2" s="1440"/>
      <c r="AA2" s="1440"/>
      <c r="AB2" s="1440"/>
      <c r="AC2" s="1440"/>
      <c r="AD2" s="1440"/>
      <c r="AE2" s="1440"/>
      <c r="AF2" s="1440"/>
      <c r="AG2" s="1440"/>
      <c r="AH2" s="1440"/>
    </row>
    <row r="3" spans="1:45" ht="24.75" customHeight="1" x14ac:dyDescent="0.2">
      <c r="A3" s="1441"/>
      <c r="B3" s="1441"/>
      <c r="C3" s="1441"/>
      <c r="D3" s="1441"/>
      <c r="E3" s="1441"/>
      <c r="F3" s="1441"/>
      <c r="G3" s="1441"/>
      <c r="H3" s="1441"/>
      <c r="I3" s="1441"/>
      <c r="J3" s="1441"/>
      <c r="K3" s="1441"/>
      <c r="L3" s="1441"/>
      <c r="M3" s="1441"/>
      <c r="N3" s="1441"/>
      <c r="O3" s="1441"/>
      <c r="P3" s="1441"/>
      <c r="Q3" s="1441"/>
      <c r="R3" s="1441"/>
      <c r="S3" s="1441"/>
      <c r="T3" s="1441"/>
      <c r="U3" s="1441"/>
      <c r="V3" s="1441"/>
      <c r="W3" s="1441"/>
      <c r="X3" s="1441"/>
      <c r="Y3" s="1441"/>
      <c r="Z3" s="1441"/>
      <c r="AA3" s="1441"/>
      <c r="AB3" s="1441"/>
      <c r="AC3" s="1441"/>
      <c r="AD3" s="1441"/>
      <c r="AE3" s="1441"/>
      <c r="AF3" s="1441"/>
      <c r="AG3" s="1441"/>
      <c r="AH3" s="1441"/>
    </row>
    <row r="4" spans="1:45" x14ac:dyDescent="0.2">
      <c r="L4" s="102">
        <v>3.8399999999999997E-2</v>
      </c>
    </row>
    <row r="5" spans="1:45" ht="38.25" customHeight="1" x14ac:dyDescent="0.2">
      <c r="A5" s="1442" t="s">
        <v>78</v>
      </c>
      <c r="B5" s="1442" t="s">
        <v>77</v>
      </c>
      <c r="C5" s="1443" t="s">
        <v>0</v>
      </c>
      <c r="D5" s="1443" t="s">
        <v>3</v>
      </c>
      <c r="E5" s="1443"/>
      <c r="F5" s="1443"/>
      <c r="G5" s="1443"/>
      <c r="H5" s="1443"/>
      <c r="I5" s="1443"/>
      <c r="J5" s="1443"/>
      <c r="K5" s="1443"/>
      <c r="L5" s="1443"/>
      <c r="M5" s="1443"/>
      <c r="N5" s="1443"/>
      <c r="O5" s="1443"/>
      <c r="P5" s="1443"/>
      <c r="Q5" s="1443"/>
      <c r="R5" s="1443"/>
      <c r="S5" s="1443"/>
      <c r="T5" s="1443"/>
      <c r="U5" s="1443"/>
      <c r="V5" s="1443"/>
      <c r="W5" s="1443"/>
      <c r="X5" s="1443" t="s">
        <v>4</v>
      </c>
      <c r="Y5" s="1443"/>
      <c r="Z5" s="1443"/>
      <c r="AA5" s="1443"/>
      <c r="AB5" s="1443"/>
      <c r="AC5" s="1443"/>
      <c r="AD5" s="1443"/>
      <c r="AE5" s="1443"/>
      <c r="AF5" s="1443"/>
      <c r="AG5" s="1443"/>
      <c r="AH5" s="1443"/>
    </row>
    <row r="6" spans="1:45" ht="60" customHeight="1" x14ac:dyDescent="0.2">
      <c r="A6" s="1442"/>
      <c r="B6" s="1442"/>
      <c r="C6" s="1443"/>
      <c r="D6" s="1444" t="s">
        <v>79</v>
      </c>
      <c r="E6" s="1444" t="s">
        <v>69</v>
      </c>
      <c r="F6" s="1444" t="s">
        <v>89</v>
      </c>
      <c r="G6" s="1444" t="s">
        <v>1</v>
      </c>
      <c r="H6" s="1444" t="s">
        <v>2</v>
      </c>
      <c r="I6" s="1444" t="s">
        <v>70</v>
      </c>
      <c r="J6" s="1444" t="s">
        <v>61</v>
      </c>
      <c r="K6" s="1444" t="s">
        <v>27</v>
      </c>
      <c r="L6" s="1446" t="s">
        <v>65</v>
      </c>
      <c r="M6" s="1446" t="s">
        <v>86</v>
      </c>
      <c r="N6" s="1447" t="s">
        <v>91</v>
      </c>
      <c r="O6" s="1447"/>
      <c r="P6" s="1447" t="s">
        <v>88</v>
      </c>
      <c r="Q6" s="1446" t="s">
        <v>82</v>
      </c>
      <c r="R6" s="1444" t="s">
        <v>83</v>
      </c>
      <c r="S6" s="1446" t="s">
        <v>87</v>
      </c>
      <c r="T6" s="1444" t="s">
        <v>84</v>
      </c>
      <c r="U6" s="1444" t="s">
        <v>9</v>
      </c>
      <c r="V6" s="1444" t="s">
        <v>7</v>
      </c>
      <c r="W6" s="1444" t="s">
        <v>85</v>
      </c>
      <c r="X6" s="1443" t="s">
        <v>10</v>
      </c>
      <c r="Y6" s="1443"/>
      <c r="Z6" s="1443"/>
      <c r="AA6" s="1443" t="s">
        <v>11</v>
      </c>
      <c r="AB6" s="1443"/>
      <c r="AC6" s="1443"/>
      <c r="AD6" s="1443" t="s">
        <v>12</v>
      </c>
      <c r="AE6" s="1443"/>
      <c r="AF6" s="1443"/>
      <c r="AG6" s="1443" t="s">
        <v>13</v>
      </c>
      <c r="AH6" s="1443" t="s">
        <v>73</v>
      </c>
    </row>
    <row r="7" spans="1:45" ht="97.5" customHeight="1" x14ac:dyDescent="0.2">
      <c r="A7" s="1442"/>
      <c r="B7" s="1442"/>
      <c r="C7" s="1443"/>
      <c r="D7" s="1444"/>
      <c r="E7" s="1444"/>
      <c r="F7" s="1444"/>
      <c r="G7" s="1444"/>
      <c r="H7" s="1444"/>
      <c r="I7" s="1444"/>
      <c r="J7" s="1444"/>
      <c r="K7" s="1444"/>
      <c r="L7" s="1446" t="s">
        <v>66</v>
      </c>
      <c r="M7" s="1446"/>
      <c r="N7" s="286" t="s">
        <v>80</v>
      </c>
      <c r="O7" s="286" t="s">
        <v>81</v>
      </c>
      <c r="P7" s="1447"/>
      <c r="Q7" s="1446"/>
      <c r="R7" s="1444"/>
      <c r="S7" s="1446" t="s">
        <v>67</v>
      </c>
      <c r="T7" s="1444"/>
      <c r="U7" s="1444"/>
      <c r="V7" s="1444"/>
      <c r="W7" s="1444"/>
      <c r="X7" s="285" t="s">
        <v>5</v>
      </c>
      <c r="Y7" s="285" t="s">
        <v>6</v>
      </c>
      <c r="Z7" s="285" t="s">
        <v>74</v>
      </c>
      <c r="AA7" s="285" t="s">
        <v>5</v>
      </c>
      <c r="AB7" s="285" t="s">
        <v>6</v>
      </c>
      <c r="AC7" s="285" t="s">
        <v>75</v>
      </c>
      <c r="AD7" s="285" t="s">
        <v>5</v>
      </c>
      <c r="AE7" s="285" t="s">
        <v>6</v>
      </c>
      <c r="AF7" s="285" t="s">
        <v>76</v>
      </c>
      <c r="AG7" s="1443"/>
      <c r="AH7" s="1443"/>
      <c r="AK7" s="98" t="s">
        <v>64</v>
      </c>
      <c r="AL7" s="98" t="s">
        <v>62</v>
      </c>
      <c r="AM7" s="98" t="s">
        <v>63</v>
      </c>
    </row>
    <row r="8" spans="1:45" x14ac:dyDescent="0.2">
      <c r="A8" s="284">
        <v>1</v>
      </c>
      <c r="B8" s="284">
        <v>2</v>
      </c>
      <c r="C8" s="284">
        <v>3</v>
      </c>
      <c r="D8" s="284">
        <v>4</v>
      </c>
      <c r="E8" s="284">
        <v>5</v>
      </c>
      <c r="F8" s="284">
        <v>6</v>
      </c>
      <c r="G8" s="284">
        <v>7</v>
      </c>
      <c r="H8" s="284">
        <v>8</v>
      </c>
      <c r="I8" s="284">
        <v>9</v>
      </c>
      <c r="J8" s="284">
        <v>10</v>
      </c>
      <c r="K8" s="284">
        <v>11</v>
      </c>
      <c r="L8" s="284">
        <v>12</v>
      </c>
      <c r="M8" s="284">
        <v>13</v>
      </c>
      <c r="N8" s="284">
        <v>14</v>
      </c>
      <c r="O8" s="284">
        <v>15</v>
      </c>
      <c r="P8" s="284">
        <v>16</v>
      </c>
      <c r="Q8" s="284">
        <v>17</v>
      </c>
      <c r="R8" s="284">
        <v>18</v>
      </c>
      <c r="S8" s="284">
        <v>19</v>
      </c>
      <c r="T8" s="284">
        <v>20</v>
      </c>
      <c r="U8" s="284">
        <v>21</v>
      </c>
      <c r="V8" s="284">
        <v>22</v>
      </c>
      <c r="W8" s="284">
        <v>23</v>
      </c>
      <c r="X8" s="284">
        <v>24</v>
      </c>
      <c r="Y8" s="284">
        <v>25</v>
      </c>
      <c r="Z8" s="284">
        <v>26</v>
      </c>
      <c r="AA8" s="284">
        <v>27</v>
      </c>
      <c r="AB8" s="284">
        <v>28</v>
      </c>
      <c r="AC8" s="284">
        <v>29</v>
      </c>
      <c r="AD8" s="284">
        <v>30</v>
      </c>
      <c r="AE8" s="284">
        <v>31</v>
      </c>
      <c r="AF8" s="284">
        <v>32</v>
      </c>
      <c r="AG8" s="284">
        <v>33</v>
      </c>
      <c r="AH8" s="284">
        <v>34</v>
      </c>
      <c r="AN8" s="43" t="s">
        <v>116</v>
      </c>
      <c r="AO8" s="43" t="s">
        <v>117</v>
      </c>
      <c r="AP8" s="43" t="s">
        <v>118</v>
      </c>
      <c r="AQ8" s="43" t="s">
        <v>119</v>
      </c>
    </row>
    <row r="9" spans="1:45" ht="16.5" customHeight="1" x14ac:dyDescent="0.2">
      <c r="A9" s="284">
        <v>1</v>
      </c>
      <c r="B9" s="106" t="s">
        <v>21</v>
      </c>
      <c r="C9" s="284">
        <v>1</v>
      </c>
      <c r="D9" s="107">
        <v>22.465</v>
      </c>
      <c r="E9" s="108">
        <f t="shared" ref="E9:E20" si="0">C9*D9</f>
        <v>22.47</v>
      </c>
      <c r="F9" s="109">
        <f t="shared" ref="F9:F19" si="1">E9*12</f>
        <v>269.60000000000002</v>
      </c>
      <c r="G9" s="110"/>
      <c r="H9" s="110"/>
      <c r="I9" s="110"/>
      <c r="J9" s="110"/>
      <c r="K9" s="95">
        <f>D9*0.2*5+D9*0.25*7</f>
        <v>61.8</v>
      </c>
      <c r="L9" s="95">
        <f>$L$4*F9</f>
        <v>10.4</v>
      </c>
      <c r="M9" s="95">
        <f t="shared" ref="M9:M19" si="2">F9+G9+H9+I9+J9+K9+L9</f>
        <v>341.8</v>
      </c>
      <c r="N9" s="111">
        <v>0.47</v>
      </c>
      <c r="O9" s="95">
        <f t="shared" ref="O9:O19" si="3">M9*N9</f>
        <v>160.6</v>
      </c>
      <c r="P9" s="95">
        <f t="shared" ref="P9:P19" si="4">M9+O9</f>
        <v>502.4</v>
      </c>
      <c r="Q9" s="95">
        <f t="shared" ref="Q9:Q19" si="5">P9*0.8</f>
        <v>401.9</v>
      </c>
      <c r="R9" s="95">
        <f t="shared" ref="R9:R19" si="6">P9*0.8</f>
        <v>401.9</v>
      </c>
      <c r="S9" s="95">
        <f t="shared" ref="S9:S19" si="7">(P9+Q9+R9)*0.032</f>
        <v>41.8</v>
      </c>
      <c r="T9" s="95">
        <f>P9+Q9+R9+S9</f>
        <v>1348</v>
      </c>
      <c r="U9" s="1448">
        <v>1</v>
      </c>
      <c r="V9" s="95">
        <f>T9*$U$9</f>
        <v>1348</v>
      </c>
      <c r="W9" s="95">
        <f>AQ9</f>
        <v>369.3</v>
      </c>
      <c r="X9" s="284">
        <v>1</v>
      </c>
      <c r="Y9" s="112">
        <v>30</v>
      </c>
      <c r="Z9" s="113">
        <f t="shared" ref="Z9:Z20" si="8">X9*Y9</f>
        <v>30</v>
      </c>
      <c r="AA9" s="284"/>
      <c r="AB9" s="112">
        <v>15</v>
      </c>
      <c r="AC9" s="113">
        <f t="shared" ref="AC9:AC20" si="9">AA9*AB9</f>
        <v>0</v>
      </c>
      <c r="AD9" s="284"/>
      <c r="AE9" s="112">
        <v>30</v>
      </c>
      <c r="AF9" s="113">
        <f>AD9*AE9</f>
        <v>0</v>
      </c>
      <c r="AG9" s="113">
        <f>(Z9+AC9+AF9)*1%*30</f>
        <v>9</v>
      </c>
      <c r="AH9" s="113">
        <f>Z9+AC9+AF9+AG9</f>
        <v>39</v>
      </c>
      <c r="AI9" s="114">
        <f t="shared" ref="AI9:AI19" si="10">V9/12/C9*1000</f>
        <v>112333.3</v>
      </c>
      <c r="AJ9" s="114"/>
      <c r="AK9" s="114">
        <f t="shared" ref="AK9:AK20" si="11">V9/C9</f>
        <v>1348</v>
      </c>
      <c r="AL9" s="114">
        <f>((979*0.302)+((AK9-979)*0.182))</f>
        <v>362.8</v>
      </c>
      <c r="AM9" s="115">
        <f>AL9/AK9</f>
        <v>0.26900000000000002</v>
      </c>
      <c r="AN9" s="50">
        <f>1150*0.22*C9+(V9-1150*C9)*0.1</f>
        <v>272.8</v>
      </c>
      <c r="AO9" s="116">
        <f>865*0.029</f>
        <v>25.1</v>
      </c>
      <c r="AP9" s="116">
        <f>AK9*0.053</f>
        <v>71.400000000000006</v>
      </c>
      <c r="AQ9" s="50">
        <f>SUM(AN9:AP9)</f>
        <v>369.3</v>
      </c>
      <c r="AS9" s="115"/>
    </row>
    <row r="10" spans="1:45" ht="15" x14ac:dyDescent="0.2">
      <c r="A10" s="284">
        <v>2</v>
      </c>
      <c r="B10" s="106" t="s">
        <v>125</v>
      </c>
      <c r="C10" s="284">
        <v>1</v>
      </c>
      <c r="D10" s="107">
        <v>17.972000000000001</v>
      </c>
      <c r="E10" s="108">
        <f t="shared" si="0"/>
        <v>17.97</v>
      </c>
      <c r="F10" s="109">
        <f t="shared" si="1"/>
        <v>215.6</v>
      </c>
      <c r="G10" s="110"/>
      <c r="H10" s="110"/>
      <c r="I10" s="110"/>
      <c r="J10" s="110"/>
      <c r="K10" s="95">
        <f>F10*0.3</f>
        <v>64.7</v>
      </c>
      <c r="L10" s="95">
        <f t="shared" ref="L10:L20" si="12">$L$4*F10</f>
        <v>8.3000000000000007</v>
      </c>
      <c r="M10" s="95">
        <f t="shared" si="2"/>
        <v>288.60000000000002</v>
      </c>
      <c r="N10" s="111">
        <v>0.47</v>
      </c>
      <c r="O10" s="95">
        <f t="shared" si="3"/>
        <v>135.6</v>
      </c>
      <c r="P10" s="95">
        <f t="shared" si="4"/>
        <v>424.2</v>
      </c>
      <c r="Q10" s="95">
        <f t="shared" si="5"/>
        <v>339.4</v>
      </c>
      <c r="R10" s="95">
        <f t="shared" si="6"/>
        <v>339.4</v>
      </c>
      <c r="S10" s="95">
        <f t="shared" si="7"/>
        <v>35.299999999999997</v>
      </c>
      <c r="T10" s="95">
        <f t="shared" ref="T10:T19" si="13">P10+Q10+R10+S10</f>
        <v>1138.3</v>
      </c>
      <c r="U10" s="1449"/>
      <c r="V10" s="95">
        <f>T10*$U$9</f>
        <v>1138.3</v>
      </c>
      <c r="W10" s="95">
        <f>AQ10</f>
        <v>337.2</v>
      </c>
      <c r="X10" s="284"/>
      <c r="Y10" s="112">
        <v>30</v>
      </c>
      <c r="Z10" s="113">
        <f t="shared" si="8"/>
        <v>0</v>
      </c>
      <c r="AA10" s="284"/>
      <c r="AB10" s="112">
        <v>15</v>
      </c>
      <c r="AC10" s="113">
        <f t="shared" si="9"/>
        <v>0</v>
      </c>
      <c r="AD10" s="284"/>
      <c r="AE10" s="112">
        <v>30</v>
      </c>
      <c r="AF10" s="113">
        <f t="shared" ref="AF10:AF20" si="14">AD10*AE10</f>
        <v>0</v>
      </c>
      <c r="AG10" s="113">
        <f t="shared" ref="AG10:AG20" si="15">(Z10+AC10+AF10)*1%*30</f>
        <v>0</v>
      </c>
      <c r="AH10" s="113">
        <f t="shared" ref="AH10:AH20" si="16">Z10+AC10+AF10+AG10</f>
        <v>0</v>
      </c>
      <c r="AI10" s="114">
        <f t="shared" si="10"/>
        <v>94858.3</v>
      </c>
      <c r="AJ10" s="114"/>
      <c r="AK10" s="114">
        <f t="shared" si="11"/>
        <v>1138.3</v>
      </c>
      <c r="AL10" s="114">
        <f t="shared" ref="AL10:AL20" si="17">((979*0.302)+((AK10-979)*0.182))</f>
        <v>324.7</v>
      </c>
      <c r="AM10" s="115">
        <f>AL10/AK10</f>
        <v>0.28499999999999998</v>
      </c>
      <c r="AN10" s="50">
        <f>1150*0.22*C10+(V10-1150*C10)*0.1</f>
        <v>251.8</v>
      </c>
      <c r="AO10" s="116">
        <f>865*0.029</f>
        <v>25.1</v>
      </c>
      <c r="AP10" s="116">
        <f>AK10*0.053</f>
        <v>60.3</v>
      </c>
      <c r="AQ10" s="50">
        <f>SUM(AN10:AP10)</f>
        <v>337.2</v>
      </c>
      <c r="AS10" s="115"/>
    </row>
    <row r="11" spans="1:45" ht="15" x14ac:dyDescent="0.2">
      <c r="A11" s="284">
        <v>3</v>
      </c>
      <c r="B11" s="117" t="s">
        <v>29</v>
      </c>
      <c r="C11" s="118">
        <v>1</v>
      </c>
      <c r="D11" s="107">
        <v>8.4730000000000008</v>
      </c>
      <c r="E11" s="119">
        <f t="shared" si="0"/>
        <v>8.4700000000000006</v>
      </c>
      <c r="F11" s="110">
        <f t="shared" si="1"/>
        <v>101.6</v>
      </c>
      <c r="G11" s="110"/>
      <c r="H11" s="110"/>
      <c r="I11" s="110"/>
      <c r="J11" s="110"/>
      <c r="K11" s="95"/>
      <c r="L11" s="95">
        <f t="shared" si="12"/>
        <v>3.9</v>
      </c>
      <c r="M11" s="95">
        <f t="shared" si="2"/>
        <v>105.5</v>
      </c>
      <c r="N11" s="111">
        <v>0.41</v>
      </c>
      <c r="O11" s="95">
        <f t="shared" si="3"/>
        <v>43.3</v>
      </c>
      <c r="P11" s="95">
        <f t="shared" si="4"/>
        <v>148.80000000000001</v>
      </c>
      <c r="Q11" s="95">
        <f t="shared" si="5"/>
        <v>119</v>
      </c>
      <c r="R11" s="95">
        <f t="shared" si="6"/>
        <v>119</v>
      </c>
      <c r="S11" s="95">
        <f t="shared" si="7"/>
        <v>12.4</v>
      </c>
      <c r="T11" s="95">
        <f t="shared" si="13"/>
        <v>399.2</v>
      </c>
      <c r="U11" s="1449"/>
      <c r="V11" s="95">
        <f t="shared" ref="V11:V19" si="18">T11*$U$9</f>
        <v>399.2</v>
      </c>
      <c r="W11" s="95">
        <f t="shared" ref="W11:W20" si="19">V11*0.302</f>
        <v>120.6</v>
      </c>
      <c r="X11" s="120"/>
      <c r="Y11" s="112">
        <v>30</v>
      </c>
      <c r="Z11" s="113">
        <f t="shared" si="8"/>
        <v>0</v>
      </c>
      <c r="AA11" s="120"/>
      <c r="AB11" s="112">
        <v>15</v>
      </c>
      <c r="AC11" s="113">
        <f t="shared" si="9"/>
        <v>0</v>
      </c>
      <c r="AD11" s="120"/>
      <c r="AE11" s="112">
        <v>30</v>
      </c>
      <c r="AF11" s="113">
        <f t="shared" si="14"/>
        <v>0</v>
      </c>
      <c r="AG11" s="113">
        <f t="shared" si="15"/>
        <v>0</v>
      </c>
      <c r="AH11" s="113">
        <f t="shared" si="16"/>
        <v>0</v>
      </c>
      <c r="AI11" s="114">
        <f t="shared" si="10"/>
        <v>33266.699999999997</v>
      </c>
      <c r="AJ11" s="114"/>
      <c r="AK11" s="114">
        <f t="shared" si="11"/>
        <v>399.2</v>
      </c>
      <c r="AL11" s="114">
        <f t="shared" si="17"/>
        <v>190.1</v>
      </c>
      <c r="AM11" s="115">
        <v>0.30199999999999999</v>
      </c>
      <c r="AN11" s="116"/>
      <c r="AO11" s="116"/>
      <c r="AP11" s="116"/>
      <c r="AQ11" s="116"/>
      <c r="AS11" s="115"/>
    </row>
    <row r="12" spans="1:45" s="126" customFormat="1" ht="25.5" x14ac:dyDescent="0.2">
      <c r="A12" s="284">
        <v>4</v>
      </c>
      <c r="B12" s="121" t="s">
        <v>31</v>
      </c>
      <c r="C12" s="122">
        <v>1</v>
      </c>
      <c r="D12" s="107">
        <v>11.061999999999999</v>
      </c>
      <c r="E12" s="123">
        <f t="shared" si="0"/>
        <v>11.06</v>
      </c>
      <c r="F12" s="124">
        <f t="shared" si="1"/>
        <v>132.69999999999999</v>
      </c>
      <c r="G12" s="124"/>
      <c r="H12" s="124"/>
      <c r="I12" s="124"/>
      <c r="J12" s="125"/>
      <c r="K12" s="96"/>
      <c r="L12" s="95">
        <f t="shared" si="12"/>
        <v>5.0999999999999996</v>
      </c>
      <c r="M12" s="96">
        <f t="shared" si="2"/>
        <v>137.80000000000001</v>
      </c>
      <c r="N12" s="111">
        <v>0.47</v>
      </c>
      <c r="O12" s="96">
        <f t="shared" si="3"/>
        <v>64.8</v>
      </c>
      <c r="P12" s="96">
        <f t="shared" si="4"/>
        <v>202.6</v>
      </c>
      <c r="Q12" s="96">
        <f t="shared" si="5"/>
        <v>162.1</v>
      </c>
      <c r="R12" s="96">
        <f t="shared" si="6"/>
        <v>162.1</v>
      </c>
      <c r="S12" s="96">
        <f t="shared" si="7"/>
        <v>16.899999999999999</v>
      </c>
      <c r="T12" s="96">
        <f t="shared" si="13"/>
        <v>543.70000000000005</v>
      </c>
      <c r="U12" s="1449"/>
      <c r="V12" s="96">
        <f t="shared" si="18"/>
        <v>543.70000000000005</v>
      </c>
      <c r="W12" s="95">
        <f t="shared" si="19"/>
        <v>164.2</v>
      </c>
      <c r="X12" s="122">
        <v>1</v>
      </c>
      <c r="Y12" s="112">
        <v>30</v>
      </c>
      <c r="Z12" s="113">
        <f t="shared" si="8"/>
        <v>30</v>
      </c>
      <c r="AA12" s="122"/>
      <c r="AB12" s="112">
        <v>15</v>
      </c>
      <c r="AC12" s="113">
        <f t="shared" si="9"/>
        <v>0</v>
      </c>
      <c r="AD12" s="122"/>
      <c r="AE12" s="112">
        <v>30</v>
      </c>
      <c r="AF12" s="113">
        <f t="shared" si="14"/>
        <v>0</v>
      </c>
      <c r="AG12" s="113">
        <f t="shared" si="15"/>
        <v>9</v>
      </c>
      <c r="AH12" s="113">
        <f t="shared" si="16"/>
        <v>39</v>
      </c>
      <c r="AI12" s="114">
        <f t="shared" si="10"/>
        <v>45308.3</v>
      </c>
      <c r="AJ12" s="114"/>
      <c r="AK12" s="114">
        <f t="shared" si="11"/>
        <v>543.70000000000005</v>
      </c>
      <c r="AL12" s="114">
        <f t="shared" si="17"/>
        <v>216.4</v>
      </c>
      <c r="AM12" s="115">
        <v>0.30199999999999999</v>
      </c>
      <c r="AN12" s="22"/>
      <c r="AO12" s="116"/>
      <c r="AP12" s="116"/>
      <c r="AQ12" s="116"/>
      <c r="AS12" s="115"/>
    </row>
    <row r="13" spans="1:45" ht="25.5" x14ac:dyDescent="0.2">
      <c r="A13" s="284">
        <v>5</v>
      </c>
      <c r="B13" s="117" t="s">
        <v>108</v>
      </c>
      <c r="C13" s="127">
        <v>2</v>
      </c>
      <c r="D13" s="107">
        <v>8.4730000000000008</v>
      </c>
      <c r="E13" s="119">
        <f t="shared" si="0"/>
        <v>16.95</v>
      </c>
      <c r="F13" s="110">
        <f t="shared" si="1"/>
        <v>203.4</v>
      </c>
      <c r="G13" s="110"/>
      <c r="H13" s="110"/>
      <c r="I13" s="110"/>
      <c r="J13" s="110"/>
      <c r="K13" s="95">
        <f>F13*0.25</f>
        <v>50.9</v>
      </c>
      <c r="L13" s="95">
        <f t="shared" si="12"/>
        <v>7.8</v>
      </c>
      <c r="M13" s="95">
        <f t="shared" si="2"/>
        <v>262.10000000000002</v>
      </c>
      <c r="N13" s="111">
        <v>0.47</v>
      </c>
      <c r="O13" s="95">
        <f t="shared" si="3"/>
        <v>123.2</v>
      </c>
      <c r="P13" s="95">
        <f t="shared" si="4"/>
        <v>385.3</v>
      </c>
      <c r="Q13" s="95">
        <f t="shared" si="5"/>
        <v>308.2</v>
      </c>
      <c r="R13" s="95">
        <f t="shared" si="6"/>
        <v>308.2</v>
      </c>
      <c r="S13" s="95">
        <f t="shared" si="7"/>
        <v>32.1</v>
      </c>
      <c r="T13" s="95">
        <f t="shared" si="13"/>
        <v>1033.8</v>
      </c>
      <c r="U13" s="1449"/>
      <c r="V13" s="95">
        <f>T13*$U$9</f>
        <v>1033.8</v>
      </c>
      <c r="W13" s="95">
        <f t="shared" si="19"/>
        <v>312.2</v>
      </c>
      <c r="X13" s="284">
        <v>1</v>
      </c>
      <c r="Y13" s="112">
        <v>30</v>
      </c>
      <c r="Z13" s="113">
        <f t="shared" si="8"/>
        <v>30</v>
      </c>
      <c r="AA13" s="127">
        <v>1</v>
      </c>
      <c r="AB13" s="112">
        <v>15</v>
      </c>
      <c r="AC13" s="113">
        <f t="shared" si="9"/>
        <v>15</v>
      </c>
      <c r="AD13" s="127"/>
      <c r="AE13" s="112">
        <v>30</v>
      </c>
      <c r="AF13" s="113">
        <f t="shared" si="14"/>
        <v>0</v>
      </c>
      <c r="AG13" s="113">
        <f t="shared" si="15"/>
        <v>13.5</v>
      </c>
      <c r="AH13" s="113">
        <f t="shared" si="16"/>
        <v>58.5</v>
      </c>
      <c r="AI13" s="114">
        <f t="shared" si="10"/>
        <v>43075</v>
      </c>
      <c r="AJ13" s="114"/>
      <c r="AK13" s="114">
        <f t="shared" si="11"/>
        <v>516.9</v>
      </c>
      <c r="AL13" s="114">
        <f t="shared" si="17"/>
        <v>211.6</v>
      </c>
      <c r="AM13" s="115">
        <v>0.30199999999999999</v>
      </c>
      <c r="AQ13" s="116"/>
      <c r="AS13" s="115"/>
    </row>
    <row r="14" spans="1:45" ht="15" x14ac:dyDescent="0.2">
      <c r="A14" s="284">
        <v>6</v>
      </c>
      <c r="B14" s="117" t="s">
        <v>32</v>
      </c>
      <c r="C14" s="128">
        <v>1</v>
      </c>
      <c r="D14" s="107">
        <v>11.061999999999999</v>
      </c>
      <c r="E14" s="119">
        <f t="shared" si="0"/>
        <v>11.06</v>
      </c>
      <c r="F14" s="110">
        <f t="shared" si="1"/>
        <v>132.69999999999999</v>
      </c>
      <c r="G14" s="110"/>
      <c r="H14" s="110"/>
      <c r="I14" s="110"/>
      <c r="J14" s="110"/>
      <c r="K14" s="95"/>
      <c r="L14" s="95">
        <f t="shared" si="12"/>
        <v>5.0999999999999996</v>
      </c>
      <c r="M14" s="95">
        <f t="shared" si="2"/>
        <v>137.80000000000001</v>
      </c>
      <c r="N14" s="111">
        <v>0.43</v>
      </c>
      <c r="O14" s="95">
        <f t="shared" si="3"/>
        <v>59.3</v>
      </c>
      <c r="P14" s="95">
        <f t="shared" si="4"/>
        <v>197.1</v>
      </c>
      <c r="Q14" s="95">
        <f t="shared" si="5"/>
        <v>157.69999999999999</v>
      </c>
      <c r="R14" s="95">
        <f t="shared" si="6"/>
        <v>157.69999999999999</v>
      </c>
      <c r="S14" s="95">
        <f t="shared" si="7"/>
        <v>16.399999999999999</v>
      </c>
      <c r="T14" s="95">
        <f t="shared" si="13"/>
        <v>528.9</v>
      </c>
      <c r="U14" s="1449"/>
      <c r="V14" s="95">
        <f t="shared" si="18"/>
        <v>528.9</v>
      </c>
      <c r="W14" s="95">
        <f t="shared" si="19"/>
        <v>159.69999999999999</v>
      </c>
      <c r="X14" s="284">
        <v>1</v>
      </c>
      <c r="Y14" s="112">
        <v>30</v>
      </c>
      <c r="Z14" s="113">
        <f t="shared" si="8"/>
        <v>30</v>
      </c>
      <c r="AA14" s="127"/>
      <c r="AB14" s="112">
        <v>15</v>
      </c>
      <c r="AC14" s="113">
        <f t="shared" si="9"/>
        <v>0</v>
      </c>
      <c r="AD14" s="127"/>
      <c r="AE14" s="112">
        <v>30</v>
      </c>
      <c r="AF14" s="113">
        <f t="shared" si="14"/>
        <v>0</v>
      </c>
      <c r="AG14" s="113">
        <f t="shared" si="15"/>
        <v>9</v>
      </c>
      <c r="AH14" s="113">
        <f t="shared" si="16"/>
        <v>39</v>
      </c>
      <c r="AI14" s="114">
        <f t="shared" si="10"/>
        <v>44075</v>
      </c>
      <c r="AJ14" s="114"/>
      <c r="AK14" s="114">
        <f t="shared" si="11"/>
        <v>528.9</v>
      </c>
      <c r="AL14" s="114">
        <f t="shared" si="17"/>
        <v>213.7</v>
      </c>
      <c r="AM14" s="115">
        <v>0.30199999999999999</v>
      </c>
      <c r="AO14" s="116"/>
      <c r="AP14" s="116"/>
      <c r="AQ14" s="116"/>
      <c r="AS14" s="115"/>
    </row>
    <row r="15" spans="1:45" x14ac:dyDescent="0.2">
      <c r="A15" s="284">
        <v>7</v>
      </c>
      <c r="B15" s="129" t="s">
        <v>23</v>
      </c>
      <c r="C15" s="128">
        <v>1</v>
      </c>
      <c r="D15" s="107">
        <v>11.061999999999999</v>
      </c>
      <c r="E15" s="119">
        <f t="shared" si="0"/>
        <v>11.06</v>
      </c>
      <c r="F15" s="110">
        <f t="shared" si="1"/>
        <v>132.69999999999999</v>
      </c>
      <c r="G15" s="110"/>
      <c r="H15" s="110"/>
      <c r="I15" s="110"/>
      <c r="J15" s="110"/>
      <c r="K15" s="95">
        <f>D15*0.3*9+D15*0.35*3</f>
        <v>41.5</v>
      </c>
      <c r="L15" s="95">
        <f t="shared" si="12"/>
        <v>5.0999999999999996</v>
      </c>
      <c r="M15" s="95">
        <f t="shared" si="2"/>
        <v>179.3</v>
      </c>
      <c r="N15" s="111">
        <v>0.43</v>
      </c>
      <c r="O15" s="95">
        <f t="shared" si="3"/>
        <v>77.099999999999994</v>
      </c>
      <c r="P15" s="95">
        <f t="shared" si="4"/>
        <v>256.39999999999998</v>
      </c>
      <c r="Q15" s="95">
        <f t="shared" si="5"/>
        <v>205.1</v>
      </c>
      <c r="R15" s="95">
        <f t="shared" si="6"/>
        <v>205.1</v>
      </c>
      <c r="S15" s="95">
        <f t="shared" si="7"/>
        <v>21.3</v>
      </c>
      <c r="T15" s="95">
        <f t="shared" si="13"/>
        <v>687.9</v>
      </c>
      <c r="U15" s="1449"/>
      <c r="V15" s="95">
        <f t="shared" si="18"/>
        <v>687.9</v>
      </c>
      <c r="W15" s="95">
        <f t="shared" si="19"/>
        <v>207.7</v>
      </c>
      <c r="X15" s="118"/>
      <c r="Y15" s="112">
        <v>30</v>
      </c>
      <c r="Z15" s="113">
        <f t="shared" si="8"/>
        <v>0</v>
      </c>
      <c r="AA15" s="118"/>
      <c r="AB15" s="112">
        <v>15</v>
      </c>
      <c r="AC15" s="113">
        <f t="shared" si="9"/>
        <v>0</v>
      </c>
      <c r="AD15" s="118"/>
      <c r="AE15" s="112">
        <v>30</v>
      </c>
      <c r="AF15" s="113">
        <f t="shared" si="14"/>
        <v>0</v>
      </c>
      <c r="AG15" s="113">
        <f t="shared" si="15"/>
        <v>0</v>
      </c>
      <c r="AH15" s="113">
        <f t="shared" si="16"/>
        <v>0</v>
      </c>
      <c r="AI15" s="114">
        <f t="shared" si="10"/>
        <v>57325</v>
      </c>
      <c r="AJ15" s="114"/>
      <c r="AK15" s="114">
        <f t="shared" si="11"/>
        <v>687.9</v>
      </c>
      <c r="AL15" s="114">
        <f t="shared" si="17"/>
        <v>242.7</v>
      </c>
      <c r="AM15" s="115">
        <v>0.30199999999999999</v>
      </c>
      <c r="AS15" s="115"/>
    </row>
    <row r="16" spans="1:45" ht="15" x14ac:dyDescent="0.2">
      <c r="A16" s="284">
        <v>8</v>
      </c>
      <c r="B16" s="129" t="s">
        <v>33</v>
      </c>
      <c r="C16" s="128">
        <v>2</v>
      </c>
      <c r="D16" s="107">
        <v>8.4730000000000008</v>
      </c>
      <c r="E16" s="119">
        <f t="shared" si="0"/>
        <v>16.95</v>
      </c>
      <c r="F16" s="110">
        <f t="shared" si="1"/>
        <v>203.4</v>
      </c>
      <c r="G16" s="124">
        <f>29314.2/1000</f>
        <v>29.3</v>
      </c>
      <c r="H16" s="110">
        <f>9637.5/1000</f>
        <v>9.6</v>
      </c>
      <c r="I16" s="110"/>
      <c r="J16" s="110"/>
      <c r="K16" s="95">
        <f>D16*0.25*10+D16*0.3*2+F16*0.35</f>
        <v>97.5</v>
      </c>
      <c r="L16" s="95">
        <f t="shared" si="12"/>
        <v>7.8</v>
      </c>
      <c r="M16" s="95">
        <f t="shared" si="2"/>
        <v>347.6</v>
      </c>
      <c r="N16" s="111">
        <v>0.41</v>
      </c>
      <c r="O16" s="95">
        <f t="shared" si="3"/>
        <v>142.5</v>
      </c>
      <c r="P16" s="95">
        <f t="shared" si="4"/>
        <v>490.1</v>
      </c>
      <c r="Q16" s="95">
        <f t="shared" si="5"/>
        <v>392.1</v>
      </c>
      <c r="R16" s="95">
        <f t="shared" si="6"/>
        <v>392.1</v>
      </c>
      <c r="S16" s="95">
        <f t="shared" si="7"/>
        <v>40.799999999999997</v>
      </c>
      <c r="T16" s="95">
        <f t="shared" si="13"/>
        <v>1315.1</v>
      </c>
      <c r="U16" s="1449"/>
      <c r="V16" s="95">
        <f t="shared" si="18"/>
        <v>1315.1</v>
      </c>
      <c r="W16" s="95">
        <f t="shared" si="19"/>
        <v>397.2</v>
      </c>
      <c r="X16" s="118">
        <v>1</v>
      </c>
      <c r="Y16" s="112">
        <v>30</v>
      </c>
      <c r="Z16" s="113">
        <f t="shared" si="8"/>
        <v>30</v>
      </c>
      <c r="AA16" s="118"/>
      <c r="AB16" s="112">
        <v>15</v>
      </c>
      <c r="AC16" s="113">
        <f t="shared" si="9"/>
        <v>0</v>
      </c>
      <c r="AD16" s="118"/>
      <c r="AE16" s="112">
        <v>30</v>
      </c>
      <c r="AF16" s="113">
        <f t="shared" si="14"/>
        <v>0</v>
      </c>
      <c r="AG16" s="113">
        <f t="shared" si="15"/>
        <v>9</v>
      </c>
      <c r="AH16" s="113">
        <f t="shared" si="16"/>
        <v>39</v>
      </c>
      <c r="AI16" s="114">
        <f t="shared" si="10"/>
        <v>54795.8</v>
      </c>
      <c r="AJ16" s="114"/>
      <c r="AK16" s="114">
        <f t="shared" si="11"/>
        <v>657.6</v>
      </c>
      <c r="AL16" s="114">
        <f t="shared" si="17"/>
        <v>237.2</v>
      </c>
      <c r="AM16" s="115">
        <v>0.30199999999999999</v>
      </c>
      <c r="AO16" s="116"/>
      <c r="AP16" s="116"/>
      <c r="AQ16" s="116"/>
      <c r="AS16" s="115"/>
    </row>
    <row r="17" spans="1:45" ht="51" x14ac:dyDescent="0.2">
      <c r="A17" s="284">
        <v>9</v>
      </c>
      <c r="B17" s="117" t="s">
        <v>103</v>
      </c>
      <c r="C17" s="128">
        <v>1</v>
      </c>
      <c r="D17" s="107">
        <v>4.4569999999999999</v>
      </c>
      <c r="E17" s="119">
        <f t="shared" si="0"/>
        <v>4.46</v>
      </c>
      <c r="F17" s="110">
        <f t="shared" si="1"/>
        <v>53.5</v>
      </c>
      <c r="G17" s="110"/>
      <c r="H17" s="110"/>
      <c r="I17" s="110"/>
      <c r="J17" s="110"/>
      <c r="K17" s="95"/>
      <c r="L17" s="95">
        <f t="shared" si="12"/>
        <v>2.1</v>
      </c>
      <c r="M17" s="95">
        <f t="shared" si="2"/>
        <v>55.6</v>
      </c>
      <c r="N17" s="111">
        <v>0.61</v>
      </c>
      <c r="O17" s="95">
        <f t="shared" si="3"/>
        <v>33.9</v>
      </c>
      <c r="P17" s="95">
        <f t="shared" si="4"/>
        <v>89.5</v>
      </c>
      <c r="Q17" s="95">
        <f t="shared" si="5"/>
        <v>71.599999999999994</v>
      </c>
      <c r="R17" s="95">
        <f t="shared" si="6"/>
        <v>71.599999999999994</v>
      </c>
      <c r="S17" s="95">
        <f t="shared" si="7"/>
        <v>7.4</v>
      </c>
      <c r="T17" s="95">
        <f t="shared" si="13"/>
        <v>240.1</v>
      </c>
      <c r="U17" s="1449"/>
      <c r="V17" s="95">
        <f>T17*$U$9</f>
        <v>240.1</v>
      </c>
      <c r="W17" s="95">
        <f t="shared" si="19"/>
        <v>72.5</v>
      </c>
      <c r="X17" s="118"/>
      <c r="Y17" s="112">
        <v>30</v>
      </c>
      <c r="Z17" s="113">
        <f t="shared" si="8"/>
        <v>0</v>
      </c>
      <c r="AA17" s="118"/>
      <c r="AB17" s="112">
        <v>15</v>
      </c>
      <c r="AC17" s="113">
        <f t="shared" si="9"/>
        <v>0</v>
      </c>
      <c r="AD17" s="118"/>
      <c r="AE17" s="112">
        <v>30</v>
      </c>
      <c r="AF17" s="113">
        <f t="shared" si="14"/>
        <v>0</v>
      </c>
      <c r="AG17" s="113">
        <f t="shared" si="15"/>
        <v>0</v>
      </c>
      <c r="AH17" s="113">
        <f t="shared" si="16"/>
        <v>0</v>
      </c>
      <c r="AI17" s="114">
        <f t="shared" si="10"/>
        <v>20008.3</v>
      </c>
      <c r="AJ17" s="114"/>
      <c r="AK17" s="114">
        <f t="shared" si="11"/>
        <v>240.1</v>
      </c>
      <c r="AL17" s="114">
        <f t="shared" si="17"/>
        <v>161.19999999999999</v>
      </c>
      <c r="AM17" s="115">
        <v>0.30199999999999999</v>
      </c>
      <c r="AN17" s="130"/>
      <c r="AO17" s="130"/>
      <c r="AP17" s="130"/>
      <c r="AS17" s="115"/>
    </row>
    <row r="18" spans="1:45" s="126" customFormat="1" ht="25.5" x14ac:dyDescent="0.2">
      <c r="A18" s="284">
        <v>10</v>
      </c>
      <c r="B18" s="129" t="s">
        <v>34</v>
      </c>
      <c r="C18" s="122">
        <v>3</v>
      </c>
      <c r="D18" s="107">
        <v>7.1950000000000003</v>
      </c>
      <c r="E18" s="123">
        <f t="shared" si="0"/>
        <v>21.59</v>
      </c>
      <c r="F18" s="124">
        <f t="shared" si="1"/>
        <v>259.10000000000002</v>
      </c>
      <c r="G18" s="124">
        <f>44329.4/1000</f>
        <v>44.3</v>
      </c>
      <c r="H18" s="124">
        <f>16367.8/1000</f>
        <v>16.399999999999999</v>
      </c>
      <c r="I18" s="124"/>
      <c r="J18" s="125"/>
      <c r="K18" s="96"/>
      <c r="L18" s="95">
        <f t="shared" si="12"/>
        <v>9.9</v>
      </c>
      <c r="M18" s="96">
        <f t="shared" si="2"/>
        <v>329.7</v>
      </c>
      <c r="N18" s="111">
        <v>0.41</v>
      </c>
      <c r="O18" s="96">
        <f t="shared" si="3"/>
        <v>135.19999999999999</v>
      </c>
      <c r="P18" s="96">
        <f t="shared" si="4"/>
        <v>464.9</v>
      </c>
      <c r="Q18" s="96">
        <f t="shared" si="5"/>
        <v>371.9</v>
      </c>
      <c r="R18" s="96">
        <f t="shared" si="6"/>
        <v>371.9</v>
      </c>
      <c r="S18" s="96">
        <f t="shared" si="7"/>
        <v>38.700000000000003</v>
      </c>
      <c r="T18" s="96">
        <f t="shared" si="13"/>
        <v>1247.4000000000001</v>
      </c>
      <c r="U18" s="1449"/>
      <c r="V18" s="96">
        <f t="shared" si="18"/>
        <v>1247.4000000000001</v>
      </c>
      <c r="W18" s="95">
        <f t="shared" si="19"/>
        <v>376.7</v>
      </c>
      <c r="X18" s="284">
        <v>1</v>
      </c>
      <c r="Y18" s="112">
        <v>30</v>
      </c>
      <c r="Z18" s="113">
        <f t="shared" si="8"/>
        <v>30</v>
      </c>
      <c r="AA18" s="284"/>
      <c r="AB18" s="112">
        <v>15</v>
      </c>
      <c r="AC18" s="113">
        <f t="shared" si="9"/>
        <v>0</v>
      </c>
      <c r="AD18" s="284"/>
      <c r="AE18" s="112">
        <v>30</v>
      </c>
      <c r="AF18" s="113">
        <f t="shared" si="14"/>
        <v>0</v>
      </c>
      <c r="AG18" s="113">
        <f t="shared" si="15"/>
        <v>9</v>
      </c>
      <c r="AH18" s="113">
        <f t="shared" si="16"/>
        <v>39</v>
      </c>
      <c r="AI18" s="114">
        <f t="shared" si="10"/>
        <v>34650</v>
      </c>
      <c r="AJ18" s="114"/>
      <c r="AK18" s="114">
        <f t="shared" si="11"/>
        <v>415.8</v>
      </c>
      <c r="AL18" s="114">
        <f t="shared" si="17"/>
        <v>193.2</v>
      </c>
      <c r="AM18" s="115">
        <v>0.30199999999999999</v>
      </c>
      <c r="AN18" s="130"/>
      <c r="AO18" s="130"/>
      <c r="AP18" s="130"/>
      <c r="AQ18" s="22"/>
      <c r="AS18" s="115"/>
    </row>
    <row r="19" spans="1:45" s="126" customFormat="1" x14ac:dyDescent="0.2">
      <c r="A19" s="284">
        <v>11</v>
      </c>
      <c r="B19" s="129" t="s">
        <v>35</v>
      </c>
      <c r="C19" s="122">
        <v>1</v>
      </c>
      <c r="D19" s="107">
        <v>4.4569999999999999</v>
      </c>
      <c r="E19" s="123">
        <f t="shared" si="0"/>
        <v>4.46</v>
      </c>
      <c r="F19" s="124">
        <f t="shared" si="1"/>
        <v>53.5</v>
      </c>
      <c r="G19" s="124"/>
      <c r="H19" s="124"/>
      <c r="I19" s="124"/>
      <c r="J19" s="125"/>
      <c r="K19" s="96"/>
      <c r="L19" s="95">
        <f t="shared" si="12"/>
        <v>2.1</v>
      </c>
      <c r="M19" s="96">
        <f t="shared" si="2"/>
        <v>55.6</v>
      </c>
      <c r="N19" s="111">
        <v>0.61</v>
      </c>
      <c r="O19" s="96">
        <f t="shared" si="3"/>
        <v>33.9</v>
      </c>
      <c r="P19" s="96">
        <f t="shared" si="4"/>
        <v>89.5</v>
      </c>
      <c r="Q19" s="96">
        <f t="shared" si="5"/>
        <v>71.599999999999994</v>
      </c>
      <c r="R19" s="96">
        <f t="shared" si="6"/>
        <v>71.599999999999994</v>
      </c>
      <c r="S19" s="96">
        <f t="shared" si="7"/>
        <v>7.4</v>
      </c>
      <c r="T19" s="96">
        <f t="shared" si="13"/>
        <v>240.1</v>
      </c>
      <c r="U19" s="1449"/>
      <c r="V19" s="96">
        <f t="shared" si="18"/>
        <v>240.1</v>
      </c>
      <c r="W19" s="95">
        <f t="shared" si="19"/>
        <v>72.5</v>
      </c>
      <c r="X19" s="284"/>
      <c r="Y19" s="112">
        <v>30</v>
      </c>
      <c r="Z19" s="113">
        <f t="shared" si="8"/>
        <v>0</v>
      </c>
      <c r="AA19" s="284"/>
      <c r="AB19" s="112">
        <v>15</v>
      </c>
      <c r="AC19" s="113">
        <f t="shared" si="9"/>
        <v>0</v>
      </c>
      <c r="AD19" s="284"/>
      <c r="AE19" s="112">
        <v>30</v>
      </c>
      <c r="AF19" s="113">
        <f t="shared" si="14"/>
        <v>0</v>
      </c>
      <c r="AG19" s="113">
        <f t="shared" si="15"/>
        <v>0</v>
      </c>
      <c r="AH19" s="113">
        <f t="shared" si="16"/>
        <v>0</v>
      </c>
      <c r="AI19" s="114">
        <f t="shared" si="10"/>
        <v>20008.3</v>
      </c>
      <c r="AJ19" s="114"/>
      <c r="AK19" s="114">
        <f t="shared" si="11"/>
        <v>240.1</v>
      </c>
      <c r="AL19" s="114">
        <f t="shared" si="17"/>
        <v>161.19999999999999</v>
      </c>
      <c r="AM19" s="115">
        <v>0.30199999999999999</v>
      </c>
      <c r="AN19" s="130"/>
      <c r="AO19" s="130"/>
      <c r="AP19" s="130"/>
      <c r="AQ19" s="22"/>
      <c r="AS19" s="115"/>
    </row>
    <row r="20" spans="1:45" s="126" customFormat="1" x14ac:dyDescent="0.2">
      <c r="A20" s="284">
        <v>12</v>
      </c>
      <c r="B20" s="129" t="s">
        <v>25</v>
      </c>
      <c r="C20" s="125">
        <v>0.5</v>
      </c>
      <c r="D20" s="107">
        <v>4.3109999999999999</v>
      </c>
      <c r="E20" s="123">
        <f t="shared" si="0"/>
        <v>2.16</v>
      </c>
      <c r="F20" s="124">
        <f>E20*12</f>
        <v>25.9</v>
      </c>
      <c r="G20" s="124">
        <f>5056.7/1000</f>
        <v>5.0999999999999996</v>
      </c>
      <c r="H20" s="124">
        <f>437.8/1000</f>
        <v>0.4</v>
      </c>
      <c r="I20" s="124"/>
      <c r="J20" s="125"/>
      <c r="K20" s="96"/>
      <c r="L20" s="95">
        <f t="shared" si="12"/>
        <v>1</v>
      </c>
      <c r="M20" s="96">
        <f>F20+G20+H20+I20+J20+K20+L20</f>
        <v>32.4</v>
      </c>
      <c r="N20" s="111">
        <v>0.75</v>
      </c>
      <c r="O20" s="96">
        <f>M20*N20</f>
        <v>24.3</v>
      </c>
      <c r="P20" s="96">
        <f>M20+O20</f>
        <v>56.7</v>
      </c>
      <c r="Q20" s="96">
        <f>P20*0.8</f>
        <v>45.4</v>
      </c>
      <c r="R20" s="96">
        <f>P20*0.8</f>
        <v>45.4</v>
      </c>
      <c r="S20" s="96">
        <f>(P20+Q20+R20)*0.032</f>
        <v>4.7</v>
      </c>
      <c r="T20" s="96">
        <f>P20+Q20+R20+S20</f>
        <v>152.19999999999999</v>
      </c>
      <c r="U20" s="1449"/>
      <c r="V20" s="96">
        <f>T20*$U$9</f>
        <v>152.19999999999999</v>
      </c>
      <c r="W20" s="95">
        <f t="shared" si="19"/>
        <v>46</v>
      </c>
      <c r="X20" s="284"/>
      <c r="Y20" s="112">
        <v>30</v>
      </c>
      <c r="Z20" s="113">
        <f t="shared" si="8"/>
        <v>0</v>
      </c>
      <c r="AA20" s="284"/>
      <c r="AB20" s="112">
        <v>15</v>
      </c>
      <c r="AC20" s="113">
        <f t="shared" si="9"/>
        <v>0</v>
      </c>
      <c r="AD20" s="284"/>
      <c r="AE20" s="112">
        <v>30</v>
      </c>
      <c r="AF20" s="113">
        <f t="shared" si="14"/>
        <v>0</v>
      </c>
      <c r="AG20" s="113">
        <f t="shared" si="15"/>
        <v>0</v>
      </c>
      <c r="AH20" s="113">
        <f t="shared" si="16"/>
        <v>0</v>
      </c>
      <c r="AI20" s="114">
        <f>V20/12*1000</f>
        <v>12683.3</v>
      </c>
      <c r="AJ20" s="114"/>
      <c r="AK20" s="114">
        <f t="shared" si="11"/>
        <v>304.39999999999998</v>
      </c>
      <c r="AL20" s="114">
        <f t="shared" si="17"/>
        <v>172.9</v>
      </c>
      <c r="AM20" s="115">
        <v>0.30199999999999999</v>
      </c>
      <c r="AN20" s="130"/>
      <c r="AO20" s="130"/>
      <c r="AP20" s="130"/>
      <c r="AQ20" s="22"/>
      <c r="AS20" s="115"/>
    </row>
    <row r="21" spans="1:45" s="98" customFormat="1" ht="20.25" customHeight="1" x14ac:dyDescent="0.2">
      <c r="A21" s="1445" t="s">
        <v>8</v>
      </c>
      <c r="B21" s="1445"/>
      <c r="C21" s="97">
        <f t="shared" ref="C21:M21" si="20">SUM(C9:C20)</f>
        <v>15.5</v>
      </c>
      <c r="D21" s="97">
        <f t="shared" si="20"/>
        <v>119.5</v>
      </c>
      <c r="E21" s="97">
        <f t="shared" si="20"/>
        <v>148.69999999999999</v>
      </c>
      <c r="F21" s="97">
        <f t="shared" si="20"/>
        <v>1783.7</v>
      </c>
      <c r="G21" s="97">
        <f t="shared" si="20"/>
        <v>78.7</v>
      </c>
      <c r="H21" s="97">
        <f t="shared" si="20"/>
        <v>26.4</v>
      </c>
      <c r="I21" s="97">
        <f t="shared" si="20"/>
        <v>0</v>
      </c>
      <c r="J21" s="97">
        <f t="shared" si="20"/>
        <v>0</v>
      </c>
      <c r="K21" s="97">
        <f t="shared" si="20"/>
        <v>316.39999999999998</v>
      </c>
      <c r="L21" s="97">
        <f t="shared" si="20"/>
        <v>68.599999999999994</v>
      </c>
      <c r="M21" s="97">
        <f t="shared" si="20"/>
        <v>2273.8000000000002</v>
      </c>
      <c r="N21" s="97"/>
      <c r="O21" s="97">
        <f t="shared" ref="O21:AH21" si="21">SUM(O9:O20)</f>
        <v>1033.7</v>
      </c>
      <c r="P21" s="97">
        <f t="shared" si="21"/>
        <v>3307.5</v>
      </c>
      <c r="Q21" s="97">
        <f t="shared" si="21"/>
        <v>2646</v>
      </c>
      <c r="R21" s="97">
        <f t="shared" si="21"/>
        <v>2646</v>
      </c>
      <c r="S21" s="97">
        <f t="shared" si="21"/>
        <v>275.2</v>
      </c>
      <c r="T21" s="97">
        <f t="shared" si="21"/>
        <v>8874.7000000000007</v>
      </c>
      <c r="U21" s="97">
        <f t="shared" si="21"/>
        <v>1</v>
      </c>
      <c r="V21" s="97">
        <f t="shared" si="21"/>
        <v>8874.7000000000007</v>
      </c>
      <c r="W21" s="97">
        <f t="shared" si="21"/>
        <v>2635.8</v>
      </c>
      <c r="X21" s="97">
        <f t="shared" si="21"/>
        <v>6</v>
      </c>
      <c r="Y21" s="97">
        <f t="shared" si="21"/>
        <v>360</v>
      </c>
      <c r="Z21" s="97">
        <f t="shared" si="21"/>
        <v>180</v>
      </c>
      <c r="AA21" s="97">
        <f t="shared" si="21"/>
        <v>1</v>
      </c>
      <c r="AB21" s="97">
        <f t="shared" si="21"/>
        <v>180</v>
      </c>
      <c r="AC21" s="97">
        <f t="shared" si="21"/>
        <v>15</v>
      </c>
      <c r="AD21" s="97">
        <f t="shared" si="21"/>
        <v>0</v>
      </c>
      <c r="AE21" s="97">
        <f t="shared" si="21"/>
        <v>360</v>
      </c>
      <c r="AF21" s="97">
        <f t="shared" si="21"/>
        <v>0</v>
      </c>
      <c r="AG21" s="97">
        <f t="shared" si="21"/>
        <v>58.5</v>
      </c>
      <c r="AH21" s="97">
        <f t="shared" si="21"/>
        <v>253.5</v>
      </c>
      <c r="AN21" s="130"/>
      <c r="AO21" s="130"/>
      <c r="AP21" s="130"/>
      <c r="AQ21" s="22"/>
    </row>
    <row r="22" spans="1:45" x14ac:dyDescent="0.2">
      <c r="G22" s="131"/>
      <c r="H22" s="131"/>
      <c r="I22" s="131"/>
      <c r="J22" s="131"/>
      <c r="K22" s="131"/>
      <c r="L22" s="131"/>
      <c r="M22" s="131"/>
      <c r="N22" s="131"/>
      <c r="O22" s="131"/>
      <c r="P22" s="131"/>
      <c r="Q22" s="131"/>
      <c r="R22" s="131"/>
      <c r="S22" s="131"/>
      <c r="T22" s="131"/>
      <c r="V22" s="114"/>
      <c r="W22" s="66"/>
      <c r="X22" s="132"/>
      <c r="Y22" s="132"/>
      <c r="Z22" s="132"/>
      <c r="AA22" s="131"/>
      <c r="AD22" s="131"/>
      <c r="AG22" s="131"/>
      <c r="AH22" s="131"/>
      <c r="AN22" s="130"/>
      <c r="AO22" s="130"/>
      <c r="AP22" s="130"/>
    </row>
    <row r="23" spans="1:45" x14ac:dyDescent="0.2">
      <c r="G23" s="131"/>
      <c r="H23" s="131"/>
      <c r="I23" s="131"/>
      <c r="J23" s="131"/>
      <c r="K23" s="131"/>
      <c r="L23" s="131"/>
      <c r="M23" s="131"/>
      <c r="N23" s="131"/>
      <c r="O23" s="131"/>
      <c r="P23" s="131"/>
      <c r="Q23" s="131"/>
      <c r="R23" s="131"/>
      <c r="S23" s="131"/>
      <c r="T23" s="131"/>
      <c r="V23" s="114"/>
      <c r="W23" s="114"/>
      <c r="X23" s="133"/>
      <c r="Y23" s="133"/>
      <c r="Z23" s="133"/>
      <c r="AA23" s="131"/>
      <c r="AD23" s="131"/>
      <c r="AG23" s="131"/>
      <c r="AH23" s="131"/>
      <c r="AN23" s="130"/>
      <c r="AO23" s="130"/>
      <c r="AP23" s="130"/>
    </row>
    <row r="24" spans="1:45" s="62" customFormat="1" ht="14.25" x14ac:dyDescent="0.2">
      <c r="A24" s="68"/>
      <c r="B24" s="63"/>
      <c r="C24" s="26"/>
      <c r="D24" s="26"/>
      <c r="E24" s="26"/>
      <c r="F24" s="26"/>
      <c r="G24" s="26"/>
      <c r="H24" s="26"/>
      <c r="I24" s="26"/>
      <c r="J24" s="26"/>
      <c r="K24" s="26"/>
      <c r="L24" s="26"/>
      <c r="M24" s="26"/>
      <c r="N24" s="26"/>
      <c r="O24" s="26"/>
      <c r="P24" s="26"/>
      <c r="Q24" s="26"/>
      <c r="R24" s="26"/>
      <c r="S24" s="26"/>
      <c r="T24" s="26"/>
      <c r="U24" s="64"/>
      <c r="V24" s="69"/>
      <c r="W24" s="69"/>
      <c r="X24" s="65"/>
      <c r="Y24" s="65"/>
      <c r="Z24" s="65"/>
      <c r="AA24" s="65"/>
      <c r="AB24" s="65"/>
      <c r="AC24" s="65"/>
      <c r="AD24" s="65"/>
      <c r="AE24" s="65"/>
      <c r="AF24" s="65"/>
      <c r="AG24" s="65"/>
      <c r="AH24" s="65"/>
      <c r="AI24" s="67"/>
      <c r="AJ24" s="61"/>
      <c r="AK24" s="61"/>
      <c r="AL24" s="134"/>
      <c r="AM24" s="135"/>
    </row>
    <row r="25" spans="1:45" s="75" customFormat="1" ht="15" x14ac:dyDescent="0.2">
      <c r="A25" s="70"/>
      <c r="B25" s="70"/>
      <c r="C25" s="71"/>
      <c r="D25" s="72"/>
      <c r="E25" s="72"/>
      <c r="F25" s="72"/>
      <c r="G25" s="72"/>
      <c r="H25" s="73"/>
      <c r="I25" s="73"/>
      <c r="J25" s="27"/>
      <c r="K25" s="27"/>
      <c r="L25" s="27"/>
      <c r="M25" s="27"/>
      <c r="N25" s="74"/>
      <c r="O25" s="27"/>
      <c r="P25" s="27"/>
      <c r="Q25" s="27"/>
      <c r="R25" s="27"/>
      <c r="S25" s="27"/>
      <c r="T25" s="27"/>
      <c r="U25" s="27"/>
      <c r="V25" s="27"/>
      <c r="W25" s="27"/>
      <c r="X25" s="27"/>
      <c r="Y25" s="27"/>
      <c r="Z25" s="27"/>
      <c r="AA25" s="27"/>
      <c r="AB25" s="27"/>
      <c r="AC25" s="27"/>
      <c r="AD25" s="27"/>
      <c r="AE25" s="27"/>
      <c r="AF25" s="27"/>
      <c r="AG25" s="27"/>
      <c r="AH25" s="27"/>
      <c r="AI25" s="27"/>
      <c r="AJ25" s="76"/>
      <c r="AN25" s="76"/>
      <c r="AO25" s="76"/>
      <c r="AP25" s="76"/>
      <c r="AQ25" s="76"/>
      <c r="AR25" s="76"/>
    </row>
    <row r="26" spans="1:45" s="75" customFormat="1" ht="55.5" customHeight="1" x14ac:dyDescent="0.2">
      <c r="A26" s="70"/>
      <c r="B26" s="70"/>
      <c r="C26" s="71"/>
      <c r="D26" s="77"/>
      <c r="E26" s="77"/>
      <c r="F26" s="27"/>
      <c r="G26" s="1438" t="s">
        <v>140</v>
      </c>
      <c r="H26" s="1438"/>
      <c r="I26" s="1438" t="s">
        <v>141</v>
      </c>
      <c r="J26" s="1438"/>
      <c r="K26" s="1438" t="s">
        <v>128</v>
      </c>
      <c r="L26" s="1438"/>
      <c r="Q26" s="27"/>
      <c r="R26" s="27"/>
      <c r="S26" s="27"/>
      <c r="T26" s="27"/>
      <c r="U26" s="27"/>
      <c r="V26" s="27"/>
      <c r="W26" s="27"/>
      <c r="X26" s="27"/>
      <c r="Y26" s="27"/>
      <c r="Z26" s="27"/>
      <c r="AA26" s="27"/>
      <c r="AB26" s="27"/>
      <c r="AC26" s="27"/>
      <c r="AD26" s="27"/>
      <c r="AE26" s="27"/>
      <c r="AF26" s="27"/>
      <c r="AG26" s="27"/>
      <c r="AH26" s="27"/>
      <c r="AI26" s="27"/>
      <c r="AJ26" s="76"/>
      <c r="AN26" s="76"/>
      <c r="AO26" s="76"/>
      <c r="AP26" s="76"/>
      <c r="AQ26" s="76"/>
      <c r="AR26" s="76"/>
    </row>
    <row r="27" spans="1:45" s="75" customFormat="1" ht="15" x14ac:dyDescent="0.2">
      <c r="A27" s="70"/>
      <c r="B27" s="70"/>
      <c r="C27" s="71"/>
      <c r="D27" s="77"/>
      <c r="E27" s="77"/>
      <c r="F27" s="27"/>
      <c r="G27" s="279">
        <v>991</v>
      </c>
      <c r="H27" s="279">
        <v>992</v>
      </c>
      <c r="I27" s="279">
        <v>991</v>
      </c>
      <c r="J27" s="279">
        <v>992</v>
      </c>
      <c r="K27" s="279">
        <v>991</v>
      </c>
      <c r="L27" s="279">
        <v>992</v>
      </c>
      <c r="Q27" s="27"/>
      <c r="R27" s="27"/>
      <c r="S27" s="27"/>
      <c r="T27" s="27"/>
      <c r="U27" s="27"/>
      <c r="V27" s="27"/>
      <c r="W27" s="27"/>
      <c r="X27" s="27"/>
      <c r="Y27" s="27"/>
      <c r="Z27" s="27"/>
      <c r="AA27" s="27"/>
      <c r="AB27" s="27"/>
      <c r="AC27" s="27"/>
      <c r="AD27" s="27"/>
      <c r="AE27" s="27"/>
      <c r="AF27" s="27"/>
      <c r="AG27" s="27"/>
      <c r="AH27" s="27"/>
      <c r="AI27" s="27"/>
      <c r="AJ27" s="76"/>
      <c r="AN27" s="76"/>
      <c r="AO27" s="76"/>
      <c r="AP27" s="76"/>
      <c r="AQ27" s="76"/>
      <c r="AR27" s="76"/>
    </row>
    <row r="28" spans="1:45" s="75" customFormat="1" ht="15" x14ac:dyDescent="0.2">
      <c r="A28" s="70"/>
      <c r="B28" s="70"/>
      <c r="C28" s="71"/>
      <c r="D28" s="77"/>
      <c r="E28" s="77"/>
      <c r="F28" s="27"/>
      <c r="G28" s="29">
        <v>8874.7000000000007</v>
      </c>
      <c r="H28" s="29">
        <v>2640.7</v>
      </c>
      <c r="I28" s="29">
        <f>V21</f>
        <v>8874.7000000000007</v>
      </c>
      <c r="J28" s="29">
        <f>W21</f>
        <v>2635.8</v>
      </c>
      <c r="K28" s="29">
        <f>G28-I28</f>
        <v>0</v>
      </c>
      <c r="L28" s="29">
        <f>H28-J28</f>
        <v>4.9000000000000004</v>
      </c>
      <c r="Q28" s="27"/>
      <c r="R28" s="27"/>
      <c r="S28" s="27"/>
      <c r="T28" s="27"/>
      <c r="U28" s="27"/>
      <c r="V28" s="27"/>
      <c r="W28" s="27"/>
      <c r="X28" s="27"/>
      <c r="Y28" s="27"/>
      <c r="Z28" s="27"/>
      <c r="AA28" s="27"/>
      <c r="AB28" s="27"/>
      <c r="AC28" s="27"/>
      <c r="AD28" s="27"/>
      <c r="AE28" s="27"/>
      <c r="AF28" s="27"/>
      <c r="AG28" s="27"/>
      <c r="AH28" s="27"/>
      <c r="AI28" s="27"/>
      <c r="AJ28" s="76"/>
      <c r="AN28" s="76"/>
      <c r="AO28" s="76"/>
      <c r="AP28" s="76"/>
      <c r="AQ28" s="76"/>
      <c r="AR28" s="76"/>
    </row>
    <row r="29" spans="1:45" s="143" customFormat="1" ht="15" x14ac:dyDescent="0.2">
      <c r="A29" s="136"/>
      <c r="B29" s="136"/>
      <c r="C29" s="137"/>
      <c r="D29" s="138"/>
      <c r="E29" s="138"/>
      <c r="F29" s="138"/>
      <c r="G29" s="138"/>
      <c r="H29" s="139"/>
      <c r="I29" s="139"/>
      <c r="J29" s="140"/>
      <c r="K29" s="140"/>
      <c r="L29" s="140"/>
      <c r="M29" s="140"/>
      <c r="N29" s="141"/>
      <c r="O29" s="140"/>
      <c r="P29" s="140"/>
      <c r="Q29" s="140"/>
      <c r="R29" s="140"/>
      <c r="S29" s="140"/>
      <c r="T29" s="140"/>
      <c r="U29" s="140"/>
      <c r="V29" s="140"/>
      <c r="W29" s="140"/>
      <c r="X29" s="140"/>
      <c r="Y29" s="140"/>
      <c r="Z29" s="140"/>
      <c r="AA29" s="140"/>
      <c r="AB29" s="140"/>
      <c r="AC29" s="140"/>
      <c r="AD29" s="140"/>
      <c r="AE29" s="140"/>
      <c r="AF29" s="140"/>
      <c r="AG29" s="140"/>
      <c r="AH29" s="140"/>
      <c r="AI29" s="142"/>
      <c r="AN29" s="22"/>
      <c r="AO29" s="22"/>
      <c r="AP29" s="22"/>
      <c r="AQ29" s="22"/>
    </row>
    <row r="30" spans="1:45" s="143" customFormat="1" ht="15" x14ac:dyDescent="0.2">
      <c r="A30" s="136"/>
      <c r="B30" s="136"/>
      <c r="C30" s="137"/>
      <c r="D30" s="138"/>
      <c r="E30" s="138"/>
      <c r="F30" s="138"/>
      <c r="G30" s="138"/>
      <c r="H30" s="139"/>
      <c r="I30" s="139"/>
      <c r="J30" s="140"/>
      <c r="K30" s="140"/>
      <c r="L30" s="140"/>
      <c r="M30" s="140"/>
      <c r="N30" s="141"/>
      <c r="O30" s="140"/>
      <c r="P30" s="140"/>
      <c r="Q30" s="140"/>
      <c r="R30" s="140"/>
      <c r="S30" s="140"/>
      <c r="T30" s="140"/>
      <c r="U30" s="140"/>
      <c r="V30" s="140"/>
      <c r="W30" s="140"/>
      <c r="X30" s="140"/>
      <c r="Y30" s="140"/>
      <c r="Z30" s="140"/>
      <c r="AA30" s="140"/>
      <c r="AB30" s="140"/>
      <c r="AC30" s="140"/>
      <c r="AD30" s="140"/>
      <c r="AE30" s="140"/>
      <c r="AF30" s="140"/>
      <c r="AG30" s="140"/>
      <c r="AH30" s="140"/>
      <c r="AI30" s="142"/>
      <c r="AN30" s="22"/>
      <c r="AO30" s="22"/>
      <c r="AP30" s="22"/>
      <c r="AQ30" s="22"/>
    </row>
    <row r="31" spans="1:45" s="143" customFormat="1" ht="15" x14ac:dyDescent="0.2">
      <c r="A31" s="136"/>
      <c r="B31" s="136"/>
      <c r="C31" s="137"/>
      <c r="D31" s="144"/>
      <c r="E31" s="144"/>
      <c r="F31" s="140"/>
      <c r="G31" s="140"/>
      <c r="H31" s="139"/>
      <c r="I31" s="139"/>
      <c r="J31" s="140"/>
      <c r="K31" s="140"/>
      <c r="L31" s="140"/>
      <c r="M31" s="140"/>
      <c r="N31" s="141"/>
      <c r="O31" s="140"/>
      <c r="P31" s="140"/>
      <c r="Q31" s="140"/>
      <c r="R31" s="140"/>
      <c r="S31" s="140"/>
      <c r="T31" s="140"/>
      <c r="U31" s="140"/>
      <c r="V31" s="140"/>
      <c r="W31" s="140"/>
      <c r="X31" s="140"/>
      <c r="Y31" s="140"/>
      <c r="Z31" s="140"/>
      <c r="AA31" s="140"/>
      <c r="AB31" s="140"/>
      <c r="AC31" s="140"/>
      <c r="AD31" s="140"/>
      <c r="AE31" s="140"/>
      <c r="AF31" s="140"/>
      <c r="AG31" s="140"/>
      <c r="AH31" s="140"/>
      <c r="AI31" s="142"/>
      <c r="AN31" s="22"/>
      <c r="AO31" s="22"/>
      <c r="AP31" s="22"/>
      <c r="AQ31" s="22"/>
    </row>
    <row r="32" spans="1:45" s="282" customFormat="1" ht="20.25" x14ac:dyDescent="0.2">
      <c r="A32" s="81"/>
      <c r="B32" s="82" t="s">
        <v>138</v>
      </c>
      <c r="C32" s="83"/>
      <c r="D32" s="84"/>
      <c r="E32" s="84"/>
      <c r="F32" s="85"/>
      <c r="G32" s="85"/>
      <c r="H32" s="86"/>
      <c r="I32" s="86"/>
      <c r="J32" s="85"/>
      <c r="K32" s="30" t="s">
        <v>166</v>
      </c>
      <c r="L32" s="85"/>
      <c r="M32" s="85"/>
      <c r="N32" s="87"/>
      <c r="O32" s="85"/>
      <c r="P32" s="85"/>
      <c r="Q32" s="85"/>
      <c r="R32" s="85"/>
      <c r="S32" s="85"/>
      <c r="T32" s="85"/>
      <c r="U32" s="85"/>
      <c r="V32" s="85"/>
      <c r="W32" s="85"/>
      <c r="X32" s="85"/>
      <c r="Y32" s="85"/>
      <c r="Z32" s="85"/>
      <c r="AA32" s="85"/>
      <c r="AB32" s="85"/>
      <c r="AC32" s="85"/>
      <c r="AD32" s="85"/>
      <c r="AE32" s="85"/>
      <c r="AF32" s="85"/>
      <c r="AG32" s="85"/>
      <c r="AH32" s="85"/>
      <c r="AI32" s="85"/>
      <c r="AK32" s="88"/>
      <c r="AL32" s="88"/>
      <c r="AM32" s="88"/>
      <c r="AN32" s="88"/>
      <c r="AO32" s="88"/>
    </row>
    <row r="33" spans="1:43" s="143" customFormat="1" ht="15" x14ac:dyDescent="0.2">
      <c r="A33" s="136"/>
      <c r="B33" s="136"/>
      <c r="C33" s="137"/>
      <c r="D33" s="144"/>
      <c r="E33" s="144"/>
      <c r="F33" s="140"/>
      <c r="G33" s="140"/>
      <c r="H33" s="139"/>
      <c r="I33" s="139"/>
      <c r="J33" s="140"/>
      <c r="K33" s="140"/>
      <c r="L33" s="140"/>
      <c r="M33" s="140"/>
      <c r="N33" s="141"/>
      <c r="O33" s="140"/>
      <c r="P33" s="140"/>
      <c r="Q33" s="140"/>
      <c r="R33" s="140"/>
      <c r="S33" s="140"/>
      <c r="T33" s="140"/>
      <c r="U33" s="140"/>
      <c r="V33" s="140"/>
      <c r="W33" s="140"/>
      <c r="X33" s="140"/>
      <c r="Y33" s="140"/>
      <c r="Z33" s="140"/>
      <c r="AA33" s="140"/>
      <c r="AB33" s="140"/>
      <c r="AC33" s="140"/>
      <c r="AD33" s="140"/>
      <c r="AE33" s="140"/>
      <c r="AF33" s="140"/>
      <c r="AG33" s="140"/>
      <c r="AH33" s="140"/>
      <c r="AI33" s="142"/>
      <c r="AN33" s="22"/>
      <c r="AO33" s="22"/>
      <c r="AP33" s="22"/>
      <c r="AQ33" s="22"/>
    </row>
    <row r="34" spans="1:43" s="143" customFormat="1" ht="20.25" customHeight="1" x14ac:dyDescent="0.2">
      <c r="A34" s="145" t="s">
        <v>96</v>
      </c>
      <c r="B34" s="145"/>
      <c r="C34" s="146"/>
      <c r="D34" s="146"/>
      <c r="E34" s="146"/>
      <c r="F34" s="146"/>
      <c r="G34" s="146"/>
      <c r="H34" s="146"/>
      <c r="I34" s="146"/>
      <c r="J34" s="146"/>
      <c r="K34" s="146"/>
      <c r="L34" s="147"/>
      <c r="M34" s="147"/>
      <c r="N34" s="148"/>
      <c r="O34" s="147"/>
      <c r="P34" s="147"/>
      <c r="Q34" s="147"/>
      <c r="R34" s="147"/>
      <c r="S34" s="147"/>
      <c r="T34" s="147"/>
      <c r="U34" s="147"/>
      <c r="V34" s="147"/>
      <c r="W34" s="147"/>
      <c r="X34" s="147"/>
      <c r="Y34" s="147"/>
      <c r="Z34" s="147"/>
      <c r="AA34" s="147"/>
      <c r="AB34" s="147"/>
      <c r="AC34" s="147"/>
      <c r="AD34" s="147"/>
      <c r="AE34" s="147"/>
      <c r="AF34" s="147"/>
      <c r="AG34" s="147"/>
      <c r="AH34" s="147"/>
      <c r="AI34" s="142"/>
      <c r="AN34" s="62"/>
      <c r="AO34" s="62"/>
      <c r="AP34" s="62"/>
      <c r="AQ34" s="60"/>
    </row>
    <row r="35" spans="1:43" s="143" customFormat="1" ht="20.25" customHeight="1" x14ac:dyDescent="0.2">
      <c r="A35" s="145" t="s">
        <v>139</v>
      </c>
      <c r="B35" s="149"/>
      <c r="C35" s="150"/>
      <c r="D35" s="150"/>
      <c r="E35" s="151"/>
      <c r="F35" s="151"/>
      <c r="G35" s="151"/>
      <c r="H35" s="151"/>
      <c r="I35" s="151"/>
      <c r="J35" s="151"/>
      <c r="K35" s="151"/>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2"/>
      <c r="AN35" s="62"/>
      <c r="AO35" s="62"/>
      <c r="AP35" s="62"/>
      <c r="AQ35" s="62"/>
    </row>
    <row r="36" spans="1:43" ht="16.5" x14ac:dyDescent="0.2">
      <c r="A36" s="152"/>
      <c r="I36" s="153"/>
      <c r="L36" s="99"/>
      <c r="M36" s="99"/>
      <c r="N36" s="99"/>
      <c r="O36" s="99"/>
      <c r="P36" s="99"/>
      <c r="Q36" s="99"/>
      <c r="W36" s="131"/>
      <c r="X36" s="131"/>
      <c r="AA36" s="131"/>
      <c r="AD36" s="131"/>
      <c r="AG36" s="131"/>
      <c r="AH36" s="131"/>
      <c r="AN36" s="62"/>
      <c r="AO36" s="62"/>
      <c r="AP36" s="62"/>
      <c r="AQ36" s="62"/>
    </row>
    <row r="37" spans="1:43" ht="16.5" x14ac:dyDescent="0.2">
      <c r="A37" s="152"/>
      <c r="E37" s="115"/>
      <c r="L37" s="99"/>
      <c r="M37" s="99"/>
      <c r="N37" s="99"/>
      <c r="O37" s="99"/>
      <c r="P37" s="99"/>
      <c r="Q37" s="99"/>
      <c r="W37" s="131"/>
      <c r="X37" s="131"/>
      <c r="AA37" s="131"/>
      <c r="AD37" s="131"/>
      <c r="AG37" s="131"/>
      <c r="AH37" s="131"/>
      <c r="AN37" s="62"/>
      <c r="AO37" s="62"/>
      <c r="AP37" s="62"/>
      <c r="AQ37" s="62"/>
    </row>
    <row r="38" spans="1:43" x14ac:dyDescent="0.2">
      <c r="E38" s="115"/>
    </row>
    <row r="39" spans="1:43" x14ac:dyDescent="0.2">
      <c r="E39" s="115"/>
    </row>
    <row r="40" spans="1:43" x14ac:dyDescent="0.2">
      <c r="E40" s="115"/>
    </row>
    <row r="41" spans="1:43" x14ac:dyDescent="0.2">
      <c r="E41" s="115"/>
    </row>
    <row r="42" spans="1:43" x14ac:dyDescent="0.2">
      <c r="E42" s="115"/>
    </row>
    <row r="43" spans="1:43" x14ac:dyDescent="0.2">
      <c r="E43" s="115"/>
    </row>
  </sheetData>
  <autoFilter ref="A8:AS8"/>
  <mergeCells count="37">
    <mergeCell ref="G26:H26"/>
    <mergeCell ref="I26:J26"/>
    <mergeCell ref="K26:L26"/>
    <mergeCell ref="AA6:AC6"/>
    <mergeCell ref="J6:J7"/>
    <mergeCell ref="K6:K7"/>
    <mergeCell ref="AH6:AH7"/>
    <mergeCell ref="U9:U20"/>
    <mergeCell ref="A21:B21"/>
    <mergeCell ref="S6:S7"/>
    <mergeCell ref="T6:T7"/>
    <mergeCell ref="U6:U7"/>
    <mergeCell ref="V6:V7"/>
    <mergeCell ref="W6:W7"/>
    <mergeCell ref="X6:Z6"/>
    <mergeCell ref="L6:L7"/>
    <mergeCell ref="F6:F7"/>
    <mergeCell ref="G6:G7"/>
    <mergeCell ref="H6:H7"/>
    <mergeCell ref="I6:I7"/>
    <mergeCell ref="R6:R7"/>
    <mergeCell ref="AE1:AH1"/>
    <mergeCell ref="A2:AH2"/>
    <mergeCell ref="A3:AH3"/>
    <mergeCell ref="A5:A7"/>
    <mergeCell ref="B5:B7"/>
    <mergeCell ref="C5:C7"/>
    <mergeCell ref="D5:W5"/>
    <mergeCell ref="X5:AH5"/>
    <mergeCell ref="D6:D7"/>
    <mergeCell ref="E6:E7"/>
    <mergeCell ref="AG6:AG7"/>
    <mergeCell ref="M6:M7"/>
    <mergeCell ref="N6:O6"/>
    <mergeCell ref="P6:P7"/>
    <mergeCell ref="Q6:Q7"/>
    <mergeCell ref="AD6:AF6"/>
  </mergeCells>
  <printOptions horizontalCentered="1"/>
  <pageMargins left="0" right="0" top="0" bottom="0" header="0.31496062992125984" footer="0.31496062992125984"/>
  <pageSetup paperSize="9" scale="38" orientation="landscape"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AS57"/>
  <sheetViews>
    <sheetView view="pageBreakPreview" zoomScale="80" zoomScaleNormal="80" zoomScaleSheetLayoutView="80" workbookViewId="0">
      <pane xSplit="3" ySplit="8" topLeftCell="V9"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2.75" x14ac:dyDescent="0.2"/>
  <cols>
    <col min="1" max="1" width="6.83203125" style="33" customWidth="1"/>
    <col min="2" max="2" width="30.83203125" style="22" customWidth="1"/>
    <col min="3" max="3" width="13.83203125" style="22" customWidth="1"/>
    <col min="4" max="4" width="12.83203125" style="22" customWidth="1"/>
    <col min="5" max="5" width="13" style="22" customWidth="1"/>
    <col min="6" max="6" width="14.6640625" style="22" customWidth="1"/>
    <col min="7" max="7" width="12.33203125" style="22" customWidth="1"/>
    <col min="8" max="8" width="13.33203125" style="22" customWidth="1"/>
    <col min="9" max="9" width="15.83203125" style="22" customWidth="1"/>
    <col min="10" max="11" width="13.83203125" style="22" customWidth="1"/>
    <col min="12" max="12" width="13.33203125" style="22" customWidth="1"/>
    <col min="13" max="13" width="12.83203125" style="22" customWidth="1"/>
    <col min="14" max="14" width="11.5" style="22" customWidth="1"/>
    <col min="15" max="15" width="14.83203125" style="22" customWidth="1"/>
    <col min="16" max="16" width="15.33203125" style="22" customWidth="1"/>
    <col min="17" max="17" width="14.83203125" style="22" customWidth="1"/>
    <col min="18" max="18" width="13.6640625" style="22" customWidth="1"/>
    <col min="19" max="19" width="15.33203125" style="22" customWidth="1"/>
    <col min="20" max="20" width="12.33203125" style="22" customWidth="1"/>
    <col min="21" max="21" width="11.6640625" style="22" customWidth="1"/>
    <col min="22" max="22" width="13" style="22" customWidth="1"/>
    <col min="23" max="23" width="12.6640625" style="22" customWidth="1"/>
    <col min="24" max="24" width="13.33203125" style="22" customWidth="1"/>
    <col min="25" max="25" width="12.83203125" style="22" customWidth="1"/>
    <col min="26" max="26" width="13" style="22" customWidth="1"/>
    <col min="27" max="27" width="12.33203125" style="22" customWidth="1"/>
    <col min="28" max="28" width="11.33203125" style="22" customWidth="1"/>
    <col min="29" max="29" width="9.6640625" style="22" customWidth="1"/>
    <col min="30" max="30" width="11" style="22" customWidth="1"/>
    <col min="31" max="31" width="9.33203125" style="22" customWidth="1"/>
    <col min="32" max="32" width="9.83203125" style="22" customWidth="1"/>
    <col min="33" max="33" width="14" style="22" customWidth="1"/>
    <col min="34" max="34" width="12.33203125" style="22" customWidth="1"/>
    <col min="35" max="35" width="11.1640625" style="34" customWidth="1"/>
    <col min="36" max="36" width="9.33203125" style="22"/>
    <col min="37" max="37" width="12.6640625" style="22" customWidth="1"/>
    <col min="38" max="38" width="11.6640625" style="22" hidden="1" customWidth="1"/>
    <col min="39" max="39" width="13.6640625" style="22" hidden="1" customWidth="1"/>
    <col min="40" max="42" width="9.33203125" style="22"/>
    <col min="43" max="43" width="14" style="22" bestFit="1" customWidth="1"/>
    <col min="44" max="16384" width="9.33203125" style="22"/>
  </cols>
  <sheetData>
    <row r="1" spans="1:45" ht="12.75" customHeight="1" x14ac:dyDescent="0.2">
      <c r="AE1" s="1439"/>
      <c r="AF1" s="1439"/>
      <c r="AG1" s="1439"/>
      <c r="AH1" s="1439"/>
    </row>
    <row r="2" spans="1:45" ht="24" customHeight="1" x14ac:dyDescent="0.2">
      <c r="A2" s="1428" t="s">
        <v>158</v>
      </c>
      <c r="B2" s="1428"/>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8"/>
      <c r="AA2" s="1428"/>
      <c r="AB2" s="1428"/>
      <c r="AC2" s="1428"/>
      <c r="AD2" s="1428"/>
      <c r="AE2" s="1428"/>
      <c r="AF2" s="1428"/>
      <c r="AG2" s="1428"/>
      <c r="AH2" s="1428"/>
      <c r="AI2" s="36"/>
    </row>
    <row r="3" spans="1:45" ht="24.75" customHeight="1" x14ac:dyDescent="0.2">
      <c r="A3" s="1429"/>
      <c r="B3" s="1429"/>
      <c r="C3" s="1429"/>
      <c r="D3" s="1429"/>
      <c r="E3" s="1429"/>
      <c r="F3" s="1429"/>
      <c r="G3" s="1429"/>
      <c r="H3" s="1429"/>
      <c r="I3" s="1429"/>
      <c r="J3" s="1429"/>
      <c r="K3" s="1429"/>
      <c r="L3" s="1429"/>
      <c r="M3" s="1429"/>
      <c r="N3" s="1429"/>
      <c r="O3" s="1429"/>
      <c r="P3" s="1429"/>
      <c r="Q3" s="1429"/>
      <c r="R3" s="1429"/>
      <c r="S3" s="1429"/>
      <c r="T3" s="1429"/>
      <c r="U3" s="1429"/>
      <c r="V3" s="1429"/>
      <c r="W3" s="1429"/>
      <c r="X3" s="1429"/>
      <c r="Y3" s="1429"/>
      <c r="Z3" s="1429"/>
      <c r="AA3" s="1429"/>
      <c r="AB3" s="1429"/>
      <c r="AC3" s="1429"/>
      <c r="AD3" s="1429"/>
      <c r="AE3" s="1429"/>
      <c r="AF3" s="1429"/>
      <c r="AG3" s="1429"/>
      <c r="AH3" s="1429"/>
      <c r="AI3" s="283"/>
    </row>
    <row r="4" spans="1:45" x14ac:dyDescent="0.2">
      <c r="L4" s="38">
        <v>0.34311000000000003</v>
      </c>
    </row>
    <row r="5" spans="1:45" ht="38.25" customHeight="1" x14ac:dyDescent="0.2">
      <c r="A5" s="1442" t="s">
        <v>78</v>
      </c>
      <c r="B5" s="1442" t="s">
        <v>77</v>
      </c>
      <c r="C5" s="1431" t="s">
        <v>0</v>
      </c>
      <c r="D5" s="1431" t="s">
        <v>3</v>
      </c>
      <c r="E5" s="1431"/>
      <c r="F5" s="1431"/>
      <c r="G5" s="1431"/>
      <c r="H5" s="1431"/>
      <c r="I5" s="1431"/>
      <c r="J5" s="1431"/>
      <c r="K5" s="1431"/>
      <c r="L5" s="1431"/>
      <c r="M5" s="1431"/>
      <c r="N5" s="1431"/>
      <c r="O5" s="1431"/>
      <c r="P5" s="1431"/>
      <c r="Q5" s="1431"/>
      <c r="R5" s="1431"/>
      <c r="S5" s="1431"/>
      <c r="T5" s="1431"/>
      <c r="U5" s="1431"/>
      <c r="V5" s="1431"/>
      <c r="W5" s="1431"/>
      <c r="X5" s="1431" t="s">
        <v>4</v>
      </c>
      <c r="Y5" s="1431"/>
      <c r="Z5" s="1431"/>
      <c r="AA5" s="1431"/>
      <c r="AB5" s="1431"/>
      <c r="AC5" s="1431"/>
      <c r="AD5" s="1431"/>
      <c r="AE5" s="1431"/>
      <c r="AF5" s="1431"/>
      <c r="AG5" s="1431"/>
      <c r="AH5" s="1431"/>
    </row>
    <row r="6" spans="1:45" ht="60" customHeight="1" x14ac:dyDescent="0.2">
      <c r="A6" s="1442"/>
      <c r="B6" s="1442"/>
      <c r="C6" s="1431"/>
      <c r="D6" s="1423" t="s">
        <v>68</v>
      </c>
      <c r="E6" s="1423" t="s">
        <v>69</v>
      </c>
      <c r="F6" s="1423" t="s">
        <v>89</v>
      </c>
      <c r="G6" s="1423" t="s">
        <v>1</v>
      </c>
      <c r="H6" s="1423" t="s">
        <v>2</v>
      </c>
      <c r="I6" s="1423" t="s">
        <v>70</v>
      </c>
      <c r="J6" s="1423" t="s">
        <v>61</v>
      </c>
      <c r="K6" s="1423" t="s">
        <v>27</v>
      </c>
      <c r="L6" s="1831" t="s">
        <v>65</v>
      </c>
      <c r="M6" s="1831" t="s">
        <v>86</v>
      </c>
      <c r="N6" s="1832" t="s">
        <v>91</v>
      </c>
      <c r="O6" s="1832"/>
      <c r="P6" s="1832" t="s">
        <v>88</v>
      </c>
      <c r="Q6" s="1831" t="s">
        <v>82</v>
      </c>
      <c r="R6" s="1423" t="s">
        <v>83</v>
      </c>
      <c r="S6" s="1831" t="s">
        <v>87</v>
      </c>
      <c r="T6" s="1423" t="s">
        <v>84</v>
      </c>
      <c r="U6" s="1423" t="s">
        <v>9</v>
      </c>
      <c r="V6" s="1423" t="s">
        <v>7</v>
      </c>
      <c r="W6" s="1423" t="s">
        <v>85</v>
      </c>
      <c r="X6" s="1431" t="s">
        <v>10</v>
      </c>
      <c r="Y6" s="1431"/>
      <c r="Z6" s="1431"/>
      <c r="AA6" s="1431" t="s">
        <v>11</v>
      </c>
      <c r="AB6" s="1431"/>
      <c r="AC6" s="1431"/>
      <c r="AD6" s="1431" t="s">
        <v>12</v>
      </c>
      <c r="AE6" s="1431"/>
      <c r="AF6" s="1431"/>
      <c r="AG6" s="1431" t="s">
        <v>13</v>
      </c>
      <c r="AH6" s="1431" t="s">
        <v>73</v>
      </c>
    </row>
    <row r="7" spans="1:45" ht="107.25" customHeight="1" x14ac:dyDescent="0.2">
      <c r="A7" s="1442"/>
      <c r="B7" s="1442"/>
      <c r="C7" s="1431"/>
      <c r="D7" s="1423"/>
      <c r="E7" s="1423"/>
      <c r="F7" s="1423"/>
      <c r="G7" s="1423"/>
      <c r="H7" s="1423"/>
      <c r="I7" s="1423"/>
      <c r="J7" s="1423"/>
      <c r="K7" s="1423"/>
      <c r="L7" s="1831" t="s">
        <v>66</v>
      </c>
      <c r="M7" s="1831"/>
      <c r="N7" s="288" t="s">
        <v>80</v>
      </c>
      <c r="O7" s="288" t="s">
        <v>81</v>
      </c>
      <c r="P7" s="1832"/>
      <c r="Q7" s="1831"/>
      <c r="R7" s="1423"/>
      <c r="S7" s="1831" t="s">
        <v>67</v>
      </c>
      <c r="T7" s="1423"/>
      <c r="U7" s="1423"/>
      <c r="V7" s="1423"/>
      <c r="W7" s="1423"/>
      <c r="X7" s="280" t="s">
        <v>5</v>
      </c>
      <c r="Y7" s="280" t="s">
        <v>6</v>
      </c>
      <c r="Z7" s="280" t="s">
        <v>74</v>
      </c>
      <c r="AA7" s="280" t="s">
        <v>5</v>
      </c>
      <c r="AB7" s="280" t="s">
        <v>6</v>
      </c>
      <c r="AC7" s="280" t="s">
        <v>75</v>
      </c>
      <c r="AD7" s="280" t="s">
        <v>5</v>
      </c>
      <c r="AE7" s="280" t="s">
        <v>6</v>
      </c>
      <c r="AF7" s="280" t="s">
        <v>76</v>
      </c>
      <c r="AG7" s="1431"/>
      <c r="AH7" s="1431"/>
      <c r="AK7" s="22" t="s">
        <v>64</v>
      </c>
      <c r="AL7" s="22" t="s">
        <v>62</v>
      </c>
      <c r="AM7" s="165" t="s">
        <v>71</v>
      </c>
    </row>
    <row r="8" spans="1:45" x14ac:dyDescent="0.2">
      <c r="A8" s="278">
        <v>1</v>
      </c>
      <c r="B8" s="278">
        <v>2</v>
      </c>
      <c r="C8" s="278">
        <v>3</v>
      </c>
      <c r="D8" s="278">
        <v>4</v>
      </c>
      <c r="E8" s="278">
        <v>5</v>
      </c>
      <c r="F8" s="278">
        <v>6</v>
      </c>
      <c r="G8" s="278">
        <v>7</v>
      </c>
      <c r="H8" s="278">
        <v>8</v>
      </c>
      <c r="I8" s="278">
        <v>9</v>
      </c>
      <c r="J8" s="278">
        <v>10</v>
      </c>
      <c r="K8" s="278">
        <v>11</v>
      </c>
      <c r="L8" s="278">
        <v>12</v>
      </c>
      <c r="M8" s="278">
        <v>13</v>
      </c>
      <c r="N8" s="278">
        <v>14</v>
      </c>
      <c r="O8" s="278">
        <v>15</v>
      </c>
      <c r="P8" s="278">
        <v>16</v>
      </c>
      <c r="Q8" s="278">
        <v>17</v>
      </c>
      <c r="R8" s="278">
        <v>18</v>
      </c>
      <c r="S8" s="278">
        <v>19</v>
      </c>
      <c r="T8" s="278">
        <v>20</v>
      </c>
      <c r="U8" s="278">
        <v>21</v>
      </c>
      <c r="V8" s="278">
        <v>22</v>
      </c>
      <c r="W8" s="278">
        <v>23</v>
      </c>
      <c r="X8" s="278">
        <v>24</v>
      </c>
      <c r="Y8" s="278">
        <v>25</v>
      </c>
      <c r="Z8" s="278">
        <v>26</v>
      </c>
      <c r="AA8" s="278">
        <v>27</v>
      </c>
      <c r="AB8" s="278">
        <v>28</v>
      </c>
      <c r="AC8" s="278">
        <v>29</v>
      </c>
      <c r="AD8" s="278">
        <v>30</v>
      </c>
      <c r="AE8" s="278">
        <v>31</v>
      </c>
      <c r="AF8" s="278">
        <v>32</v>
      </c>
      <c r="AG8" s="278">
        <v>33</v>
      </c>
      <c r="AH8" s="278">
        <v>34</v>
      </c>
      <c r="AN8" s="43" t="s">
        <v>116</v>
      </c>
      <c r="AO8" s="43" t="s">
        <v>117</v>
      </c>
      <c r="AP8" s="43" t="s">
        <v>118</v>
      </c>
      <c r="AQ8" s="43" t="s">
        <v>119</v>
      </c>
    </row>
    <row r="9" spans="1:45" ht="16.5" customHeight="1" x14ac:dyDescent="0.2">
      <c r="A9" s="278">
        <v>1</v>
      </c>
      <c r="B9" s="166" t="s">
        <v>14</v>
      </c>
      <c r="C9" s="167">
        <v>1</v>
      </c>
      <c r="D9" s="168">
        <v>22.876999999999999</v>
      </c>
      <c r="E9" s="169">
        <f>C9*D9</f>
        <v>22.88</v>
      </c>
      <c r="F9" s="170">
        <f>E9*12</f>
        <v>274.60000000000002</v>
      </c>
      <c r="G9" s="154"/>
      <c r="H9" s="154"/>
      <c r="I9" s="154"/>
      <c r="J9" s="154"/>
      <c r="K9" s="154">
        <f>F9*0.4</f>
        <v>109.8</v>
      </c>
      <c r="L9" s="154">
        <f>F9*$L$4</f>
        <v>94.2</v>
      </c>
      <c r="M9" s="154">
        <f>F9+G9+H9+I9+J9+K9+L9</f>
        <v>478.6</v>
      </c>
      <c r="N9" s="171">
        <v>0.47</v>
      </c>
      <c r="O9" s="154">
        <f>M9*N9</f>
        <v>224.9</v>
      </c>
      <c r="P9" s="154">
        <f>M9+O9</f>
        <v>703.5</v>
      </c>
      <c r="Q9" s="154">
        <f>P9*0.8</f>
        <v>562.79999999999995</v>
      </c>
      <c r="R9" s="154">
        <f>P9*0.8</f>
        <v>562.79999999999995</v>
      </c>
      <c r="S9" s="154">
        <f>(P9+Q9+R9)*0.032</f>
        <v>58.5</v>
      </c>
      <c r="T9" s="154">
        <f>P9+Q9+R9+S9</f>
        <v>1887.6</v>
      </c>
      <c r="U9" s="1833">
        <v>1</v>
      </c>
      <c r="V9" s="155">
        <f t="shared" ref="V9:V21" si="0">T9*$U$9</f>
        <v>1887.6</v>
      </c>
      <c r="W9" s="155">
        <f>AQ9</f>
        <v>451.9</v>
      </c>
      <c r="X9" s="278"/>
      <c r="Y9" s="24">
        <v>30</v>
      </c>
      <c r="Z9" s="48">
        <f t="shared" ref="Z9:Z22" si="1">X9*Y9</f>
        <v>0</v>
      </c>
      <c r="AA9" s="278"/>
      <c r="AB9" s="24">
        <v>15</v>
      </c>
      <c r="AC9" s="48">
        <f t="shared" ref="AC9:AC22" si="2">AA9*AB9</f>
        <v>0</v>
      </c>
      <c r="AD9" s="278"/>
      <c r="AE9" s="24">
        <v>30</v>
      </c>
      <c r="AF9" s="48">
        <f t="shared" ref="AF9:AF22" si="3">AD9*AE9</f>
        <v>0</v>
      </c>
      <c r="AG9" s="48">
        <f t="shared" ref="AG9:AG22" si="4">(Z9+AC9+AF9)*1%*30</f>
        <v>0</v>
      </c>
      <c r="AH9" s="48">
        <f t="shared" ref="AH9:AH22" si="5">Z9+AC9+AF9+AG9</f>
        <v>0</v>
      </c>
      <c r="AI9" s="34">
        <f t="shared" ref="AI9:AI22" si="6">V9/12/C9*1000</f>
        <v>157300</v>
      </c>
      <c r="AJ9" s="34"/>
      <c r="AK9" s="34">
        <f t="shared" ref="AK9:AK22" si="7">V9/C9</f>
        <v>1887.6</v>
      </c>
      <c r="AL9" s="34">
        <f>((979*0.302)+((AK9-979)*0.182))</f>
        <v>461</v>
      </c>
      <c r="AM9" s="51">
        <f>AL9/AK9</f>
        <v>0.24399999999999999</v>
      </c>
      <c r="AN9" s="116">
        <f>1150*0.22*C9+(V9-1150*C9)*0.1</f>
        <v>326.8</v>
      </c>
      <c r="AO9" s="116">
        <f>865*0.029*C9</f>
        <v>25.1</v>
      </c>
      <c r="AP9" s="116">
        <f>AK9*0.053</f>
        <v>100</v>
      </c>
      <c r="AQ9" s="116">
        <f>SUM(AN9:AP9)</f>
        <v>451.9</v>
      </c>
      <c r="AS9" s="51">
        <f t="shared" ref="AS9:AS22" si="8">D9*1.5</f>
        <v>34.316000000000003</v>
      </c>
    </row>
    <row r="10" spans="1:45" ht="15" x14ac:dyDescent="0.2">
      <c r="A10" s="278">
        <v>2</v>
      </c>
      <c r="B10" s="166" t="s">
        <v>125</v>
      </c>
      <c r="C10" s="167">
        <v>2</v>
      </c>
      <c r="D10" s="168">
        <v>16.013999999999999</v>
      </c>
      <c r="E10" s="169">
        <f>C10*D10</f>
        <v>32.03</v>
      </c>
      <c r="F10" s="170">
        <f t="shared" ref="F10:F22" si="9">E10*12</f>
        <v>384.4</v>
      </c>
      <c r="G10" s="154"/>
      <c r="H10" s="154"/>
      <c r="I10" s="154">
        <f>D10*0.25*12</f>
        <v>48</v>
      </c>
      <c r="J10" s="154"/>
      <c r="K10" s="154">
        <f>D10*0.25*12+D10*0.4*12+D10*0.05*4</f>
        <v>128.1</v>
      </c>
      <c r="L10" s="154">
        <f t="shared" ref="L10:L21" si="10">F10*$L$4</f>
        <v>131.9</v>
      </c>
      <c r="M10" s="154">
        <f t="shared" ref="M10:M22" si="11">F10+G10+H10+I10+J10+K10+L10</f>
        <v>692.4</v>
      </c>
      <c r="N10" s="171">
        <v>0.47</v>
      </c>
      <c r="O10" s="154">
        <f t="shared" ref="O10:O22" si="12">M10*N10</f>
        <v>325.39999999999998</v>
      </c>
      <c r="P10" s="154">
        <f t="shared" ref="P10:P22" si="13">M10+O10</f>
        <v>1017.8</v>
      </c>
      <c r="Q10" s="154">
        <f t="shared" ref="Q10:Q22" si="14">P10*0.8</f>
        <v>814.2</v>
      </c>
      <c r="R10" s="154">
        <f t="shared" ref="R10:R22" si="15">P10*0.8</f>
        <v>814.2</v>
      </c>
      <c r="S10" s="154">
        <f t="shared" ref="S10:S22" si="16">(P10+Q10+R10)*0.032</f>
        <v>84.7</v>
      </c>
      <c r="T10" s="154">
        <f t="shared" ref="T10:T22" si="17">P10+Q10+R10+S10</f>
        <v>2730.9</v>
      </c>
      <c r="U10" s="1834"/>
      <c r="V10" s="155">
        <f t="shared" si="0"/>
        <v>2730.9</v>
      </c>
      <c r="W10" s="155">
        <f>AQ10</f>
        <v>744</v>
      </c>
      <c r="X10" s="278"/>
      <c r="Y10" s="24">
        <v>30</v>
      </c>
      <c r="Z10" s="48">
        <f t="shared" si="1"/>
        <v>0</v>
      </c>
      <c r="AA10" s="278">
        <v>1</v>
      </c>
      <c r="AB10" s="24">
        <v>15</v>
      </c>
      <c r="AC10" s="48">
        <f t="shared" si="2"/>
        <v>15</v>
      </c>
      <c r="AD10" s="278"/>
      <c r="AE10" s="24">
        <v>30</v>
      </c>
      <c r="AF10" s="48">
        <f t="shared" si="3"/>
        <v>0</v>
      </c>
      <c r="AG10" s="48">
        <f t="shared" si="4"/>
        <v>4.5</v>
      </c>
      <c r="AH10" s="48">
        <f t="shared" si="5"/>
        <v>19.5</v>
      </c>
      <c r="AI10" s="34">
        <f t="shared" si="6"/>
        <v>113787.5</v>
      </c>
      <c r="AJ10" s="34"/>
      <c r="AK10" s="34">
        <f t="shared" si="7"/>
        <v>1365.5</v>
      </c>
      <c r="AL10" s="34">
        <f t="shared" ref="AL10:AL22" si="18">((979*0.302)+((AK10-979)*0.182))</f>
        <v>366</v>
      </c>
      <c r="AM10" s="51">
        <f>AL10/AK10</f>
        <v>0.26800000000000002</v>
      </c>
      <c r="AN10" s="116">
        <f>1150*0.22*C10+(V10-1150*C10)*0.1</f>
        <v>549.1</v>
      </c>
      <c r="AO10" s="116">
        <f>865*0.029*C10</f>
        <v>50.2</v>
      </c>
      <c r="AP10" s="116">
        <f>AK10*0.053*2</f>
        <v>144.69999999999999</v>
      </c>
      <c r="AQ10" s="116">
        <f>SUM(AN10:AP10)</f>
        <v>744</v>
      </c>
      <c r="AS10" s="51">
        <f t="shared" si="8"/>
        <v>24.021000000000001</v>
      </c>
    </row>
    <row r="11" spans="1:45" ht="15" x14ac:dyDescent="0.2">
      <c r="A11" s="278">
        <v>3</v>
      </c>
      <c r="B11" s="106" t="s">
        <v>33</v>
      </c>
      <c r="C11" s="172">
        <v>1</v>
      </c>
      <c r="D11" s="173">
        <v>8.4730000000000008</v>
      </c>
      <c r="E11" s="171">
        <f t="shared" ref="E11:E22" si="19">C11*D11</f>
        <v>8.4700000000000006</v>
      </c>
      <c r="F11" s="154">
        <f t="shared" si="9"/>
        <v>101.6</v>
      </c>
      <c r="G11" s="154"/>
      <c r="H11" s="154"/>
      <c r="I11" s="154"/>
      <c r="J11" s="154"/>
      <c r="K11" s="154">
        <f>D11*0.2*5</f>
        <v>8.5</v>
      </c>
      <c r="L11" s="154">
        <f t="shared" si="10"/>
        <v>34.9</v>
      </c>
      <c r="M11" s="154">
        <f t="shared" si="11"/>
        <v>145</v>
      </c>
      <c r="N11" s="171">
        <v>0.41</v>
      </c>
      <c r="O11" s="154">
        <f t="shared" si="12"/>
        <v>59.5</v>
      </c>
      <c r="P11" s="154">
        <f t="shared" si="13"/>
        <v>204.5</v>
      </c>
      <c r="Q11" s="154">
        <f t="shared" si="14"/>
        <v>163.6</v>
      </c>
      <c r="R11" s="154">
        <f t="shared" si="15"/>
        <v>163.6</v>
      </c>
      <c r="S11" s="154">
        <f t="shared" si="16"/>
        <v>17</v>
      </c>
      <c r="T11" s="154">
        <f t="shared" si="17"/>
        <v>548.70000000000005</v>
      </c>
      <c r="U11" s="1834"/>
      <c r="V11" s="155">
        <f t="shared" si="0"/>
        <v>548.70000000000005</v>
      </c>
      <c r="W11" s="155">
        <f>V11*0.302</f>
        <v>165.7</v>
      </c>
      <c r="X11" s="162"/>
      <c r="Y11" s="163">
        <v>30</v>
      </c>
      <c r="Z11" s="164">
        <f t="shared" si="1"/>
        <v>0</v>
      </c>
      <c r="AA11" s="162"/>
      <c r="AB11" s="163">
        <v>15</v>
      </c>
      <c r="AC11" s="164">
        <f t="shared" si="2"/>
        <v>0</v>
      </c>
      <c r="AD11" s="162"/>
      <c r="AE11" s="163">
        <v>30</v>
      </c>
      <c r="AF11" s="164">
        <f t="shared" si="3"/>
        <v>0</v>
      </c>
      <c r="AG11" s="164">
        <f t="shared" si="4"/>
        <v>0</v>
      </c>
      <c r="AH11" s="164">
        <f t="shared" si="5"/>
        <v>0</v>
      </c>
      <c r="AI11" s="34">
        <f t="shared" si="6"/>
        <v>45725</v>
      </c>
      <c r="AJ11" s="34"/>
      <c r="AK11" s="34">
        <f t="shared" si="7"/>
        <v>548.70000000000005</v>
      </c>
      <c r="AL11" s="34">
        <f t="shared" si="18"/>
        <v>217.3</v>
      </c>
      <c r="AM11" s="51">
        <v>0.30199999999999999</v>
      </c>
      <c r="AO11" s="116"/>
      <c r="AP11" s="116"/>
      <c r="AQ11" s="116"/>
      <c r="AS11" s="51">
        <f t="shared" si="8"/>
        <v>12.71</v>
      </c>
    </row>
    <row r="12" spans="1:45" ht="15" x14ac:dyDescent="0.2">
      <c r="A12" s="278">
        <v>4</v>
      </c>
      <c r="B12" s="106" t="s">
        <v>105</v>
      </c>
      <c r="C12" s="172">
        <v>2</v>
      </c>
      <c r="D12" s="173">
        <v>8.4730000000000008</v>
      </c>
      <c r="E12" s="171">
        <f t="shared" si="19"/>
        <v>16.95</v>
      </c>
      <c r="F12" s="154">
        <f t="shared" si="9"/>
        <v>203.4</v>
      </c>
      <c r="G12" s="154"/>
      <c r="H12" s="154"/>
      <c r="I12" s="154"/>
      <c r="J12" s="154"/>
      <c r="K12" s="154">
        <f>F12*0.35</f>
        <v>71.2</v>
      </c>
      <c r="L12" s="154">
        <f t="shared" si="10"/>
        <v>69.8</v>
      </c>
      <c r="M12" s="154">
        <f t="shared" si="11"/>
        <v>344.4</v>
      </c>
      <c r="N12" s="171">
        <v>0.41</v>
      </c>
      <c r="O12" s="154">
        <f t="shared" si="12"/>
        <v>141.19999999999999</v>
      </c>
      <c r="P12" s="154">
        <f t="shared" si="13"/>
        <v>485.6</v>
      </c>
      <c r="Q12" s="154">
        <f t="shared" si="14"/>
        <v>388.5</v>
      </c>
      <c r="R12" s="154">
        <f t="shared" si="15"/>
        <v>388.5</v>
      </c>
      <c r="S12" s="154">
        <f t="shared" si="16"/>
        <v>40.4</v>
      </c>
      <c r="T12" s="154">
        <f t="shared" si="17"/>
        <v>1303</v>
      </c>
      <c r="U12" s="1834"/>
      <c r="V12" s="155">
        <f t="shared" si="0"/>
        <v>1303</v>
      </c>
      <c r="W12" s="155">
        <f t="shared" ref="W12:W22" si="20">V12*0.302</f>
        <v>393.5</v>
      </c>
      <c r="X12" s="162">
        <v>2</v>
      </c>
      <c r="Y12" s="163">
        <v>30</v>
      </c>
      <c r="Z12" s="164">
        <f t="shared" si="1"/>
        <v>60</v>
      </c>
      <c r="AA12" s="162"/>
      <c r="AB12" s="163">
        <v>15</v>
      </c>
      <c r="AC12" s="164">
        <f t="shared" si="2"/>
        <v>0</v>
      </c>
      <c r="AD12" s="162"/>
      <c r="AE12" s="163">
        <v>30</v>
      </c>
      <c r="AF12" s="164">
        <f t="shared" si="3"/>
        <v>0</v>
      </c>
      <c r="AG12" s="164">
        <f t="shared" si="4"/>
        <v>18</v>
      </c>
      <c r="AH12" s="164">
        <f t="shared" si="5"/>
        <v>78</v>
      </c>
      <c r="AI12" s="34">
        <f t="shared" si="6"/>
        <v>54291.7</v>
      </c>
      <c r="AJ12" s="34"/>
      <c r="AK12" s="34">
        <f t="shared" si="7"/>
        <v>651.5</v>
      </c>
      <c r="AL12" s="34">
        <f t="shared" si="18"/>
        <v>236.1</v>
      </c>
      <c r="AM12" s="51">
        <v>0.30199999999999999</v>
      </c>
      <c r="AQ12" s="116"/>
      <c r="AS12" s="51">
        <f t="shared" si="8"/>
        <v>12.71</v>
      </c>
    </row>
    <row r="13" spans="1:45" ht="15" x14ac:dyDescent="0.2">
      <c r="A13" s="278">
        <v>5</v>
      </c>
      <c r="B13" s="166" t="s">
        <v>15</v>
      </c>
      <c r="C13" s="174">
        <v>6</v>
      </c>
      <c r="D13" s="175">
        <v>11.061999999999999</v>
      </c>
      <c r="E13" s="171">
        <f t="shared" si="19"/>
        <v>66.37</v>
      </c>
      <c r="F13" s="154">
        <f t="shared" si="9"/>
        <v>796.4</v>
      </c>
      <c r="G13" s="154"/>
      <c r="H13" s="154"/>
      <c r="I13" s="154"/>
      <c r="J13" s="154"/>
      <c r="K13" s="154">
        <f>D13*0.2*12+D13*0.3*12+D13*0.35*12+D13*0.4*3*12</f>
        <v>272.10000000000002</v>
      </c>
      <c r="L13" s="154">
        <f t="shared" si="10"/>
        <v>273.3</v>
      </c>
      <c r="M13" s="154">
        <f t="shared" si="11"/>
        <v>1341.8</v>
      </c>
      <c r="N13" s="171">
        <v>0.43</v>
      </c>
      <c r="O13" s="154">
        <f t="shared" si="12"/>
        <v>577</v>
      </c>
      <c r="P13" s="154">
        <f t="shared" si="13"/>
        <v>1918.8</v>
      </c>
      <c r="Q13" s="154">
        <f t="shared" si="14"/>
        <v>1535</v>
      </c>
      <c r="R13" s="154">
        <f t="shared" si="15"/>
        <v>1535</v>
      </c>
      <c r="S13" s="154">
        <f t="shared" si="16"/>
        <v>159.6</v>
      </c>
      <c r="T13" s="154">
        <f t="shared" si="17"/>
        <v>5148.3999999999996</v>
      </c>
      <c r="U13" s="1834"/>
      <c r="V13" s="155">
        <f t="shared" si="0"/>
        <v>5148.3999999999996</v>
      </c>
      <c r="W13" s="155">
        <f t="shared" si="20"/>
        <v>1554.8</v>
      </c>
      <c r="X13" s="162">
        <v>5</v>
      </c>
      <c r="Y13" s="163">
        <v>30</v>
      </c>
      <c r="Z13" s="164">
        <f t="shared" si="1"/>
        <v>150</v>
      </c>
      <c r="AA13" s="162">
        <v>2</v>
      </c>
      <c r="AB13" s="163">
        <v>15</v>
      </c>
      <c r="AC13" s="164">
        <f t="shared" si="2"/>
        <v>30</v>
      </c>
      <c r="AD13" s="162"/>
      <c r="AE13" s="163">
        <v>30</v>
      </c>
      <c r="AF13" s="164">
        <f t="shared" si="3"/>
        <v>0</v>
      </c>
      <c r="AG13" s="164">
        <f t="shared" si="4"/>
        <v>54</v>
      </c>
      <c r="AH13" s="164">
        <f t="shared" si="5"/>
        <v>234</v>
      </c>
      <c r="AI13" s="34">
        <f t="shared" si="6"/>
        <v>71505.600000000006</v>
      </c>
      <c r="AJ13" s="34"/>
      <c r="AK13" s="34">
        <f t="shared" si="7"/>
        <v>858.1</v>
      </c>
      <c r="AL13" s="34">
        <f t="shared" si="18"/>
        <v>273.7</v>
      </c>
      <c r="AM13" s="51">
        <v>0.30199999999999999</v>
      </c>
      <c r="AO13" s="116"/>
      <c r="AP13" s="116"/>
      <c r="AQ13" s="116"/>
      <c r="AS13" s="51">
        <f t="shared" si="8"/>
        <v>16.593</v>
      </c>
    </row>
    <row r="14" spans="1:45" x14ac:dyDescent="0.2">
      <c r="A14" s="278">
        <v>6</v>
      </c>
      <c r="B14" s="166" t="s">
        <v>16</v>
      </c>
      <c r="C14" s="174">
        <v>17</v>
      </c>
      <c r="D14" s="175">
        <v>11.061999999999999</v>
      </c>
      <c r="E14" s="171">
        <f t="shared" si="19"/>
        <v>188.05</v>
      </c>
      <c r="F14" s="154">
        <f t="shared" si="9"/>
        <v>2256.6</v>
      </c>
      <c r="G14" s="154"/>
      <c r="H14" s="154"/>
      <c r="I14" s="154"/>
      <c r="J14" s="154"/>
      <c r="K14" s="154">
        <f>D14*0.3*12+D14*0.4*12</f>
        <v>92.9</v>
      </c>
      <c r="L14" s="154">
        <f t="shared" si="10"/>
        <v>774.3</v>
      </c>
      <c r="M14" s="154">
        <f t="shared" si="11"/>
        <v>3123.8</v>
      </c>
      <c r="N14" s="171">
        <v>0.43</v>
      </c>
      <c r="O14" s="154">
        <f t="shared" si="12"/>
        <v>1343.2</v>
      </c>
      <c r="P14" s="154">
        <f t="shared" si="13"/>
        <v>4467</v>
      </c>
      <c r="Q14" s="154">
        <f t="shared" si="14"/>
        <v>3573.6</v>
      </c>
      <c r="R14" s="154">
        <f t="shared" si="15"/>
        <v>3573.6</v>
      </c>
      <c r="S14" s="154">
        <f t="shared" si="16"/>
        <v>371.7</v>
      </c>
      <c r="T14" s="154">
        <f t="shared" si="17"/>
        <v>11985.9</v>
      </c>
      <c r="U14" s="1834"/>
      <c r="V14" s="155">
        <f t="shared" si="0"/>
        <v>11985.9</v>
      </c>
      <c r="W14" s="155">
        <f t="shared" si="20"/>
        <v>3619.7</v>
      </c>
      <c r="X14" s="162">
        <v>10</v>
      </c>
      <c r="Y14" s="163">
        <v>30</v>
      </c>
      <c r="Z14" s="164">
        <f t="shared" si="1"/>
        <v>300</v>
      </c>
      <c r="AA14" s="162">
        <v>3</v>
      </c>
      <c r="AB14" s="163">
        <v>15</v>
      </c>
      <c r="AC14" s="164">
        <f t="shared" si="2"/>
        <v>45</v>
      </c>
      <c r="AD14" s="162">
        <v>3</v>
      </c>
      <c r="AE14" s="163">
        <v>30</v>
      </c>
      <c r="AF14" s="164">
        <f t="shared" si="3"/>
        <v>90</v>
      </c>
      <c r="AG14" s="164">
        <f t="shared" si="4"/>
        <v>130.5</v>
      </c>
      <c r="AH14" s="164">
        <f t="shared" si="5"/>
        <v>565.5</v>
      </c>
      <c r="AI14" s="34">
        <f t="shared" si="6"/>
        <v>58754.400000000001</v>
      </c>
      <c r="AJ14" s="34"/>
      <c r="AK14" s="34">
        <f t="shared" si="7"/>
        <v>705.1</v>
      </c>
      <c r="AL14" s="34">
        <f t="shared" si="18"/>
        <v>245.8</v>
      </c>
      <c r="AM14" s="51">
        <v>0.30199999999999999</v>
      </c>
      <c r="AS14" s="51">
        <f t="shared" si="8"/>
        <v>16.593</v>
      </c>
    </row>
    <row r="15" spans="1:45" ht="15" x14ac:dyDescent="0.2">
      <c r="A15" s="278">
        <v>7</v>
      </c>
      <c r="B15" s="176" t="s">
        <v>36</v>
      </c>
      <c r="C15" s="167">
        <f>69.5-0.5</f>
        <v>69</v>
      </c>
      <c r="D15" s="177">
        <v>8.4730000000000008</v>
      </c>
      <c r="E15" s="171">
        <f>C15*D15</f>
        <v>584.64</v>
      </c>
      <c r="F15" s="154">
        <f t="shared" si="9"/>
        <v>7015.7</v>
      </c>
      <c r="G15" s="154"/>
      <c r="H15" s="154"/>
      <c r="I15" s="154"/>
      <c r="J15" s="154">
        <f>D15*5.05*12</f>
        <v>513.5</v>
      </c>
      <c r="K15" s="154">
        <f>D15*0.2*12+D15*0.05*4+D15*0.25*8+D15*0.05*16+D15*0.3*11+D15*0.05*31+D15*0.35*12+D15*0.4*12*12</f>
        <v>610.5</v>
      </c>
      <c r="L15" s="154">
        <f t="shared" si="10"/>
        <v>2407.1999999999998</v>
      </c>
      <c r="M15" s="154">
        <f t="shared" si="11"/>
        <v>10546.9</v>
      </c>
      <c r="N15" s="171">
        <v>0.41</v>
      </c>
      <c r="O15" s="154">
        <f t="shared" si="12"/>
        <v>4324.2</v>
      </c>
      <c r="P15" s="154">
        <f t="shared" si="13"/>
        <v>14871.1</v>
      </c>
      <c r="Q15" s="154">
        <f t="shared" si="14"/>
        <v>11896.9</v>
      </c>
      <c r="R15" s="154">
        <f t="shared" si="15"/>
        <v>11896.9</v>
      </c>
      <c r="S15" s="154">
        <f t="shared" si="16"/>
        <v>1237.3</v>
      </c>
      <c r="T15" s="154">
        <f t="shared" si="17"/>
        <v>39902.199999999997</v>
      </c>
      <c r="U15" s="1834"/>
      <c r="V15" s="155">
        <f>T15*$U$9</f>
        <v>39902.199999999997</v>
      </c>
      <c r="W15" s="155">
        <f t="shared" si="20"/>
        <v>12050.5</v>
      </c>
      <c r="X15" s="278">
        <v>41</v>
      </c>
      <c r="Y15" s="24">
        <v>30</v>
      </c>
      <c r="Z15" s="48">
        <f t="shared" si="1"/>
        <v>1230</v>
      </c>
      <c r="AA15" s="54">
        <v>15</v>
      </c>
      <c r="AB15" s="24">
        <v>15</v>
      </c>
      <c r="AC15" s="48">
        <f t="shared" si="2"/>
        <v>225</v>
      </c>
      <c r="AD15" s="54">
        <v>12</v>
      </c>
      <c r="AE15" s="24">
        <v>30</v>
      </c>
      <c r="AF15" s="48">
        <f t="shared" si="3"/>
        <v>360</v>
      </c>
      <c r="AG15" s="48">
        <f t="shared" si="4"/>
        <v>544.5</v>
      </c>
      <c r="AH15" s="48">
        <f t="shared" si="5"/>
        <v>2359.5</v>
      </c>
      <c r="AI15" s="34">
        <f t="shared" si="6"/>
        <v>48191.1</v>
      </c>
      <c r="AJ15" s="34"/>
      <c r="AK15" s="34">
        <f t="shared" si="7"/>
        <v>578.29999999999995</v>
      </c>
      <c r="AL15" s="34">
        <f t="shared" si="18"/>
        <v>222.7</v>
      </c>
      <c r="AM15" s="51">
        <v>0.30199999999999999</v>
      </c>
      <c r="AO15" s="116"/>
      <c r="AP15" s="116"/>
      <c r="AQ15" s="116"/>
      <c r="AS15" s="51">
        <f t="shared" si="8"/>
        <v>12.71</v>
      </c>
    </row>
    <row r="16" spans="1:45" ht="15" x14ac:dyDescent="0.2">
      <c r="A16" s="278">
        <v>8</v>
      </c>
      <c r="B16" s="176" t="s">
        <v>37</v>
      </c>
      <c r="C16" s="167">
        <v>6</v>
      </c>
      <c r="D16" s="177">
        <v>8.4730000000000008</v>
      </c>
      <c r="E16" s="171">
        <f>C16*D16</f>
        <v>50.84</v>
      </c>
      <c r="F16" s="154">
        <f t="shared" si="9"/>
        <v>610.1</v>
      </c>
      <c r="G16" s="154"/>
      <c r="H16" s="154"/>
      <c r="I16" s="154"/>
      <c r="J16" s="154">
        <f>D16*0.2*12</f>
        <v>20.3</v>
      </c>
      <c r="K16" s="154">
        <f>D16*0.4*12</f>
        <v>40.700000000000003</v>
      </c>
      <c r="L16" s="154">
        <f t="shared" si="10"/>
        <v>209.3</v>
      </c>
      <c r="M16" s="154">
        <f t="shared" si="11"/>
        <v>880.4</v>
      </c>
      <c r="N16" s="171">
        <v>0.41</v>
      </c>
      <c r="O16" s="154">
        <f t="shared" si="12"/>
        <v>361</v>
      </c>
      <c r="P16" s="154">
        <f t="shared" si="13"/>
        <v>1241.4000000000001</v>
      </c>
      <c r="Q16" s="154">
        <f t="shared" si="14"/>
        <v>993.1</v>
      </c>
      <c r="R16" s="154">
        <f t="shared" si="15"/>
        <v>993.1</v>
      </c>
      <c r="S16" s="154">
        <f t="shared" si="16"/>
        <v>103.3</v>
      </c>
      <c r="T16" s="154">
        <f t="shared" si="17"/>
        <v>3330.9</v>
      </c>
      <c r="U16" s="1834"/>
      <c r="V16" s="155">
        <f t="shared" si="0"/>
        <v>3330.9</v>
      </c>
      <c r="W16" s="155">
        <f t="shared" si="20"/>
        <v>1005.9</v>
      </c>
      <c r="X16" s="278"/>
      <c r="Y16" s="24">
        <v>30</v>
      </c>
      <c r="Z16" s="48">
        <f t="shared" si="1"/>
        <v>0</v>
      </c>
      <c r="AA16" s="54"/>
      <c r="AB16" s="24">
        <v>15</v>
      </c>
      <c r="AC16" s="48">
        <f t="shared" si="2"/>
        <v>0</v>
      </c>
      <c r="AD16" s="54"/>
      <c r="AE16" s="24">
        <v>30</v>
      </c>
      <c r="AF16" s="48">
        <f t="shared" si="3"/>
        <v>0</v>
      </c>
      <c r="AG16" s="48">
        <f t="shared" si="4"/>
        <v>0</v>
      </c>
      <c r="AH16" s="48">
        <f t="shared" si="5"/>
        <v>0</v>
      </c>
      <c r="AI16" s="34">
        <f t="shared" si="6"/>
        <v>46262.5</v>
      </c>
      <c r="AJ16" s="34"/>
      <c r="AK16" s="34">
        <f t="shared" si="7"/>
        <v>555.20000000000005</v>
      </c>
      <c r="AL16" s="34">
        <f t="shared" si="18"/>
        <v>218.5</v>
      </c>
      <c r="AM16" s="51">
        <v>0.30199999999999999</v>
      </c>
      <c r="AN16" s="116"/>
      <c r="AO16" s="116"/>
      <c r="AP16" s="116"/>
      <c r="AQ16" s="116"/>
      <c r="AS16" s="51">
        <f t="shared" si="8"/>
        <v>12.71</v>
      </c>
    </row>
    <row r="17" spans="1:45" x14ac:dyDescent="0.2">
      <c r="A17" s="278">
        <v>9</v>
      </c>
      <c r="B17" s="176" t="s">
        <v>19</v>
      </c>
      <c r="C17" s="167">
        <v>5</v>
      </c>
      <c r="D17" s="177">
        <v>8.4730000000000008</v>
      </c>
      <c r="E17" s="171">
        <f>C17*D17</f>
        <v>42.37</v>
      </c>
      <c r="F17" s="154">
        <f t="shared" si="9"/>
        <v>508.4</v>
      </c>
      <c r="G17" s="154"/>
      <c r="H17" s="154"/>
      <c r="I17" s="154"/>
      <c r="J17" s="154">
        <f>D17*1.25*12</f>
        <v>127.1</v>
      </c>
      <c r="K17" s="154">
        <f>D17*0.3*12+D17*0.35*2*12+D17*0.05*11+D17*0.4*2</f>
        <v>113.1</v>
      </c>
      <c r="L17" s="154">
        <f t="shared" si="10"/>
        <v>174.4</v>
      </c>
      <c r="M17" s="154">
        <f t="shared" si="11"/>
        <v>923</v>
      </c>
      <c r="N17" s="171">
        <v>0.41</v>
      </c>
      <c r="O17" s="154">
        <f t="shared" si="12"/>
        <v>378.4</v>
      </c>
      <c r="P17" s="154">
        <f t="shared" si="13"/>
        <v>1301.4000000000001</v>
      </c>
      <c r="Q17" s="154">
        <f t="shared" si="14"/>
        <v>1041.0999999999999</v>
      </c>
      <c r="R17" s="154">
        <f t="shared" si="15"/>
        <v>1041.0999999999999</v>
      </c>
      <c r="S17" s="154">
        <f t="shared" si="16"/>
        <v>108.3</v>
      </c>
      <c r="T17" s="154">
        <f t="shared" si="17"/>
        <v>3491.9</v>
      </c>
      <c r="U17" s="1834"/>
      <c r="V17" s="155">
        <f t="shared" si="0"/>
        <v>3491.9</v>
      </c>
      <c r="W17" s="155">
        <f t="shared" si="20"/>
        <v>1054.5999999999999</v>
      </c>
      <c r="X17" s="278">
        <v>3</v>
      </c>
      <c r="Y17" s="24">
        <v>30</v>
      </c>
      <c r="Z17" s="48">
        <f t="shared" si="1"/>
        <v>90</v>
      </c>
      <c r="AA17" s="54">
        <v>2</v>
      </c>
      <c r="AB17" s="24">
        <v>15</v>
      </c>
      <c r="AC17" s="48">
        <f t="shared" si="2"/>
        <v>30</v>
      </c>
      <c r="AD17" s="54"/>
      <c r="AE17" s="24">
        <v>30</v>
      </c>
      <c r="AF17" s="48">
        <f t="shared" si="3"/>
        <v>0</v>
      </c>
      <c r="AG17" s="48">
        <f t="shared" si="4"/>
        <v>36</v>
      </c>
      <c r="AH17" s="48">
        <f t="shared" si="5"/>
        <v>156</v>
      </c>
      <c r="AI17" s="34">
        <f t="shared" si="6"/>
        <v>58198.3</v>
      </c>
      <c r="AJ17" s="34"/>
      <c r="AK17" s="34">
        <f t="shared" si="7"/>
        <v>698.4</v>
      </c>
      <c r="AL17" s="34">
        <f t="shared" si="18"/>
        <v>244.6</v>
      </c>
      <c r="AM17" s="51">
        <v>0.30199999999999999</v>
      </c>
      <c r="AS17" s="51">
        <f t="shared" si="8"/>
        <v>12.71</v>
      </c>
    </row>
    <row r="18" spans="1:45" ht="25.5" x14ac:dyDescent="0.2">
      <c r="A18" s="278">
        <v>10</v>
      </c>
      <c r="B18" s="44" t="s">
        <v>131</v>
      </c>
      <c r="C18" s="167">
        <v>1</v>
      </c>
      <c r="D18" s="177">
        <v>8.4730000000000008</v>
      </c>
      <c r="E18" s="171">
        <f>C18*D18</f>
        <v>8.4700000000000006</v>
      </c>
      <c r="F18" s="154">
        <f t="shared" si="9"/>
        <v>101.6</v>
      </c>
      <c r="G18" s="154"/>
      <c r="H18" s="154"/>
      <c r="I18" s="154"/>
      <c r="J18" s="154"/>
      <c r="K18" s="154">
        <f>F18*0.4</f>
        <v>40.6</v>
      </c>
      <c r="L18" s="154">
        <f t="shared" si="10"/>
        <v>34.9</v>
      </c>
      <c r="M18" s="154">
        <f t="shared" si="11"/>
        <v>177.1</v>
      </c>
      <c r="N18" s="171">
        <v>0.41</v>
      </c>
      <c r="O18" s="154">
        <f t="shared" si="12"/>
        <v>72.599999999999994</v>
      </c>
      <c r="P18" s="154">
        <f t="shared" si="13"/>
        <v>249.7</v>
      </c>
      <c r="Q18" s="154">
        <f t="shared" si="14"/>
        <v>199.8</v>
      </c>
      <c r="R18" s="154">
        <f t="shared" si="15"/>
        <v>199.8</v>
      </c>
      <c r="S18" s="154">
        <f t="shared" si="16"/>
        <v>20.8</v>
      </c>
      <c r="T18" s="154">
        <f t="shared" si="17"/>
        <v>670.1</v>
      </c>
      <c r="U18" s="1834"/>
      <c r="V18" s="155">
        <f t="shared" si="0"/>
        <v>670.1</v>
      </c>
      <c r="W18" s="155">
        <f t="shared" si="20"/>
        <v>202.4</v>
      </c>
      <c r="X18" s="278">
        <v>1</v>
      </c>
      <c r="Y18" s="24">
        <v>35</v>
      </c>
      <c r="Z18" s="48">
        <f t="shared" si="1"/>
        <v>35</v>
      </c>
      <c r="AA18" s="54"/>
      <c r="AB18" s="24">
        <v>17.5</v>
      </c>
      <c r="AC18" s="48">
        <f t="shared" si="2"/>
        <v>0</v>
      </c>
      <c r="AD18" s="54"/>
      <c r="AE18" s="24">
        <v>35</v>
      </c>
      <c r="AF18" s="48">
        <f t="shared" si="3"/>
        <v>0</v>
      </c>
      <c r="AG18" s="48">
        <f t="shared" si="4"/>
        <v>10.5</v>
      </c>
      <c r="AH18" s="48">
        <f t="shared" si="5"/>
        <v>45.5</v>
      </c>
      <c r="AI18" s="34">
        <f t="shared" si="6"/>
        <v>55841.7</v>
      </c>
      <c r="AJ18" s="34"/>
      <c r="AK18" s="34">
        <f t="shared" si="7"/>
        <v>670.1</v>
      </c>
      <c r="AL18" s="34">
        <f t="shared" si="18"/>
        <v>239.4</v>
      </c>
      <c r="AM18" s="51">
        <v>0.30199999999999999</v>
      </c>
      <c r="AS18" s="51">
        <f t="shared" si="8"/>
        <v>12.71</v>
      </c>
    </row>
    <row r="19" spans="1:45" x14ac:dyDescent="0.2">
      <c r="A19" s="278">
        <v>11</v>
      </c>
      <c r="B19" s="178" t="s">
        <v>104</v>
      </c>
      <c r="C19" s="179">
        <v>1</v>
      </c>
      <c r="D19" s="177">
        <v>8.4730000000000008</v>
      </c>
      <c r="E19" s="171">
        <f t="shared" si="19"/>
        <v>8.4700000000000006</v>
      </c>
      <c r="F19" s="154">
        <f t="shared" si="9"/>
        <v>101.6</v>
      </c>
      <c r="G19" s="154"/>
      <c r="H19" s="154"/>
      <c r="I19" s="154"/>
      <c r="J19" s="154"/>
      <c r="K19" s="154">
        <f>F19*0.4</f>
        <v>40.6</v>
      </c>
      <c r="L19" s="154">
        <f t="shared" si="10"/>
        <v>34.9</v>
      </c>
      <c r="M19" s="154">
        <f t="shared" si="11"/>
        <v>177.1</v>
      </c>
      <c r="N19" s="171">
        <v>0.41</v>
      </c>
      <c r="O19" s="154">
        <f t="shared" si="12"/>
        <v>72.599999999999994</v>
      </c>
      <c r="P19" s="154">
        <f t="shared" si="13"/>
        <v>249.7</v>
      </c>
      <c r="Q19" s="154">
        <f t="shared" si="14"/>
        <v>199.8</v>
      </c>
      <c r="R19" s="154">
        <f t="shared" si="15"/>
        <v>199.8</v>
      </c>
      <c r="S19" s="154">
        <f t="shared" si="16"/>
        <v>20.8</v>
      </c>
      <c r="T19" s="154">
        <f t="shared" si="17"/>
        <v>670.1</v>
      </c>
      <c r="U19" s="1834"/>
      <c r="V19" s="155">
        <f t="shared" si="0"/>
        <v>670.1</v>
      </c>
      <c r="W19" s="155">
        <f t="shared" si="20"/>
        <v>202.4</v>
      </c>
      <c r="X19" s="278">
        <v>1</v>
      </c>
      <c r="Y19" s="24">
        <v>30</v>
      </c>
      <c r="Z19" s="48">
        <f t="shared" si="1"/>
        <v>30</v>
      </c>
      <c r="AA19" s="54"/>
      <c r="AB19" s="24">
        <v>15</v>
      </c>
      <c r="AC19" s="48">
        <f t="shared" si="2"/>
        <v>0</v>
      </c>
      <c r="AD19" s="54"/>
      <c r="AE19" s="24">
        <v>30</v>
      </c>
      <c r="AF19" s="48">
        <f t="shared" si="3"/>
        <v>0</v>
      </c>
      <c r="AG19" s="48">
        <f t="shared" si="4"/>
        <v>9</v>
      </c>
      <c r="AH19" s="48">
        <f t="shared" si="5"/>
        <v>39</v>
      </c>
      <c r="AI19" s="34">
        <f t="shared" si="6"/>
        <v>55841.7</v>
      </c>
      <c r="AJ19" s="34"/>
      <c r="AK19" s="34">
        <f t="shared" si="7"/>
        <v>670.1</v>
      </c>
      <c r="AL19" s="34">
        <f t="shared" si="18"/>
        <v>239.4</v>
      </c>
      <c r="AM19" s="51">
        <v>0.30199999999999999</v>
      </c>
      <c r="AS19" s="51">
        <f t="shared" si="8"/>
        <v>12.71</v>
      </c>
    </row>
    <row r="20" spans="1:45" x14ac:dyDescent="0.2">
      <c r="A20" s="278">
        <v>12</v>
      </c>
      <c r="B20" s="176" t="s">
        <v>20</v>
      </c>
      <c r="C20" s="180">
        <v>2</v>
      </c>
      <c r="D20" s="177">
        <v>8.4730000000000008</v>
      </c>
      <c r="E20" s="171">
        <f t="shared" si="19"/>
        <v>16.95</v>
      </c>
      <c r="F20" s="154">
        <f t="shared" si="9"/>
        <v>203.4</v>
      </c>
      <c r="G20" s="154"/>
      <c r="H20" s="154"/>
      <c r="I20" s="154"/>
      <c r="J20" s="154">
        <f>D20*0.1*12</f>
        <v>10.199999999999999</v>
      </c>
      <c r="K20" s="154">
        <f>D20*0.35*12</f>
        <v>35.6</v>
      </c>
      <c r="L20" s="154">
        <f t="shared" si="10"/>
        <v>69.8</v>
      </c>
      <c r="M20" s="154">
        <f t="shared" si="11"/>
        <v>319</v>
      </c>
      <c r="N20" s="171">
        <v>0.41</v>
      </c>
      <c r="O20" s="154">
        <f t="shared" si="12"/>
        <v>130.80000000000001</v>
      </c>
      <c r="P20" s="154">
        <f t="shared" si="13"/>
        <v>449.8</v>
      </c>
      <c r="Q20" s="154">
        <f t="shared" si="14"/>
        <v>359.8</v>
      </c>
      <c r="R20" s="154">
        <f t="shared" si="15"/>
        <v>359.8</v>
      </c>
      <c r="S20" s="154">
        <f t="shared" si="16"/>
        <v>37.4</v>
      </c>
      <c r="T20" s="154">
        <f t="shared" si="17"/>
        <v>1206.8</v>
      </c>
      <c r="U20" s="1834"/>
      <c r="V20" s="155">
        <f t="shared" si="0"/>
        <v>1206.8</v>
      </c>
      <c r="W20" s="155">
        <f t="shared" si="20"/>
        <v>364.5</v>
      </c>
      <c r="X20" s="278">
        <v>1</v>
      </c>
      <c r="Y20" s="24">
        <v>30</v>
      </c>
      <c r="Z20" s="48">
        <f t="shared" si="1"/>
        <v>30</v>
      </c>
      <c r="AA20" s="278">
        <v>1</v>
      </c>
      <c r="AB20" s="24">
        <v>15</v>
      </c>
      <c r="AC20" s="48">
        <f t="shared" si="2"/>
        <v>15</v>
      </c>
      <c r="AD20" s="278"/>
      <c r="AE20" s="24">
        <v>30</v>
      </c>
      <c r="AF20" s="48">
        <f t="shared" si="3"/>
        <v>0</v>
      </c>
      <c r="AG20" s="48">
        <f t="shared" si="4"/>
        <v>13.5</v>
      </c>
      <c r="AH20" s="48">
        <f t="shared" si="5"/>
        <v>58.5</v>
      </c>
      <c r="AI20" s="34">
        <f t="shared" si="6"/>
        <v>50283.3</v>
      </c>
      <c r="AJ20" s="34"/>
      <c r="AK20" s="34">
        <f t="shared" si="7"/>
        <v>603.4</v>
      </c>
      <c r="AL20" s="34">
        <f t="shared" si="18"/>
        <v>227.3</v>
      </c>
      <c r="AM20" s="51">
        <v>0.30199999999999999</v>
      </c>
      <c r="AS20" s="51">
        <f t="shared" si="8"/>
        <v>12.71</v>
      </c>
    </row>
    <row r="21" spans="1:45" ht="25.5" x14ac:dyDescent="0.2">
      <c r="A21" s="278">
        <v>13</v>
      </c>
      <c r="B21" s="181" t="s">
        <v>106</v>
      </c>
      <c r="C21" s="172">
        <v>12</v>
      </c>
      <c r="D21" s="182">
        <v>8.4730000000000008</v>
      </c>
      <c r="E21" s="171">
        <f t="shared" si="19"/>
        <v>101.68</v>
      </c>
      <c r="F21" s="154">
        <f t="shared" si="9"/>
        <v>1220.2</v>
      </c>
      <c r="G21" s="154"/>
      <c r="H21" s="154"/>
      <c r="I21" s="154"/>
      <c r="J21" s="154"/>
      <c r="K21" s="154">
        <f>D21*0.2*12+D21*0.4*12+D21*0.2*30</f>
        <v>111.8</v>
      </c>
      <c r="L21" s="154">
        <f t="shared" si="10"/>
        <v>418.7</v>
      </c>
      <c r="M21" s="154">
        <f t="shared" si="11"/>
        <v>1750.7</v>
      </c>
      <c r="N21" s="171">
        <v>0.47</v>
      </c>
      <c r="O21" s="154">
        <f t="shared" si="12"/>
        <v>822.8</v>
      </c>
      <c r="P21" s="154">
        <f t="shared" si="13"/>
        <v>2573.5</v>
      </c>
      <c r="Q21" s="154">
        <f t="shared" si="14"/>
        <v>2058.8000000000002</v>
      </c>
      <c r="R21" s="154">
        <f t="shared" si="15"/>
        <v>2058.8000000000002</v>
      </c>
      <c r="S21" s="154">
        <f t="shared" si="16"/>
        <v>214.1</v>
      </c>
      <c r="T21" s="154">
        <f t="shared" si="17"/>
        <v>6905.2</v>
      </c>
      <c r="U21" s="1834"/>
      <c r="V21" s="155">
        <f t="shared" si="0"/>
        <v>6905.2</v>
      </c>
      <c r="W21" s="155">
        <f t="shared" si="20"/>
        <v>2085.4</v>
      </c>
      <c r="X21" s="272">
        <v>10</v>
      </c>
      <c r="Y21" s="163">
        <v>30</v>
      </c>
      <c r="Z21" s="164">
        <f t="shared" si="1"/>
        <v>300</v>
      </c>
      <c r="AA21" s="272">
        <v>6</v>
      </c>
      <c r="AB21" s="163">
        <v>15</v>
      </c>
      <c r="AC21" s="164">
        <f t="shared" si="2"/>
        <v>90</v>
      </c>
      <c r="AD21" s="272"/>
      <c r="AE21" s="163">
        <v>30</v>
      </c>
      <c r="AF21" s="164">
        <f t="shared" si="3"/>
        <v>0</v>
      </c>
      <c r="AG21" s="164">
        <f t="shared" si="4"/>
        <v>117</v>
      </c>
      <c r="AH21" s="164">
        <f t="shared" si="5"/>
        <v>507</v>
      </c>
      <c r="AI21" s="34">
        <f t="shared" si="6"/>
        <v>47952.800000000003</v>
      </c>
      <c r="AJ21" s="34"/>
      <c r="AK21" s="34">
        <f t="shared" si="7"/>
        <v>575.4</v>
      </c>
      <c r="AL21" s="34">
        <f t="shared" si="18"/>
        <v>222.2</v>
      </c>
      <c r="AM21" s="51">
        <v>0.30199999999999999</v>
      </c>
      <c r="AS21" s="51">
        <f t="shared" si="8"/>
        <v>12.71</v>
      </c>
    </row>
    <row r="22" spans="1:45" s="188" customFormat="1" x14ac:dyDescent="0.2">
      <c r="A22" s="278">
        <v>14</v>
      </c>
      <c r="B22" s="106" t="s">
        <v>107</v>
      </c>
      <c r="C22" s="172">
        <f>2-1</f>
        <v>1</v>
      </c>
      <c r="D22" s="183">
        <v>4.3769999999999998</v>
      </c>
      <c r="E22" s="184">
        <f t="shared" si="19"/>
        <v>4.38</v>
      </c>
      <c r="F22" s="185">
        <f t="shared" si="9"/>
        <v>52.6</v>
      </c>
      <c r="G22" s="155"/>
      <c r="H22" s="155"/>
      <c r="I22" s="155"/>
      <c r="J22" s="155"/>
      <c r="K22" s="155"/>
      <c r="L22" s="154">
        <v>38.299999999999997</v>
      </c>
      <c r="M22" s="186">
        <f t="shared" si="11"/>
        <v>90.9</v>
      </c>
      <c r="N22" s="184">
        <v>0.47</v>
      </c>
      <c r="O22" s="186">
        <f t="shared" si="12"/>
        <v>42.7</v>
      </c>
      <c r="P22" s="186">
        <f t="shared" si="13"/>
        <v>133.6</v>
      </c>
      <c r="Q22" s="186">
        <f t="shared" si="14"/>
        <v>106.9</v>
      </c>
      <c r="R22" s="155">
        <f t="shared" si="15"/>
        <v>106.9</v>
      </c>
      <c r="S22" s="186">
        <f t="shared" si="16"/>
        <v>11.1</v>
      </c>
      <c r="T22" s="186">
        <f t="shared" si="17"/>
        <v>358.5</v>
      </c>
      <c r="U22" s="1835"/>
      <c r="V22" s="186">
        <f>T22*$U$9</f>
        <v>358.5</v>
      </c>
      <c r="W22" s="155">
        <f t="shared" si="20"/>
        <v>108.3</v>
      </c>
      <c r="X22" s="278">
        <v>1</v>
      </c>
      <c r="Y22" s="24">
        <v>30</v>
      </c>
      <c r="Z22" s="48">
        <f t="shared" si="1"/>
        <v>30</v>
      </c>
      <c r="AA22" s="278"/>
      <c r="AB22" s="24">
        <v>15</v>
      </c>
      <c r="AC22" s="48">
        <f t="shared" si="2"/>
        <v>0</v>
      </c>
      <c r="AD22" s="278">
        <v>1</v>
      </c>
      <c r="AE22" s="24">
        <v>30</v>
      </c>
      <c r="AF22" s="48">
        <f t="shared" si="3"/>
        <v>30</v>
      </c>
      <c r="AG22" s="48">
        <f t="shared" si="4"/>
        <v>18</v>
      </c>
      <c r="AH22" s="48">
        <f t="shared" si="5"/>
        <v>78</v>
      </c>
      <c r="AI22" s="34">
        <f t="shared" si="6"/>
        <v>29875</v>
      </c>
      <c r="AJ22" s="187"/>
      <c r="AK22" s="34">
        <f t="shared" si="7"/>
        <v>358.5</v>
      </c>
      <c r="AL22" s="34">
        <f t="shared" si="18"/>
        <v>182.7</v>
      </c>
      <c r="AM22" s="51">
        <v>0.30199999999999999</v>
      </c>
      <c r="AN22" s="22"/>
      <c r="AO22" s="22"/>
      <c r="AP22" s="22"/>
      <c r="AQ22" s="22"/>
      <c r="AS22" s="51">
        <f t="shared" si="8"/>
        <v>6.5659999999999998</v>
      </c>
    </row>
    <row r="23" spans="1:45" s="33" customFormat="1" ht="20.25" customHeight="1" x14ac:dyDescent="0.2">
      <c r="A23" s="1830" t="s">
        <v>72</v>
      </c>
      <c r="B23" s="1830"/>
      <c r="C23" s="189">
        <f t="shared" ref="C23:AH23" si="21">SUM(C9:C22)</f>
        <v>126</v>
      </c>
      <c r="D23" s="156">
        <f t="shared" si="21"/>
        <v>141.6</v>
      </c>
      <c r="E23" s="156">
        <f t="shared" si="21"/>
        <v>1152.5999999999999</v>
      </c>
      <c r="F23" s="156">
        <f t="shared" si="21"/>
        <v>13830.6</v>
      </c>
      <c r="G23" s="156">
        <f t="shared" si="21"/>
        <v>0</v>
      </c>
      <c r="H23" s="156">
        <f t="shared" si="21"/>
        <v>0</v>
      </c>
      <c r="I23" s="156">
        <f t="shared" si="21"/>
        <v>48</v>
      </c>
      <c r="J23" s="156">
        <f t="shared" si="21"/>
        <v>671.1</v>
      </c>
      <c r="K23" s="156">
        <f t="shared" si="21"/>
        <v>1675.5</v>
      </c>
      <c r="L23" s="156">
        <f t="shared" si="21"/>
        <v>4765.8999999999996</v>
      </c>
      <c r="M23" s="156">
        <f t="shared" si="21"/>
        <v>20991.1</v>
      </c>
      <c r="N23" s="156"/>
      <c r="O23" s="156">
        <f t="shared" si="21"/>
        <v>8876.2999999999993</v>
      </c>
      <c r="P23" s="156">
        <f t="shared" si="21"/>
        <v>29867.4</v>
      </c>
      <c r="Q23" s="156">
        <f t="shared" si="21"/>
        <v>23893.9</v>
      </c>
      <c r="R23" s="156">
        <f t="shared" si="21"/>
        <v>23893.9</v>
      </c>
      <c r="S23" s="156">
        <f t="shared" si="21"/>
        <v>2485</v>
      </c>
      <c r="T23" s="156">
        <f t="shared" si="21"/>
        <v>80140.2</v>
      </c>
      <c r="U23" s="156">
        <f t="shared" si="21"/>
        <v>1</v>
      </c>
      <c r="V23" s="156">
        <f t="shared" si="21"/>
        <v>80140.2</v>
      </c>
      <c r="W23" s="156">
        <f>SUM(W9:W22)</f>
        <v>24003.599999999999</v>
      </c>
      <c r="X23" s="156">
        <f>SUM(X9:X22)</f>
        <v>75</v>
      </c>
      <c r="Y23" s="156">
        <f t="shared" si="21"/>
        <v>425</v>
      </c>
      <c r="Z23" s="190">
        <f t="shared" si="21"/>
        <v>2255</v>
      </c>
      <c r="AA23" s="156">
        <f t="shared" si="21"/>
        <v>30</v>
      </c>
      <c r="AB23" s="156">
        <f t="shared" si="21"/>
        <v>212.5</v>
      </c>
      <c r="AC23" s="190">
        <f t="shared" si="21"/>
        <v>450</v>
      </c>
      <c r="AD23" s="156">
        <f t="shared" si="21"/>
        <v>16</v>
      </c>
      <c r="AE23" s="156">
        <f t="shared" si="21"/>
        <v>425</v>
      </c>
      <c r="AF23" s="190">
        <f t="shared" si="21"/>
        <v>480</v>
      </c>
      <c r="AG23" s="190">
        <f t="shared" si="21"/>
        <v>955.5</v>
      </c>
      <c r="AH23" s="190">
        <f t="shared" si="21"/>
        <v>4140.5</v>
      </c>
      <c r="AI23" s="34"/>
      <c r="AJ23" s="187"/>
      <c r="AK23" s="34"/>
      <c r="AL23" s="34"/>
      <c r="AM23" s="51"/>
      <c r="AN23" s="22"/>
      <c r="AO23" s="22"/>
      <c r="AP23" s="22"/>
      <c r="AQ23" s="22"/>
      <c r="AS23" s="51"/>
    </row>
    <row r="24" spans="1:45" s="192" customFormat="1" ht="14.25" customHeight="1" x14ac:dyDescent="0.2">
      <c r="A24" s="33"/>
      <c r="B24" s="22"/>
      <c r="C24" s="191"/>
      <c r="D24" s="22"/>
      <c r="E24" s="22"/>
      <c r="F24" s="22"/>
      <c r="G24" s="39"/>
      <c r="H24" s="39"/>
      <c r="I24" s="39"/>
      <c r="J24" s="39"/>
      <c r="K24" s="39"/>
      <c r="L24" s="39"/>
      <c r="M24" s="39"/>
      <c r="N24" s="39"/>
      <c r="O24" s="39"/>
      <c r="P24" s="39"/>
      <c r="Q24" s="39"/>
      <c r="R24" s="39"/>
      <c r="S24" s="39"/>
      <c r="T24" s="39"/>
      <c r="U24" s="22"/>
      <c r="V24" s="34"/>
      <c r="W24" s="66"/>
      <c r="X24" s="39"/>
      <c r="Y24" s="22"/>
      <c r="Z24" s="22"/>
      <c r="AA24" s="39"/>
      <c r="AB24" s="22"/>
      <c r="AC24" s="22"/>
      <c r="AD24" s="39"/>
      <c r="AE24" s="22"/>
      <c r="AF24" s="22"/>
      <c r="AG24" s="39"/>
      <c r="AH24" s="39"/>
      <c r="AI24" s="34"/>
      <c r="AJ24" s="187"/>
      <c r="AK24" s="34"/>
      <c r="AL24" s="34"/>
      <c r="AM24" s="51"/>
      <c r="AN24" s="22"/>
      <c r="AO24" s="22"/>
      <c r="AP24" s="22"/>
      <c r="AQ24" s="22"/>
      <c r="AS24" s="51"/>
    </row>
    <row r="25" spans="1:45" s="192" customFormat="1" ht="14.25" customHeight="1" x14ac:dyDescent="0.2">
      <c r="A25" s="33"/>
      <c r="B25" s="22"/>
      <c r="C25" s="191"/>
      <c r="D25" s="22"/>
      <c r="E25" s="22"/>
      <c r="F25" s="22"/>
      <c r="G25" s="39"/>
      <c r="H25" s="39"/>
      <c r="I25" s="39"/>
      <c r="J25" s="39"/>
      <c r="K25" s="39"/>
      <c r="L25" s="39"/>
      <c r="M25" s="39"/>
      <c r="N25" s="39"/>
      <c r="O25" s="39"/>
      <c r="P25" s="39"/>
      <c r="Q25" s="39"/>
      <c r="R25" s="39"/>
      <c r="S25" s="39"/>
      <c r="T25" s="39"/>
      <c r="U25" s="22"/>
      <c r="V25" s="66"/>
      <c r="W25" s="34"/>
      <c r="X25" s="39"/>
      <c r="Y25" s="22"/>
      <c r="Z25" s="22"/>
      <c r="AA25" s="39"/>
      <c r="AB25" s="22"/>
      <c r="AC25" s="22"/>
      <c r="AD25" s="39"/>
      <c r="AE25" s="22"/>
      <c r="AF25" s="22"/>
      <c r="AG25" s="39"/>
      <c r="AH25" s="39"/>
      <c r="AI25" s="34"/>
      <c r="AJ25" s="187"/>
      <c r="AK25" s="34"/>
      <c r="AL25" s="34"/>
      <c r="AM25" s="51"/>
      <c r="AN25" s="22"/>
      <c r="AO25" s="22"/>
      <c r="AP25" s="22"/>
      <c r="AQ25" s="22"/>
      <c r="AS25" s="51"/>
    </row>
    <row r="26" spans="1:45" s="192" customFormat="1" ht="58.5" customHeight="1" x14ac:dyDescent="0.2">
      <c r="A26" s="33"/>
      <c r="B26" s="22"/>
      <c r="C26" s="191"/>
      <c r="D26" s="22"/>
      <c r="E26" s="22"/>
      <c r="F26" s="22"/>
      <c r="G26" s="1438" t="s">
        <v>140</v>
      </c>
      <c r="H26" s="1438"/>
      <c r="I26" s="1438" t="s">
        <v>143</v>
      </c>
      <c r="J26" s="1438"/>
      <c r="K26" s="1433" t="s">
        <v>135</v>
      </c>
      <c r="L26" s="1434"/>
      <c r="M26" s="1438" t="s">
        <v>128</v>
      </c>
      <c r="N26" s="1438"/>
      <c r="Q26" s="39"/>
      <c r="R26" s="39"/>
      <c r="S26" s="39"/>
      <c r="T26" s="39"/>
      <c r="U26" s="22"/>
      <c r="V26" s="34"/>
      <c r="W26" s="34"/>
      <c r="X26" s="39"/>
      <c r="Y26" s="22"/>
      <c r="Z26" s="22"/>
      <c r="AA26" s="39"/>
      <c r="AB26" s="22"/>
      <c r="AC26" s="22"/>
      <c r="AD26" s="39"/>
      <c r="AE26" s="22"/>
      <c r="AF26" s="22"/>
      <c r="AG26" s="39"/>
      <c r="AH26" s="39"/>
      <c r="AI26" s="34"/>
      <c r="AJ26" s="187"/>
      <c r="AK26" s="34"/>
      <c r="AL26" s="34"/>
      <c r="AM26" s="51"/>
      <c r="AN26" s="22"/>
      <c r="AO26" s="22"/>
      <c r="AP26" s="22"/>
      <c r="AQ26" s="22"/>
      <c r="AS26" s="51"/>
    </row>
    <row r="27" spans="1:45" s="192" customFormat="1" ht="14.25" customHeight="1" x14ac:dyDescent="0.2">
      <c r="A27" s="33"/>
      <c r="B27" s="22"/>
      <c r="C27" s="191"/>
      <c r="D27" s="22"/>
      <c r="E27" s="22"/>
      <c r="F27" s="22"/>
      <c r="G27" s="279">
        <v>991</v>
      </c>
      <c r="H27" s="279">
        <v>992</v>
      </c>
      <c r="I27" s="279">
        <v>991</v>
      </c>
      <c r="J27" s="279">
        <v>992</v>
      </c>
      <c r="K27" s="279">
        <v>991</v>
      </c>
      <c r="L27" s="279">
        <v>992</v>
      </c>
      <c r="M27" s="279">
        <v>991</v>
      </c>
      <c r="N27" s="279">
        <v>992</v>
      </c>
      <c r="Q27" s="39"/>
      <c r="R27" s="39"/>
      <c r="S27" s="39"/>
      <c r="T27" s="39"/>
      <c r="U27" s="22"/>
      <c r="V27" s="34"/>
      <c r="W27" s="34"/>
      <c r="X27" s="39"/>
      <c r="Y27" s="22"/>
      <c r="Z27" s="22"/>
      <c r="AA27" s="39"/>
      <c r="AB27" s="22"/>
      <c r="AC27" s="22"/>
      <c r="AD27" s="39"/>
      <c r="AE27" s="22"/>
      <c r="AF27" s="22"/>
      <c r="AG27" s="39"/>
      <c r="AH27" s="39"/>
      <c r="AI27" s="34"/>
      <c r="AJ27" s="187"/>
      <c r="AK27" s="34"/>
      <c r="AL27" s="34"/>
      <c r="AM27" s="51"/>
      <c r="AN27" s="22"/>
      <c r="AO27" s="22"/>
      <c r="AP27" s="22"/>
      <c r="AQ27" s="22"/>
      <c r="AS27" s="51"/>
    </row>
    <row r="28" spans="1:45" s="192" customFormat="1" ht="14.25" customHeight="1" x14ac:dyDescent="0.2">
      <c r="A28" s="33"/>
      <c r="B28" s="22"/>
      <c r="C28" s="191"/>
      <c r="D28" s="22"/>
      <c r="E28" s="22"/>
      <c r="F28" s="22"/>
      <c r="G28" s="29">
        <f>76536+3092.6+824.1</f>
        <v>80452.7</v>
      </c>
      <c r="H28" s="29">
        <v>24137.9</v>
      </c>
      <c r="I28" s="29">
        <v>312.5</v>
      </c>
      <c r="J28" s="29">
        <v>94.4</v>
      </c>
      <c r="K28" s="29">
        <f>V23</f>
        <v>80140.2</v>
      </c>
      <c r="L28" s="29">
        <f>W23</f>
        <v>24003.599999999999</v>
      </c>
      <c r="M28" s="29">
        <f>G28-I28-K28</f>
        <v>0</v>
      </c>
      <c r="N28" s="29">
        <f>H28-J28-L28</f>
        <v>39.9</v>
      </c>
      <c r="Q28" s="39"/>
      <c r="R28" s="39"/>
      <c r="S28" s="39"/>
      <c r="T28" s="39"/>
      <c r="U28" s="22"/>
      <c r="V28" s="34"/>
      <c r="W28" s="34"/>
      <c r="X28" s="39"/>
      <c r="Y28" s="22"/>
      <c r="Z28" s="22"/>
      <c r="AA28" s="39"/>
      <c r="AB28" s="22"/>
      <c r="AC28" s="22"/>
      <c r="AD28" s="39"/>
      <c r="AE28" s="22"/>
      <c r="AF28" s="22"/>
      <c r="AG28" s="39"/>
      <c r="AH28" s="39"/>
      <c r="AI28" s="34"/>
      <c r="AJ28" s="187"/>
      <c r="AK28" s="34"/>
      <c r="AL28" s="34"/>
      <c r="AM28" s="51"/>
      <c r="AN28" s="22"/>
      <c r="AO28" s="22"/>
      <c r="AP28" s="22"/>
      <c r="AQ28" s="22"/>
      <c r="AS28" s="51"/>
    </row>
    <row r="29" spans="1:45" s="192" customFormat="1" ht="14.25" customHeight="1" x14ac:dyDescent="0.2">
      <c r="A29" s="33"/>
      <c r="B29" s="22"/>
      <c r="C29" s="191"/>
      <c r="D29" s="22"/>
      <c r="E29" s="22"/>
      <c r="F29" s="22"/>
      <c r="G29" s="39"/>
      <c r="H29" s="39"/>
      <c r="I29" s="157"/>
      <c r="J29" s="157"/>
      <c r="K29" s="157"/>
      <c r="L29" s="157"/>
      <c r="M29" s="39"/>
      <c r="N29" s="39"/>
      <c r="O29" s="39"/>
      <c r="P29" s="39"/>
      <c r="Q29" s="39"/>
      <c r="R29" s="39"/>
      <c r="S29" s="39"/>
      <c r="T29" s="39"/>
      <c r="U29" s="22"/>
      <c r="V29" s="34"/>
      <c r="W29" s="34"/>
      <c r="X29" s="39"/>
      <c r="Y29" s="22"/>
      <c r="Z29" s="22"/>
      <c r="AA29" s="39"/>
      <c r="AB29" s="22"/>
      <c r="AC29" s="22"/>
      <c r="AD29" s="39"/>
      <c r="AE29" s="22"/>
      <c r="AF29" s="22"/>
      <c r="AG29" s="39"/>
      <c r="AH29" s="39"/>
      <c r="AI29" s="34"/>
      <c r="AJ29" s="187"/>
      <c r="AK29" s="34"/>
      <c r="AL29" s="34"/>
      <c r="AM29" s="51"/>
      <c r="AN29" s="22"/>
      <c r="AO29" s="22"/>
      <c r="AP29" s="22"/>
      <c r="AQ29" s="22"/>
      <c r="AS29" s="51"/>
    </row>
    <row r="30" spans="1:45" s="192" customFormat="1" ht="14.25" customHeight="1" x14ac:dyDescent="0.2">
      <c r="A30" s="33"/>
      <c r="B30" s="22"/>
      <c r="C30" s="191"/>
      <c r="D30" s="22"/>
      <c r="E30" s="22"/>
      <c r="F30" s="22"/>
      <c r="G30" s="39"/>
      <c r="H30" s="39"/>
      <c r="I30" s="157"/>
      <c r="J30" s="157"/>
      <c r="K30" s="157"/>
      <c r="L30" s="157"/>
      <c r="M30" s="39"/>
      <c r="N30" s="39"/>
      <c r="O30" s="39"/>
      <c r="P30" s="39"/>
      <c r="Q30" s="39"/>
      <c r="R30" s="39"/>
      <c r="S30" s="39"/>
      <c r="T30" s="39"/>
      <c r="U30" s="22"/>
      <c r="V30" s="34"/>
      <c r="W30" s="34"/>
      <c r="X30" s="39"/>
      <c r="Y30" s="22"/>
      <c r="Z30" s="22"/>
      <c r="AA30" s="39"/>
      <c r="AB30" s="22"/>
      <c r="AC30" s="22"/>
      <c r="AD30" s="39"/>
      <c r="AE30" s="22"/>
      <c r="AF30" s="22"/>
      <c r="AG30" s="39"/>
      <c r="AH30" s="39"/>
      <c r="AI30" s="34"/>
      <c r="AJ30" s="187"/>
      <c r="AK30" s="34"/>
      <c r="AL30" s="34"/>
      <c r="AM30" s="51"/>
      <c r="AN30" s="22"/>
      <c r="AO30" s="22"/>
      <c r="AP30" s="22"/>
      <c r="AQ30" s="22"/>
      <c r="AS30" s="51"/>
    </row>
    <row r="31" spans="1:45" s="192" customFormat="1" ht="14.25" customHeight="1" x14ac:dyDescent="0.2">
      <c r="A31" s="33"/>
      <c r="B31" s="22"/>
      <c r="C31" s="191"/>
      <c r="D31" s="22"/>
      <c r="E31" s="22"/>
      <c r="F31" s="22"/>
      <c r="G31" s="39"/>
      <c r="H31" s="39"/>
      <c r="I31" s="39"/>
      <c r="J31" s="39"/>
      <c r="K31" s="39"/>
      <c r="L31" s="39"/>
      <c r="M31" s="39"/>
      <c r="N31" s="39"/>
      <c r="O31" s="39"/>
      <c r="P31" s="39"/>
      <c r="Q31" s="39"/>
      <c r="R31" s="39"/>
      <c r="S31" s="39"/>
      <c r="T31" s="39"/>
      <c r="U31" s="22"/>
      <c r="V31" s="34"/>
      <c r="W31" s="34"/>
      <c r="X31" s="39"/>
      <c r="Y31" s="22"/>
      <c r="Z31" s="22"/>
      <c r="AA31" s="39"/>
      <c r="AB31" s="22"/>
      <c r="AC31" s="22"/>
      <c r="AD31" s="39"/>
      <c r="AE31" s="22"/>
      <c r="AF31" s="22"/>
      <c r="AG31" s="39"/>
      <c r="AH31" s="39"/>
      <c r="AI31" s="34"/>
      <c r="AJ31" s="187"/>
      <c r="AK31" s="34"/>
      <c r="AL31" s="34"/>
      <c r="AM31" s="51"/>
      <c r="AN31" s="22"/>
      <c r="AO31" s="22"/>
      <c r="AP31" s="22"/>
      <c r="AQ31" s="22"/>
      <c r="AS31" s="51"/>
    </row>
    <row r="32" spans="1:45" s="192" customFormat="1" ht="14.25" customHeight="1" x14ac:dyDescent="0.2">
      <c r="A32" s="33"/>
      <c r="B32" s="22"/>
      <c r="C32" s="191"/>
      <c r="D32" s="22"/>
      <c r="E32" s="22"/>
      <c r="F32" s="22"/>
      <c r="G32" s="39"/>
      <c r="H32" s="39"/>
      <c r="I32" s="39"/>
      <c r="J32" s="39"/>
      <c r="K32" s="39"/>
      <c r="L32" s="39"/>
      <c r="M32" s="39"/>
      <c r="N32" s="39"/>
      <c r="O32" s="39"/>
      <c r="P32" s="39"/>
      <c r="Q32" s="39"/>
      <c r="R32" s="39"/>
      <c r="S32" s="39"/>
      <c r="T32" s="39"/>
      <c r="U32" s="22"/>
      <c r="V32" s="39"/>
      <c r="W32" s="39"/>
      <c r="X32" s="39"/>
      <c r="Y32" s="22"/>
      <c r="Z32" s="22"/>
      <c r="AA32" s="39"/>
      <c r="AB32" s="22"/>
      <c r="AC32" s="22"/>
      <c r="AD32" s="39"/>
      <c r="AE32" s="22"/>
      <c r="AF32" s="22"/>
      <c r="AG32" s="39"/>
      <c r="AH32" s="39"/>
      <c r="AI32" s="34"/>
      <c r="AJ32" s="187"/>
      <c r="AK32" s="34"/>
      <c r="AL32" s="34"/>
      <c r="AM32" s="51"/>
      <c r="AN32" s="22"/>
      <c r="AO32" s="22"/>
      <c r="AP32" s="22"/>
      <c r="AQ32" s="22"/>
    </row>
    <row r="33" spans="1:43" s="195" customFormat="1" ht="14.25" x14ac:dyDescent="0.2">
      <c r="A33" s="165"/>
      <c r="B33" s="193"/>
      <c r="C33" s="194"/>
      <c r="D33" s="194"/>
      <c r="E33" s="158"/>
      <c r="F33" s="158"/>
      <c r="G33" s="158"/>
      <c r="H33" s="158"/>
      <c r="I33" s="158"/>
      <c r="J33" s="158"/>
      <c r="K33" s="158"/>
      <c r="L33" s="158"/>
      <c r="M33" s="157"/>
      <c r="N33" s="157"/>
      <c r="O33" s="157"/>
      <c r="P33" s="157"/>
      <c r="Q33" s="157"/>
      <c r="R33" s="157"/>
      <c r="S33" s="157"/>
      <c r="T33" s="157"/>
      <c r="V33" s="157"/>
      <c r="W33" s="157"/>
      <c r="Z33" s="157"/>
      <c r="AC33" s="157"/>
      <c r="AF33" s="157"/>
      <c r="AG33" s="157"/>
      <c r="AI33" s="196"/>
      <c r="AN33" s="62"/>
      <c r="AO33" s="62"/>
      <c r="AP33" s="62"/>
      <c r="AQ33" s="62"/>
    </row>
    <row r="34" spans="1:43" s="195" customFormat="1" ht="14.25" x14ac:dyDescent="0.2">
      <c r="A34" s="165"/>
      <c r="B34" s="193"/>
      <c r="C34" s="194"/>
      <c r="D34" s="194"/>
      <c r="E34" s="158"/>
      <c r="F34" s="158"/>
      <c r="G34" s="158"/>
      <c r="H34" s="158"/>
      <c r="I34" s="158"/>
      <c r="J34" s="158"/>
      <c r="K34" s="158"/>
      <c r="L34" s="158"/>
      <c r="M34" s="157"/>
      <c r="N34" s="157"/>
      <c r="O34" s="157"/>
      <c r="P34" s="157"/>
      <c r="Q34" s="157"/>
      <c r="R34" s="157"/>
      <c r="S34" s="157"/>
      <c r="T34" s="157"/>
      <c r="V34" s="157"/>
      <c r="W34" s="157"/>
      <c r="Z34" s="157"/>
      <c r="AC34" s="157"/>
      <c r="AF34" s="157"/>
      <c r="AG34" s="157"/>
      <c r="AI34" s="196"/>
      <c r="AN34" s="62"/>
      <c r="AO34" s="62"/>
      <c r="AP34" s="62"/>
      <c r="AQ34" s="62"/>
    </row>
    <row r="35" spans="1:43" s="282" customFormat="1" ht="20.25" x14ac:dyDescent="0.2">
      <c r="A35" s="81"/>
      <c r="B35" s="82" t="s">
        <v>138</v>
      </c>
      <c r="C35" s="83"/>
      <c r="D35" s="84"/>
      <c r="E35" s="84"/>
      <c r="F35" s="85"/>
      <c r="G35" s="85"/>
      <c r="H35" s="86"/>
      <c r="I35" s="86"/>
      <c r="J35" s="85"/>
      <c r="K35" s="30" t="s">
        <v>166</v>
      </c>
      <c r="L35" s="85"/>
      <c r="M35" s="85"/>
      <c r="N35" s="87"/>
      <c r="O35" s="85"/>
      <c r="P35" s="85"/>
      <c r="Q35" s="85"/>
      <c r="R35" s="85"/>
      <c r="S35" s="85"/>
      <c r="T35" s="85"/>
      <c r="U35" s="85"/>
      <c r="V35" s="85"/>
      <c r="W35" s="85"/>
      <c r="X35" s="85"/>
      <c r="Y35" s="85"/>
      <c r="Z35" s="85"/>
      <c r="AA35" s="85"/>
      <c r="AB35" s="85"/>
      <c r="AC35" s="85"/>
      <c r="AD35" s="85"/>
      <c r="AE35" s="85"/>
      <c r="AF35" s="85"/>
      <c r="AG35" s="85"/>
      <c r="AH35" s="85"/>
      <c r="AI35" s="85"/>
      <c r="AK35" s="88"/>
      <c r="AL35" s="88"/>
      <c r="AM35" s="88"/>
      <c r="AN35" s="88"/>
      <c r="AO35" s="88"/>
    </row>
    <row r="36" spans="1:43" s="205" customFormat="1" ht="15" x14ac:dyDescent="0.2">
      <c r="A36" s="197"/>
      <c r="B36" s="197"/>
      <c r="C36" s="198"/>
      <c r="D36" s="199"/>
      <c r="E36" s="199"/>
      <c r="F36" s="159"/>
      <c r="G36" s="159"/>
      <c r="H36" s="200"/>
      <c r="I36" s="200"/>
      <c r="J36" s="159"/>
      <c r="K36" s="159"/>
      <c r="L36" s="159"/>
      <c r="M36" s="159"/>
      <c r="N36" s="201"/>
      <c r="O36" s="159"/>
      <c r="P36" s="159"/>
      <c r="Q36" s="159"/>
      <c r="R36" s="159"/>
      <c r="S36" s="159"/>
      <c r="T36" s="159"/>
      <c r="U36" s="159"/>
      <c r="V36" s="202"/>
      <c r="W36" s="202"/>
      <c r="X36" s="203"/>
      <c r="Y36" s="159"/>
      <c r="Z36" s="159"/>
      <c r="AA36" s="159"/>
      <c r="AB36" s="159"/>
      <c r="AC36" s="159"/>
      <c r="AD36" s="159"/>
      <c r="AE36" s="159"/>
      <c r="AF36" s="159"/>
      <c r="AG36" s="159"/>
      <c r="AH36" s="204"/>
      <c r="AM36" s="204"/>
      <c r="AN36" s="76"/>
      <c r="AO36" s="76"/>
      <c r="AP36" s="76"/>
      <c r="AQ36" s="76"/>
    </row>
    <row r="37" spans="1:43" s="205" customFormat="1" ht="15.75" x14ac:dyDescent="0.2">
      <c r="A37" s="206" t="s">
        <v>96</v>
      </c>
      <c r="B37" s="206"/>
      <c r="C37" s="160"/>
      <c r="D37" s="160"/>
      <c r="E37" s="160"/>
      <c r="F37" s="160"/>
      <c r="G37" s="160"/>
      <c r="H37" s="160"/>
      <c r="I37" s="160"/>
      <c r="J37" s="160"/>
      <c r="K37" s="160"/>
      <c r="L37" s="207"/>
      <c r="M37" s="207"/>
      <c r="N37" s="208"/>
      <c r="O37" s="207"/>
      <c r="P37" s="207"/>
      <c r="Q37" s="207"/>
      <c r="R37" s="207"/>
      <c r="S37" s="207"/>
      <c r="T37" s="207"/>
      <c r="U37" s="207"/>
      <c r="V37" s="207"/>
      <c r="W37" s="207"/>
      <c r="X37" s="207"/>
      <c r="Y37" s="207"/>
      <c r="Z37" s="207"/>
      <c r="AA37" s="207"/>
      <c r="AB37" s="207"/>
      <c r="AC37" s="207"/>
      <c r="AD37" s="207"/>
      <c r="AE37" s="207"/>
      <c r="AF37" s="207"/>
      <c r="AG37" s="207"/>
      <c r="AH37" s="204"/>
      <c r="AM37" s="204"/>
      <c r="AN37" s="76"/>
      <c r="AO37" s="76"/>
      <c r="AP37" s="76"/>
      <c r="AQ37" s="76"/>
    </row>
    <row r="38" spans="1:43" s="205" customFormat="1" ht="15.75" x14ac:dyDescent="0.2">
      <c r="A38" s="206" t="s">
        <v>139</v>
      </c>
      <c r="B38" s="209"/>
      <c r="C38" s="210"/>
      <c r="D38" s="210"/>
      <c r="E38" s="161"/>
      <c r="F38" s="161"/>
      <c r="G38" s="161"/>
      <c r="H38" s="161"/>
      <c r="I38" s="161"/>
      <c r="J38" s="161"/>
      <c r="K38" s="161"/>
      <c r="L38" s="207"/>
      <c r="M38" s="207"/>
      <c r="N38" s="207"/>
      <c r="O38" s="207"/>
      <c r="P38" s="207"/>
      <c r="Q38" s="207"/>
      <c r="R38" s="207"/>
      <c r="S38" s="207"/>
      <c r="T38" s="207"/>
      <c r="U38" s="207"/>
      <c r="V38" s="207"/>
      <c r="W38" s="207"/>
      <c r="X38" s="207"/>
      <c r="Y38" s="207"/>
      <c r="Z38" s="207"/>
      <c r="AA38" s="207"/>
      <c r="AB38" s="207"/>
      <c r="AC38" s="207"/>
      <c r="AD38" s="207"/>
      <c r="AE38" s="207"/>
      <c r="AF38" s="207"/>
      <c r="AG38" s="207"/>
      <c r="AH38" s="204"/>
      <c r="AM38" s="204"/>
      <c r="AN38" s="76"/>
      <c r="AO38" s="76"/>
      <c r="AP38" s="76"/>
      <c r="AQ38" s="76"/>
    </row>
    <row r="39" spans="1:43" ht="20.25" x14ac:dyDescent="0.2">
      <c r="AN39" s="88"/>
      <c r="AO39" s="88"/>
      <c r="AP39" s="88"/>
      <c r="AQ39" s="88"/>
    </row>
    <row r="40" spans="1:43" x14ac:dyDescent="0.2">
      <c r="E40" s="51"/>
      <c r="F40" s="51"/>
    </row>
    <row r="41" spans="1:43" x14ac:dyDescent="0.2">
      <c r="E41" s="51"/>
      <c r="F41" s="51"/>
    </row>
    <row r="42" spans="1:43" x14ac:dyDescent="0.2">
      <c r="E42" s="51"/>
      <c r="F42" s="51"/>
    </row>
    <row r="43" spans="1:43" x14ac:dyDescent="0.2">
      <c r="E43" s="51"/>
      <c r="F43" s="51"/>
    </row>
    <row r="44" spans="1:43" x14ac:dyDescent="0.2">
      <c r="E44" s="51"/>
      <c r="F44" s="51"/>
    </row>
    <row r="45" spans="1:43" x14ac:dyDescent="0.2">
      <c r="E45" s="51"/>
      <c r="F45" s="51"/>
    </row>
    <row r="46" spans="1:43" x14ac:dyDescent="0.2">
      <c r="E46" s="51"/>
      <c r="F46" s="51"/>
    </row>
    <row r="47" spans="1:43" x14ac:dyDescent="0.2">
      <c r="E47" s="51"/>
      <c r="F47" s="51"/>
    </row>
    <row r="48" spans="1:43" x14ac:dyDescent="0.2">
      <c r="E48" s="51"/>
      <c r="F48" s="51"/>
    </row>
    <row r="49" spans="5:6" x14ac:dyDescent="0.2">
      <c r="E49" s="51"/>
      <c r="F49" s="51"/>
    </row>
    <row r="50" spans="5:6" x14ac:dyDescent="0.2">
      <c r="E50" s="51"/>
      <c r="F50" s="51"/>
    </row>
    <row r="51" spans="5:6" x14ac:dyDescent="0.2">
      <c r="E51" s="51"/>
      <c r="F51" s="51"/>
    </row>
    <row r="52" spans="5:6" x14ac:dyDescent="0.2">
      <c r="E52" s="51"/>
      <c r="F52" s="51"/>
    </row>
    <row r="53" spans="5:6" x14ac:dyDescent="0.2">
      <c r="E53" s="51"/>
    </row>
    <row r="54" spans="5:6" x14ac:dyDescent="0.2">
      <c r="E54" s="51"/>
    </row>
    <row r="55" spans="5:6" x14ac:dyDescent="0.2">
      <c r="E55" s="51"/>
    </row>
    <row r="56" spans="5:6" x14ac:dyDescent="0.2">
      <c r="E56" s="51"/>
    </row>
    <row r="57" spans="5:6" x14ac:dyDescent="0.2">
      <c r="E57" s="51"/>
    </row>
  </sheetData>
  <autoFilter ref="A8:AS24"/>
  <mergeCells count="38">
    <mergeCell ref="AD6:AF6"/>
    <mergeCell ref="Q6:Q7"/>
    <mergeCell ref="G26:H26"/>
    <mergeCell ref="I26:J26"/>
    <mergeCell ref="K26:L26"/>
    <mergeCell ref="M26:N26"/>
    <mergeCell ref="U9:U22"/>
    <mergeCell ref="A23:B23"/>
    <mergeCell ref="S6:S7"/>
    <mergeCell ref="T6:T7"/>
    <mergeCell ref="U6:U7"/>
    <mergeCell ref="F6:F7"/>
    <mergeCell ref="G6:G7"/>
    <mergeCell ref="H6:H7"/>
    <mergeCell ref="I6:I7"/>
    <mergeCell ref="J6:J7"/>
    <mergeCell ref="L6:L7"/>
    <mergeCell ref="M6:M7"/>
    <mergeCell ref="N6:O6"/>
    <mergeCell ref="P6:P7"/>
    <mergeCell ref="R6:R7"/>
    <mergeCell ref="K6:K7"/>
    <mergeCell ref="AE1:AH1"/>
    <mergeCell ref="A2:AH2"/>
    <mergeCell ref="A3:AH3"/>
    <mergeCell ref="A5:A7"/>
    <mergeCell ref="B5:B7"/>
    <mergeCell ref="C5:C7"/>
    <mergeCell ref="D5:W5"/>
    <mergeCell ref="X5:AH5"/>
    <mergeCell ref="D6:D7"/>
    <mergeCell ref="E6:E7"/>
    <mergeCell ref="AA6:AC6"/>
    <mergeCell ref="AG6:AG7"/>
    <mergeCell ref="AH6:AH7"/>
    <mergeCell ref="V6:V7"/>
    <mergeCell ref="W6:W7"/>
    <mergeCell ref="X6:Z6"/>
  </mergeCells>
  <printOptions horizontalCentered="1"/>
  <pageMargins left="0" right="0" top="0" bottom="0" header="0.31496062992125984" footer="0.31496062992125984"/>
  <pageSetup paperSize="9" scale="35" orientation="landscape"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AS105"/>
  <sheetViews>
    <sheetView view="pageBreakPreview" zoomScale="80" zoomScaleNormal="80" zoomScaleSheetLayoutView="80" workbookViewId="0">
      <pane xSplit="3" ySplit="8" topLeftCell="D45"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5" x14ac:dyDescent="0.2"/>
  <cols>
    <col min="1" max="1" width="7.83203125" style="33" customWidth="1"/>
    <col min="2" max="2" width="30.83203125" style="22" customWidth="1"/>
    <col min="3" max="3" width="13.83203125" style="22" customWidth="1"/>
    <col min="4" max="4" width="14" style="22" customWidth="1"/>
    <col min="5" max="5" width="13" style="22" customWidth="1"/>
    <col min="6" max="6" width="14.6640625" style="22" customWidth="1"/>
    <col min="7" max="7" width="12.83203125" style="22" customWidth="1"/>
    <col min="8" max="8" width="15.83203125" style="22" customWidth="1"/>
    <col min="9" max="9" width="13.5" style="22" customWidth="1"/>
    <col min="10" max="10" width="16.83203125" style="22" customWidth="1"/>
    <col min="11" max="11" width="13.5" style="22" customWidth="1"/>
    <col min="12" max="12" width="13.33203125" style="22" customWidth="1"/>
    <col min="13" max="13" width="14" style="22" customWidth="1"/>
    <col min="14" max="14" width="11.5" style="22" customWidth="1"/>
    <col min="15" max="15" width="11.6640625" style="22" customWidth="1"/>
    <col min="16" max="16" width="13.33203125" style="22" customWidth="1"/>
    <col min="17" max="17" width="11.5" style="22" customWidth="1"/>
    <col min="18" max="18" width="13" style="22" customWidth="1"/>
    <col min="19" max="19" width="15.5" style="22" customWidth="1"/>
    <col min="20" max="20" width="12.33203125" style="22" customWidth="1"/>
    <col min="21" max="21" width="11.6640625" style="22" customWidth="1"/>
    <col min="22" max="22" width="14.5" style="22" customWidth="1"/>
    <col min="23" max="23" width="16" style="22" customWidth="1"/>
    <col min="24" max="24" width="14.1640625" style="22" customWidth="1"/>
    <col min="25" max="25" width="11.1640625" style="22" customWidth="1"/>
    <col min="26" max="26" width="9.83203125" style="22" customWidth="1"/>
    <col min="27" max="30" width="8.5" style="22" customWidth="1"/>
    <col min="31" max="31" width="15.1640625" style="22" bestFit="1" customWidth="1"/>
    <col min="32" max="32" width="9.6640625" style="22" customWidth="1"/>
    <col min="33" max="33" width="9.33203125" style="22" customWidth="1"/>
    <col min="34" max="34" width="13.5" style="22" customWidth="1"/>
    <col min="35" max="35" width="14.5" style="34" customWidth="1"/>
    <col min="36" max="36" width="9.33203125" style="22"/>
    <col min="37" max="37" width="12.6640625" style="211" customWidth="1"/>
    <col min="38" max="38" width="11.6640625" style="211" hidden="1" customWidth="1"/>
    <col min="39" max="39" width="13" style="211" hidden="1" customWidth="1"/>
    <col min="40" max="40" width="14.1640625" style="211" bestFit="1" customWidth="1"/>
    <col min="41" max="41" width="9.5" style="211" bestFit="1" customWidth="1"/>
    <col min="42" max="43" width="14.1640625" style="211" bestFit="1" customWidth="1"/>
    <col min="44" max="45" width="9.5" style="22" bestFit="1" customWidth="1"/>
    <col min="46" max="16384" width="9.33203125" style="22"/>
  </cols>
  <sheetData>
    <row r="1" spans="1:45" ht="18" customHeight="1" x14ac:dyDescent="0.2">
      <c r="AE1" s="1427"/>
      <c r="AF1" s="1427"/>
      <c r="AG1" s="1427"/>
      <c r="AH1" s="1427"/>
    </row>
    <row r="2" spans="1:45" ht="24" customHeight="1" x14ac:dyDescent="0.2">
      <c r="A2" s="1428" t="s">
        <v>160</v>
      </c>
      <c r="B2" s="1428"/>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8"/>
      <c r="AA2" s="1428"/>
      <c r="AB2" s="1428"/>
      <c r="AC2" s="1428"/>
      <c r="AD2" s="1428"/>
      <c r="AE2" s="1428"/>
      <c r="AF2" s="1428"/>
      <c r="AG2" s="1428"/>
      <c r="AH2" s="1428"/>
      <c r="AI2" s="36"/>
    </row>
    <row r="3" spans="1:45" ht="24.75" customHeight="1" x14ac:dyDescent="0.2">
      <c r="A3" s="1429"/>
      <c r="B3" s="1429"/>
      <c r="C3" s="1429"/>
      <c r="D3" s="1429"/>
      <c r="E3" s="1429"/>
      <c r="F3" s="1429"/>
      <c r="G3" s="1429"/>
      <c r="H3" s="1429"/>
      <c r="I3" s="1429"/>
      <c r="J3" s="1429"/>
      <c r="K3" s="1429"/>
      <c r="L3" s="1429"/>
      <c r="M3" s="1429"/>
      <c r="N3" s="1429"/>
      <c r="O3" s="1429"/>
      <c r="P3" s="1429"/>
      <c r="Q3" s="1429"/>
      <c r="R3" s="1429"/>
      <c r="S3" s="1429"/>
      <c r="T3" s="1429"/>
      <c r="U3" s="1429"/>
      <c r="V3" s="1429"/>
      <c r="W3" s="1429"/>
      <c r="X3" s="1429"/>
      <c r="Y3" s="1429"/>
      <c r="Z3" s="1429"/>
      <c r="AA3" s="1429"/>
      <c r="AB3" s="1429"/>
      <c r="AC3" s="1429"/>
      <c r="AD3" s="1429"/>
      <c r="AE3" s="1429"/>
      <c r="AF3" s="1429"/>
      <c r="AG3" s="1429"/>
      <c r="AH3" s="1429"/>
      <c r="AI3" s="283"/>
    </row>
    <row r="4" spans="1:45" x14ac:dyDescent="0.2">
      <c r="L4" s="38">
        <v>0.33837499999999998</v>
      </c>
      <c r="V4" s="39"/>
      <c r="W4" s="39"/>
    </row>
    <row r="5" spans="1:45" ht="38.25" customHeight="1" x14ac:dyDescent="0.2">
      <c r="A5" s="1430" t="s">
        <v>78</v>
      </c>
      <c r="B5" s="1430" t="s">
        <v>77</v>
      </c>
      <c r="C5" s="1431" t="s">
        <v>0</v>
      </c>
      <c r="D5" s="1431" t="s">
        <v>3</v>
      </c>
      <c r="E5" s="1431"/>
      <c r="F5" s="1431"/>
      <c r="G5" s="1431"/>
      <c r="H5" s="1431"/>
      <c r="I5" s="1431"/>
      <c r="J5" s="1431"/>
      <c r="K5" s="1431"/>
      <c r="L5" s="1431"/>
      <c r="M5" s="1431"/>
      <c r="N5" s="1431"/>
      <c r="O5" s="1431"/>
      <c r="P5" s="1431"/>
      <c r="Q5" s="1431"/>
      <c r="R5" s="1431"/>
      <c r="S5" s="1431"/>
      <c r="T5" s="1431"/>
      <c r="U5" s="1431"/>
      <c r="V5" s="1431"/>
      <c r="W5" s="1431"/>
      <c r="X5" s="1431" t="s">
        <v>4</v>
      </c>
      <c r="Y5" s="1431"/>
      <c r="Z5" s="1431"/>
      <c r="AA5" s="1431"/>
      <c r="AB5" s="1431"/>
      <c r="AC5" s="1431"/>
      <c r="AD5" s="1431"/>
      <c r="AE5" s="1431"/>
      <c r="AF5" s="1431"/>
      <c r="AG5" s="1431"/>
      <c r="AH5" s="1431"/>
    </row>
    <row r="6" spans="1:45" ht="60" customHeight="1" x14ac:dyDescent="0.2">
      <c r="A6" s="1430"/>
      <c r="B6" s="1430"/>
      <c r="C6" s="1431"/>
      <c r="D6" s="1423" t="s">
        <v>68</v>
      </c>
      <c r="E6" s="1423" t="s">
        <v>69</v>
      </c>
      <c r="F6" s="1423" t="s">
        <v>89</v>
      </c>
      <c r="G6" s="1423" t="s">
        <v>1</v>
      </c>
      <c r="H6" s="1423" t="s">
        <v>2</v>
      </c>
      <c r="I6" s="1423" t="s">
        <v>70</v>
      </c>
      <c r="J6" s="1423" t="s">
        <v>61</v>
      </c>
      <c r="K6" s="1423" t="s">
        <v>27</v>
      </c>
      <c r="L6" s="1426" t="s">
        <v>65</v>
      </c>
      <c r="M6" s="1426" t="s">
        <v>93</v>
      </c>
      <c r="N6" s="1432" t="s">
        <v>91</v>
      </c>
      <c r="O6" s="1432"/>
      <c r="P6" s="1432" t="s">
        <v>88</v>
      </c>
      <c r="Q6" s="1426" t="s">
        <v>82</v>
      </c>
      <c r="R6" s="1423" t="s">
        <v>83</v>
      </c>
      <c r="S6" s="1426" t="s">
        <v>87</v>
      </c>
      <c r="T6" s="1423" t="s">
        <v>84</v>
      </c>
      <c r="U6" s="1423" t="s">
        <v>9</v>
      </c>
      <c r="V6" s="1423" t="s">
        <v>7</v>
      </c>
      <c r="W6" s="1423" t="s">
        <v>85</v>
      </c>
      <c r="X6" s="1431" t="s">
        <v>10</v>
      </c>
      <c r="Y6" s="1431"/>
      <c r="Z6" s="1431"/>
      <c r="AA6" s="1431" t="s">
        <v>11</v>
      </c>
      <c r="AB6" s="1431"/>
      <c r="AC6" s="1431"/>
      <c r="AD6" s="1431" t="s">
        <v>12</v>
      </c>
      <c r="AE6" s="1431"/>
      <c r="AF6" s="1431"/>
      <c r="AG6" s="1431" t="s">
        <v>13</v>
      </c>
      <c r="AH6" s="1431" t="s">
        <v>73</v>
      </c>
    </row>
    <row r="7" spans="1:45" ht="97.5" customHeight="1" x14ac:dyDescent="0.2">
      <c r="A7" s="1430"/>
      <c r="B7" s="1430"/>
      <c r="C7" s="1431"/>
      <c r="D7" s="1423"/>
      <c r="E7" s="1423"/>
      <c r="F7" s="1423"/>
      <c r="G7" s="1423"/>
      <c r="H7" s="1423"/>
      <c r="I7" s="1423"/>
      <c r="J7" s="1423"/>
      <c r="K7" s="1423"/>
      <c r="L7" s="1426" t="s">
        <v>66</v>
      </c>
      <c r="M7" s="1426"/>
      <c r="N7" s="281" t="s">
        <v>80</v>
      </c>
      <c r="O7" s="281" t="s">
        <v>81</v>
      </c>
      <c r="P7" s="1432"/>
      <c r="Q7" s="1426"/>
      <c r="R7" s="1423"/>
      <c r="S7" s="1426" t="s">
        <v>67</v>
      </c>
      <c r="T7" s="1423"/>
      <c r="U7" s="1423"/>
      <c r="V7" s="1423"/>
      <c r="W7" s="1423"/>
      <c r="X7" s="280" t="s">
        <v>5</v>
      </c>
      <c r="Y7" s="280" t="s">
        <v>6</v>
      </c>
      <c r="Z7" s="280" t="s">
        <v>74</v>
      </c>
      <c r="AA7" s="280" t="s">
        <v>5</v>
      </c>
      <c r="AB7" s="280" t="s">
        <v>6</v>
      </c>
      <c r="AC7" s="280" t="s">
        <v>75</v>
      </c>
      <c r="AD7" s="280" t="s">
        <v>5</v>
      </c>
      <c r="AE7" s="280" t="s">
        <v>6</v>
      </c>
      <c r="AF7" s="280" t="s">
        <v>76</v>
      </c>
      <c r="AG7" s="1431"/>
      <c r="AH7" s="1431"/>
      <c r="AK7" s="211" t="s">
        <v>64</v>
      </c>
      <c r="AL7" s="211" t="s">
        <v>62</v>
      </c>
      <c r="AM7" s="70" t="s">
        <v>71</v>
      </c>
    </row>
    <row r="8" spans="1:45" x14ac:dyDescent="0.2">
      <c r="A8" s="278">
        <v>1</v>
      </c>
      <c r="B8" s="278">
        <v>2</v>
      </c>
      <c r="C8" s="278">
        <v>3</v>
      </c>
      <c r="D8" s="278">
        <v>4</v>
      </c>
      <c r="E8" s="278">
        <v>5</v>
      </c>
      <c r="F8" s="278">
        <v>6</v>
      </c>
      <c r="G8" s="278">
        <v>7</v>
      </c>
      <c r="H8" s="278">
        <v>8</v>
      </c>
      <c r="I8" s="278">
        <v>9</v>
      </c>
      <c r="J8" s="278">
        <v>10</v>
      </c>
      <c r="K8" s="278">
        <v>11</v>
      </c>
      <c r="L8" s="278">
        <v>12</v>
      </c>
      <c r="M8" s="278">
        <v>13</v>
      </c>
      <c r="N8" s="278">
        <v>14</v>
      </c>
      <c r="O8" s="278">
        <v>15</v>
      </c>
      <c r="P8" s="278">
        <v>16</v>
      </c>
      <c r="Q8" s="278">
        <v>17</v>
      </c>
      <c r="R8" s="278">
        <v>18</v>
      </c>
      <c r="S8" s="278">
        <v>19</v>
      </c>
      <c r="T8" s="278">
        <v>20</v>
      </c>
      <c r="U8" s="278">
        <v>21</v>
      </c>
      <c r="V8" s="278">
        <v>22</v>
      </c>
      <c r="W8" s="278">
        <v>23</v>
      </c>
      <c r="X8" s="278">
        <v>24</v>
      </c>
      <c r="Y8" s="278">
        <v>25</v>
      </c>
      <c r="Z8" s="278">
        <v>26</v>
      </c>
      <c r="AA8" s="278">
        <v>27</v>
      </c>
      <c r="AB8" s="278">
        <v>28</v>
      </c>
      <c r="AC8" s="278">
        <v>29</v>
      </c>
      <c r="AD8" s="278">
        <v>30</v>
      </c>
      <c r="AE8" s="278">
        <v>31</v>
      </c>
      <c r="AF8" s="278">
        <v>32</v>
      </c>
      <c r="AG8" s="278">
        <v>33</v>
      </c>
      <c r="AH8" s="278">
        <v>34</v>
      </c>
      <c r="AN8" s="212" t="s">
        <v>116</v>
      </c>
      <c r="AO8" s="212" t="s">
        <v>117</v>
      </c>
      <c r="AP8" s="212" t="s">
        <v>118</v>
      </c>
      <c r="AQ8" s="212" t="s">
        <v>119</v>
      </c>
    </row>
    <row r="9" spans="1:45" ht="16.5" customHeight="1" x14ac:dyDescent="0.2">
      <c r="A9" s="278">
        <v>1</v>
      </c>
      <c r="B9" s="44" t="s">
        <v>14</v>
      </c>
      <c r="C9" s="278">
        <v>1</v>
      </c>
      <c r="D9" s="213">
        <v>25.596</v>
      </c>
      <c r="E9" s="214">
        <f>C9*D9</f>
        <v>25.6</v>
      </c>
      <c r="F9" s="215">
        <f>E9*12</f>
        <v>307.2</v>
      </c>
      <c r="G9" s="154"/>
      <c r="H9" s="154"/>
      <c r="I9" s="154"/>
      <c r="J9" s="154"/>
      <c r="K9" s="154">
        <f>F9*0.4</f>
        <v>122.9</v>
      </c>
      <c r="L9" s="154">
        <f>F9*$L$4</f>
        <v>103.9</v>
      </c>
      <c r="M9" s="154">
        <f>F9+G9+H9+I9+J9+K9+L9</f>
        <v>534</v>
      </c>
      <c r="N9" s="171">
        <v>0.98</v>
      </c>
      <c r="O9" s="154">
        <f>M9*N9</f>
        <v>523.29999999999995</v>
      </c>
      <c r="P9" s="154">
        <f>M9+O9</f>
        <v>1057.3</v>
      </c>
      <c r="Q9" s="154">
        <f>P9*0.8</f>
        <v>845.8</v>
      </c>
      <c r="R9" s="154">
        <f>P9*0.8</f>
        <v>845.8</v>
      </c>
      <c r="S9" s="154">
        <f>(P9+Q9+R9)*0.032</f>
        <v>88</v>
      </c>
      <c r="T9" s="154">
        <f>P9+Q9+R9+S9</f>
        <v>2836.9</v>
      </c>
      <c r="U9" s="1424">
        <v>1</v>
      </c>
      <c r="V9" s="154">
        <f>T9*$U$9</f>
        <v>2836.9</v>
      </c>
      <c r="W9" s="154">
        <f>AQ9</f>
        <v>597.20000000000005</v>
      </c>
      <c r="X9" s="278">
        <v>1</v>
      </c>
      <c r="Y9" s="24">
        <v>30</v>
      </c>
      <c r="Z9" s="48">
        <f>X9*Y9</f>
        <v>30</v>
      </c>
      <c r="AA9" s="278"/>
      <c r="AB9" s="24">
        <v>15</v>
      </c>
      <c r="AC9" s="48">
        <f>AA9*AB9</f>
        <v>0</v>
      </c>
      <c r="AD9" s="278"/>
      <c r="AE9" s="24">
        <v>30</v>
      </c>
      <c r="AF9" s="48">
        <f>AD9*AE9</f>
        <v>0</v>
      </c>
      <c r="AG9" s="278">
        <f t="shared" ref="AG9:AG51" si="0">(Z9+AC9+AF9)*1%*30</f>
        <v>9</v>
      </c>
      <c r="AH9" s="48">
        <f t="shared" ref="AH9:AH27" si="1">Z9+AC9+AF9+AG9</f>
        <v>39</v>
      </c>
      <c r="AI9" s="34">
        <f t="shared" ref="AI9:AI36" si="2">V9/12/C9*1000</f>
        <v>236408.3</v>
      </c>
      <c r="AJ9" s="34"/>
      <c r="AK9" s="216">
        <f t="shared" ref="AK9:AK41" si="3">V9/C9</f>
        <v>2836.9</v>
      </c>
      <c r="AL9" s="216">
        <f>((979*0.302)+((AK9-979)*0.182))</f>
        <v>633.79999999999995</v>
      </c>
      <c r="AM9" s="217">
        <f>AL9/AK9</f>
        <v>0.223</v>
      </c>
      <c r="AN9" s="50">
        <f>1150*0.22*C9+(V9-1150*C9)*0.1</f>
        <v>421.7</v>
      </c>
      <c r="AO9" s="50">
        <f>865*0.029</f>
        <v>25.1</v>
      </c>
      <c r="AP9" s="50">
        <f>V9*0.053</f>
        <v>150.4</v>
      </c>
      <c r="AQ9" s="50">
        <f>SUM(AN9:AP9)</f>
        <v>597.20000000000005</v>
      </c>
      <c r="AS9" s="66"/>
    </row>
    <row r="10" spans="1:45" x14ac:dyDescent="0.2">
      <c r="A10" s="278">
        <v>2</v>
      </c>
      <c r="B10" s="44" t="s">
        <v>125</v>
      </c>
      <c r="C10" s="278">
        <v>1</v>
      </c>
      <c r="D10" s="177">
        <v>17.917000000000002</v>
      </c>
      <c r="E10" s="214">
        <f>C10*D10</f>
        <v>17.920000000000002</v>
      </c>
      <c r="F10" s="215">
        <f>E10*12</f>
        <v>215</v>
      </c>
      <c r="G10" s="154"/>
      <c r="H10" s="154">
        <v>8.6999999999999993</v>
      </c>
      <c r="I10" s="154"/>
      <c r="J10" s="154"/>
      <c r="K10" s="154">
        <f>F10*0.4</f>
        <v>86</v>
      </c>
      <c r="L10" s="154">
        <f t="shared" ref="L10:L51" si="4">F10*$L$4</f>
        <v>72.8</v>
      </c>
      <c r="M10" s="154">
        <f>F10+G10+H10+I10+J10+K10+L10</f>
        <v>382.5</v>
      </c>
      <c r="N10" s="171">
        <v>0.47</v>
      </c>
      <c r="O10" s="154">
        <f>M10*N10</f>
        <v>179.8</v>
      </c>
      <c r="P10" s="154">
        <f>M10+O10</f>
        <v>562.29999999999995</v>
      </c>
      <c r="Q10" s="154">
        <f>P10*0.8</f>
        <v>449.8</v>
      </c>
      <c r="R10" s="154">
        <f>P10*0.8</f>
        <v>449.8</v>
      </c>
      <c r="S10" s="154">
        <f>(P10+Q10+R10)*0.032</f>
        <v>46.8</v>
      </c>
      <c r="T10" s="154">
        <f>P10+Q10+R10+S10</f>
        <v>1508.7</v>
      </c>
      <c r="U10" s="1425"/>
      <c r="V10" s="154">
        <f t="shared" ref="V10:V50" si="5">T10*$U$9</f>
        <v>1508.7</v>
      </c>
      <c r="W10" s="154">
        <f>AQ10</f>
        <v>394</v>
      </c>
      <c r="X10" s="278"/>
      <c r="Y10" s="24">
        <v>30</v>
      </c>
      <c r="Z10" s="48">
        <f>X10*Y10</f>
        <v>0</v>
      </c>
      <c r="AA10" s="278"/>
      <c r="AB10" s="24">
        <v>15</v>
      </c>
      <c r="AC10" s="48">
        <f>AA10*AB10</f>
        <v>0</v>
      </c>
      <c r="AD10" s="278"/>
      <c r="AE10" s="24">
        <v>30</v>
      </c>
      <c r="AF10" s="48">
        <f>AD10*AE10</f>
        <v>0</v>
      </c>
      <c r="AG10" s="278">
        <f t="shared" si="0"/>
        <v>0</v>
      </c>
      <c r="AH10" s="48">
        <f t="shared" si="1"/>
        <v>0</v>
      </c>
      <c r="AI10" s="34">
        <f t="shared" si="2"/>
        <v>125725</v>
      </c>
      <c r="AJ10" s="34"/>
      <c r="AK10" s="216">
        <f t="shared" si="3"/>
        <v>1508.7</v>
      </c>
      <c r="AL10" s="216">
        <f t="shared" ref="AL10:AL41" si="6">((979*0.302)+((AK10-979)*0.182))</f>
        <v>392.1</v>
      </c>
      <c r="AM10" s="217">
        <f>AL10/AK10</f>
        <v>0.26</v>
      </c>
      <c r="AN10" s="50">
        <f>1150*0.22*C10+(V10-1150*C10)*0.1</f>
        <v>288.89999999999998</v>
      </c>
      <c r="AO10" s="50">
        <f>865*0.029</f>
        <v>25.1</v>
      </c>
      <c r="AP10" s="50">
        <f>V10*0.053</f>
        <v>80</v>
      </c>
      <c r="AQ10" s="50">
        <f t="shared" ref="AQ10:AQ52" si="7">SUM(AN10:AP10)</f>
        <v>394</v>
      </c>
      <c r="AS10" s="66"/>
    </row>
    <row r="11" spans="1:45" x14ac:dyDescent="0.2">
      <c r="A11" s="278">
        <v>3</v>
      </c>
      <c r="B11" s="44" t="s">
        <v>125</v>
      </c>
      <c r="C11" s="278">
        <v>1</v>
      </c>
      <c r="D11" s="177">
        <v>17.917000000000002</v>
      </c>
      <c r="E11" s="214">
        <f>C11*D11</f>
        <v>17.920000000000002</v>
      </c>
      <c r="F11" s="215">
        <f>E11*12</f>
        <v>215</v>
      </c>
      <c r="G11" s="154"/>
      <c r="H11" s="154">
        <v>7.9</v>
      </c>
      <c r="I11" s="154"/>
      <c r="J11" s="154"/>
      <c r="K11" s="154">
        <f>F11*0.25</f>
        <v>53.8</v>
      </c>
      <c r="L11" s="154">
        <f t="shared" si="4"/>
        <v>72.8</v>
      </c>
      <c r="M11" s="154">
        <f>F11+G11+H11+I11+J11+K11+L11</f>
        <v>349.5</v>
      </c>
      <c r="N11" s="171">
        <v>0.47</v>
      </c>
      <c r="O11" s="154">
        <f>M11*N11</f>
        <v>164.3</v>
      </c>
      <c r="P11" s="154">
        <f>M11+O11</f>
        <v>513.79999999999995</v>
      </c>
      <c r="Q11" s="154">
        <f>P11*0.8</f>
        <v>411</v>
      </c>
      <c r="R11" s="154">
        <f>P11*0.8</f>
        <v>411</v>
      </c>
      <c r="S11" s="154">
        <f>(P11+Q11+R11)*0.032</f>
        <v>42.7</v>
      </c>
      <c r="T11" s="154">
        <f>P11+Q11+R11+S11</f>
        <v>1378.5</v>
      </c>
      <c r="U11" s="1425"/>
      <c r="V11" s="154">
        <f t="shared" si="5"/>
        <v>1378.5</v>
      </c>
      <c r="W11" s="154">
        <f>AQ11</f>
        <v>374.1</v>
      </c>
      <c r="X11" s="278">
        <v>1</v>
      </c>
      <c r="Y11" s="24">
        <v>30</v>
      </c>
      <c r="Z11" s="48">
        <f>X11*Y11</f>
        <v>30</v>
      </c>
      <c r="AA11" s="278"/>
      <c r="AB11" s="24">
        <v>15</v>
      </c>
      <c r="AC11" s="48">
        <f>AA11*AB11</f>
        <v>0</v>
      </c>
      <c r="AD11" s="278"/>
      <c r="AE11" s="24">
        <v>30</v>
      </c>
      <c r="AF11" s="48">
        <f>AD11*AE11</f>
        <v>0</v>
      </c>
      <c r="AG11" s="278">
        <f t="shared" si="0"/>
        <v>9</v>
      </c>
      <c r="AH11" s="48">
        <f t="shared" si="1"/>
        <v>39</v>
      </c>
      <c r="AI11" s="34">
        <f t="shared" si="2"/>
        <v>114875</v>
      </c>
      <c r="AJ11" s="34"/>
      <c r="AK11" s="216">
        <f t="shared" si="3"/>
        <v>1378.5</v>
      </c>
      <c r="AL11" s="216">
        <f t="shared" si="6"/>
        <v>368.4</v>
      </c>
      <c r="AM11" s="217">
        <f>AL11/AK11</f>
        <v>0.26700000000000002</v>
      </c>
      <c r="AN11" s="50">
        <f>1150*0.22*C11+(V11-1150*C11)*0.1</f>
        <v>275.89999999999998</v>
      </c>
      <c r="AO11" s="50">
        <f>865*0.029</f>
        <v>25.1</v>
      </c>
      <c r="AP11" s="50">
        <f>V11*0.053</f>
        <v>73.099999999999994</v>
      </c>
      <c r="AQ11" s="50">
        <f t="shared" si="7"/>
        <v>374.1</v>
      </c>
      <c r="AS11" s="66"/>
    </row>
    <row r="12" spans="1:45" x14ac:dyDescent="0.2">
      <c r="A12" s="278">
        <v>4</v>
      </c>
      <c r="B12" s="44" t="s">
        <v>125</v>
      </c>
      <c r="C12" s="278">
        <v>1</v>
      </c>
      <c r="D12" s="177">
        <v>17.917000000000002</v>
      </c>
      <c r="E12" s="214">
        <f>C12*D12</f>
        <v>17.920000000000002</v>
      </c>
      <c r="F12" s="215">
        <f>E12*12</f>
        <v>215</v>
      </c>
      <c r="G12" s="154"/>
      <c r="H12" s="154"/>
      <c r="I12" s="154"/>
      <c r="J12" s="154"/>
      <c r="K12" s="154"/>
      <c r="L12" s="154">
        <f t="shared" si="4"/>
        <v>72.8</v>
      </c>
      <c r="M12" s="154">
        <f>F12+G12+H12+I12+J12+K12+L12</f>
        <v>287.8</v>
      </c>
      <c r="N12" s="171">
        <v>0.47</v>
      </c>
      <c r="O12" s="154">
        <f>M12*N12</f>
        <v>135.30000000000001</v>
      </c>
      <c r="P12" s="154">
        <f>M12+O12</f>
        <v>423.1</v>
      </c>
      <c r="Q12" s="154">
        <f>P12*0.8</f>
        <v>338.5</v>
      </c>
      <c r="R12" s="154">
        <f>P12*0.8</f>
        <v>338.5</v>
      </c>
      <c r="S12" s="154">
        <f>(P12+Q12+R12)*0.032</f>
        <v>35.200000000000003</v>
      </c>
      <c r="T12" s="154">
        <f>P12+Q12+R12+S12</f>
        <v>1135.3</v>
      </c>
      <c r="U12" s="1425"/>
      <c r="V12" s="154">
        <f t="shared" si="5"/>
        <v>1135.3</v>
      </c>
      <c r="W12" s="154">
        <f>AQ12</f>
        <v>336.8</v>
      </c>
      <c r="X12" s="278">
        <v>1</v>
      </c>
      <c r="Y12" s="24">
        <v>30</v>
      </c>
      <c r="Z12" s="48">
        <f>X12*Y12</f>
        <v>30</v>
      </c>
      <c r="AA12" s="278">
        <v>2</v>
      </c>
      <c r="AB12" s="24">
        <v>15</v>
      </c>
      <c r="AC12" s="48">
        <f>AA12*AB12</f>
        <v>30</v>
      </c>
      <c r="AD12" s="278">
        <v>1</v>
      </c>
      <c r="AE12" s="24">
        <v>30</v>
      </c>
      <c r="AF12" s="48">
        <f>AD12*AE12</f>
        <v>30</v>
      </c>
      <c r="AG12" s="278">
        <f t="shared" si="0"/>
        <v>27</v>
      </c>
      <c r="AH12" s="48">
        <f t="shared" si="1"/>
        <v>117</v>
      </c>
      <c r="AI12" s="34">
        <f t="shared" si="2"/>
        <v>94608.3</v>
      </c>
      <c r="AJ12" s="34"/>
      <c r="AK12" s="216">
        <f t="shared" si="3"/>
        <v>1135.3</v>
      </c>
      <c r="AL12" s="216">
        <f t="shared" si="6"/>
        <v>324.10000000000002</v>
      </c>
      <c r="AM12" s="217">
        <f>AL12/AK12</f>
        <v>0.28499999999999998</v>
      </c>
      <c r="AN12" s="50">
        <f>1150*0.22*C12+(V12-1150*C12)*0.1</f>
        <v>251.5</v>
      </c>
      <c r="AO12" s="50">
        <f>865*0.029</f>
        <v>25.1</v>
      </c>
      <c r="AP12" s="50">
        <f>AK12*0.053</f>
        <v>60.2</v>
      </c>
      <c r="AQ12" s="50">
        <f>SUM(AN12:AP12)*C12</f>
        <v>336.8</v>
      </c>
      <c r="AS12" s="66"/>
    </row>
    <row r="13" spans="1:45" ht="14.25" customHeight="1" x14ac:dyDescent="0.2">
      <c r="A13" s="278">
        <v>5</v>
      </c>
      <c r="B13" s="218" t="s">
        <v>16</v>
      </c>
      <c r="C13" s="278">
        <v>7</v>
      </c>
      <c r="D13" s="177">
        <v>11.061999999999999</v>
      </c>
      <c r="E13" s="171">
        <f t="shared" ref="E13:E19" si="8">C13*D13</f>
        <v>77.430000000000007</v>
      </c>
      <c r="F13" s="154">
        <f t="shared" ref="F13:F19" si="9">E13*12</f>
        <v>929.2</v>
      </c>
      <c r="G13" s="154"/>
      <c r="H13" s="154">
        <f>0.539+1.617+0.539+2.696+1.078</f>
        <v>6.5</v>
      </c>
      <c r="I13" s="154"/>
      <c r="J13" s="154"/>
      <c r="K13" s="154">
        <f>D13*0.2*12+D13*0.25*4*12+D13*0.4*2</f>
        <v>168.1</v>
      </c>
      <c r="L13" s="154">
        <f t="shared" si="4"/>
        <v>314.39999999999998</v>
      </c>
      <c r="M13" s="154">
        <f t="shared" ref="M13:M19" si="10">F13+G13+H13+I13+J13+K13+L13</f>
        <v>1418.2</v>
      </c>
      <c r="N13" s="171">
        <v>0.43</v>
      </c>
      <c r="O13" s="154">
        <f t="shared" ref="O13:O19" si="11">M13*N13</f>
        <v>609.79999999999995</v>
      </c>
      <c r="P13" s="154">
        <f t="shared" ref="P13:P19" si="12">M13+O13</f>
        <v>2028</v>
      </c>
      <c r="Q13" s="154">
        <f t="shared" ref="Q13:Q19" si="13">P13*0.8</f>
        <v>1622.4</v>
      </c>
      <c r="R13" s="154">
        <f t="shared" ref="R13:R19" si="14">P13*0.8</f>
        <v>1622.4</v>
      </c>
      <c r="S13" s="154">
        <f t="shared" ref="S13:S19" si="15">(P13+Q13+R13)*0.032</f>
        <v>168.7</v>
      </c>
      <c r="T13" s="154">
        <f t="shared" ref="T13:T19" si="16">P13+Q13+R13+S13</f>
        <v>5441.5</v>
      </c>
      <c r="U13" s="1425"/>
      <c r="V13" s="154">
        <f t="shared" si="5"/>
        <v>5441.5</v>
      </c>
      <c r="W13" s="154">
        <f>V13*0.302</f>
        <v>1643.3</v>
      </c>
      <c r="X13" s="54">
        <v>4</v>
      </c>
      <c r="Y13" s="24">
        <v>30</v>
      </c>
      <c r="Z13" s="48">
        <f t="shared" ref="Z13:Z19" si="17">X13*Y13</f>
        <v>120</v>
      </c>
      <c r="AA13" s="54">
        <v>1</v>
      </c>
      <c r="AB13" s="24">
        <v>15</v>
      </c>
      <c r="AC13" s="48">
        <f t="shared" ref="AC13:AC19" si="18">AA13*AB13</f>
        <v>15</v>
      </c>
      <c r="AD13" s="54"/>
      <c r="AE13" s="24">
        <v>30</v>
      </c>
      <c r="AF13" s="48">
        <f t="shared" ref="AF13:AF19" si="19">AD13*AE13</f>
        <v>0</v>
      </c>
      <c r="AG13" s="278">
        <f t="shared" si="0"/>
        <v>40.5</v>
      </c>
      <c r="AH13" s="48">
        <f t="shared" si="1"/>
        <v>175.5</v>
      </c>
      <c r="AI13" s="34">
        <f t="shared" si="2"/>
        <v>64779.8</v>
      </c>
      <c r="AJ13" s="34"/>
      <c r="AK13" s="216">
        <f t="shared" si="3"/>
        <v>777.4</v>
      </c>
      <c r="AL13" s="216">
        <f t="shared" si="6"/>
        <v>259</v>
      </c>
      <c r="AM13" s="217">
        <v>0.30199999999999999</v>
      </c>
      <c r="AN13" s="50"/>
      <c r="AQ13" s="50">
        <f t="shared" si="7"/>
        <v>0</v>
      </c>
      <c r="AS13" s="66"/>
    </row>
    <row r="14" spans="1:45" x14ac:dyDescent="0.2">
      <c r="A14" s="278">
        <v>6</v>
      </c>
      <c r="B14" s="218" t="s">
        <v>16</v>
      </c>
      <c r="C14" s="278">
        <v>1</v>
      </c>
      <c r="D14" s="177">
        <v>11.061999999999999</v>
      </c>
      <c r="E14" s="171">
        <f>C14*D14</f>
        <v>11.06</v>
      </c>
      <c r="F14" s="154">
        <f t="shared" si="9"/>
        <v>132.69999999999999</v>
      </c>
      <c r="G14" s="154"/>
      <c r="H14" s="34">
        <f>5.4+1.617</f>
        <v>7</v>
      </c>
      <c r="I14" s="154"/>
      <c r="J14" s="154"/>
      <c r="K14" s="154">
        <f>F14*0.4</f>
        <v>53.1</v>
      </c>
      <c r="L14" s="154">
        <f t="shared" si="4"/>
        <v>44.9</v>
      </c>
      <c r="M14" s="154">
        <f t="shared" si="10"/>
        <v>237.7</v>
      </c>
      <c r="N14" s="171">
        <v>0.43</v>
      </c>
      <c r="O14" s="154">
        <f t="shared" si="11"/>
        <v>102.2</v>
      </c>
      <c r="P14" s="154">
        <f t="shared" si="12"/>
        <v>339.9</v>
      </c>
      <c r="Q14" s="154">
        <f t="shared" si="13"/>
        <v>271.89999999999998</v>
      </c>
      <c r="R14" s="154">
        <f t="shared" si="14"/>
        <v>271.89999999999998</v>
      </c>
      <c r="S14" s="154">
        <f t="shared" si="15"/>
        <v>28.3</v>
      </c>
      <c r="T14" s="154">
        <f t="shared" si="16"/>
        <v>912</v>
      </c>
      <c r="U14" s="1425"/>
      <c r="V14" s="154">
        <f t="shared" si="5"/>
        <v>912</v>
      </c>
      <c r="W14" s="154">
        <f>AQ14</f>
        <v>274</v>
      </c>
      <c r="X14" s="54">
        <v>1</v>
      </c>
      <c r="Y14" s="24">
        <v>30</v>
      </c>
      <c r="Z14" s="48">
        <f t="shared" si="17"/>
        <v>30</v>
      </c>
      <c r="AA14" s="54"/>
      <c r="AB14" s="24">
        <v>15</v>
      </c>
      <c r="AC14" s="48">
        <f t="shared" si="18"/>
        <v>0</v>
      </c>
      <c r="AD14" s="54"/>
      <c r="AE14" s="24">
        <v>30</v>
      </c>
      <c r="AF14" s="48">
        <f>AD14*AE14</f>
        <v>0</v>
      </c>
      <c r="AG14" s="278">
        <f t="shared" si="0"/>
        <v>9</v>
      </c>
      <c r="AH14" s="48">
        <f t="shared" si="1"/>
        <v>39</v>
      </c>
      <c r="AI14" s="34">
        <f t="shared" si="2"/>
        <v>76000</v>
      </c>
      <c r="AJ14" s="34"/>
      <c r="AK14" s="216">
        <f t="shared" si="3"/>
        <v>912</v>
      </c>
      <c r="AL14" s="216">
        <f t="shared" si="6"/>
        <v>283.5</v>
      </c>
      <c r="AM14" s="217">
        <f>AL14/AK14</f>
        <v>0.311</v>
      </c>
      <c r="AN14" s="50">
        <f>AK14*0.22</f>
        <v>200.6</v>
      </c>
      <c r="AO14" s="50">
        <f>865*0.029</f>
        <v>25.1</v>
      </c>
      <c r="AP14" s="50">
        <f>AK14*0.053</f>
        <v>48.3</v>
      </c>
      <c r="AQ14" s="50">
        <f>SUM(AN14:AP14)*C14</f>
        <v>274</v>
      </c>
      <c r="AS14" s="66"/>
    </row>
    <row r="15" spans="1:45" ht="25.5" x14ac:dyDescent="0.2">
      <c r="A15" s="278">
        <v>8</v>
      </c>
      <c r="B15" s="218" t="s">
        <v>45</v>
      </c>
      <c r="C15" s="278">
        <v>1</v>
      </c>
      <c r="D15" s="177">
        <v>11.061999999999999</v>
      </c>
      <c r="E15" s="171">
        <f t="shared" si="8"/>
        <v>11.06</v>
      </c>
      <c r="F15" s="154">
        <f t="shared" si="9"/>
        <v>132.69999999999999</v>
      </c>
      <c r="G15" s="154"/>
      <c r="H15" s="154">
        <v>2.4</v>
      </c>
      <c r="I15" s="154"/>
      <c r="J15" s="154"/>
      <c r="K15" s="154">
        <f>F15*0.4</f>
        <v>53.1</v>
      </c>
      <c r="L15" s="154">
        <f t="shared" si="4"/>
        <v>44.9</v>
      </c>
      <c r="M15" s="154">
        <f t="shared" si="10"/>
        <v>233.1</v>
      </c>
      <c r="N15" s="171">
        <v>0.43</v>
      </c>
      <c r="O15" s="154">
        <f t="shared" si="11"/>
        <v>100.2</v>
      </c>
      <c r="P15" s="154">
        <f t="shared" si="12"/>
        <v>333.3</v>
      </c>
      <c r="Q15" s="154">
        <f t="shared" si="13"/>
        <v>266.60000000000002</v>
      </c>
      <c r="R15" s="154">
        <f t="shared" si="14"/>
        <v>266.60000000000002</v>
      </c>
      <c r="S15" s="154">
        <f t="shared" si="15"/>
        <v>27.7</v>
      </c>
      <c r="T15" s="154">
        <f t="shared" si="16"/>
        <v>894.2</v>
      </c>
      <c r="U15" s="1425"/>
      <c r="V15" s="154">
        <f t="shared" si="5"/>
        <v>894.2</v>
      </c>
      <c r="W15" s="154">
        <f>AQ15</f>
        <v>269.2</v>
      </c>
      <c r="X15" s="54"/>
      <c r="Y15" s="24">
        <v>30</v>
      </c>
      <c r="Z15" s="48">
        <f t="shared" si="17"/>
        <v>0</v>
      </c>
      <c r="AA15" s="54"/>
      <c r="AB15" s="24">
        <v>15</v>
      </c>
      <c r="AC15" s="48">
        <f t="shared" si="18"/>
        <v>0</v>
      </c>
      <c r="AD15" s="54"/>
      <c r="AE15" s="24">
        <v>30</v>
      </c>
      <c r="AF15" s="48">
        <f t="shared" si="19"/>
        <v>0</v>
      </c>
      <c r="AG15" s="278">
        <f t="shared" si="0"/>
        <v>0</v>
      </c>
      <c r="AH15" s="48">
        <f t="shared" si="1"/>
        <v>0</v>
      </c>
      <c r="AI15" s="34">
        <f t="shared" si="2"/>
        <v>74516.7</v>
      </c>
      <c r="AJ15" s="34"/>
      <c r="AK15" s="216">
        <f t="shared" si="3"/>
        <v>894.2</v>
      </c>
      <c r="AL15" s="216">
        <f t="shared" si="6"/>
        <v>280.2</v>
      </c>
      <c r="AM15" s="217">
        <v>0.30199999999999999</v>
      </c>
      <c r="AN15" s="50">
        <f>AK15*0.22</f>
        <v>196.7</v>
      </c>
      <c r="AO15" s="50">
        <f>865*0.029</f>
        <v>25.1</v>
      </c>
      <c r="AP15" s="50">
        <f>AK15*0.053</f>
        <v>47.4</v>
      </c>
      <c r="AQ15" s="50">
        <f t="shared" si="7"/>
        <v>269.2</v>
      </c>
      <c r="AS15" s="66"/>
    </row>
    <row r="16" spans="1:45" ht="25.5" x14ac:dyDescent="0.2">
      <c r="A16" s="278">
        <v>9</v>
      </c>
      <c r="B16" s="218" t="s">
        <v>46</v>
      </c>
      <c r="C16" s="278">
        <v>1</v>
      </c>
      <c r="D16" s="177">
        <v>11.061999999999999</v>
      </c>
      <c r="E16" s="171">
        <f t="shared" si="8"/>
        <v>11.06</v>
      </c>
      <c r="F16" s="154">
        <f t="shared" si="9"/>
        <v>132.69999999999999</v>
      </c>
      <c r="G16" s="154"/>
      <c r="H16" s="154">
        <v>2.4</v>
      </c>
      <c r="I16" s="154"/>
      <c r="J16" s="154"/>
      <c r="K16" s="154">
        <f>F16*0.4</f>
        <v>53.1</v>
      </c>
      <c r="L16" s="154">
        <f t="shared" si="4"/>
        <v>44.9</v>
      </c>
      <c r="M16" s="154">
        <f t="shared" si="10"/>
        <v>233.1</v>
      </c>
      <c r="N16" s="171">
        <v>0.43</v>
      </c>
      <c r="O16" s="154">
        <f t="shared" si="11"/>
        <v>100.2</v>
      </c>
      <c r="P16" s="154">
        <f t="shared" si="12"/>
        <v>333.3</v>
      </c>
      <c r="Q16" s="154">
        <f t="shared" si="13"/>
        <v>266.60000000000002</v>
      </c>
      <c r="R16" s="154">
        <f t="shared" si="14"/>
        <v>266.60000000000002</v>
      </c>
      <c r="S16" s="154">
        <f t="shared" si="15"/>
        <v>27.7</v>
      </c>
      <c r="T16" s="154">
        <f t="shared" si="16"/>
        <v>894.2</v>
      </c>
      <c r="U16" s="1425"/>
      <c r="V16" s="154">
        <f t="shared" si="5"/>
        <v>894.2</v>
      </c>
      <c r="W16" s="154">
        <f>AQ16</f>
        <v>269.2</v>
      </c>
      <c r="X16" s="54">
        <v>1</v>
      </c>
      <c r="Y16" s="24">
        <v>30</v>
      </c>
      <c r="Z16" s="48">
        <f t="shared" si="17"/>
        <v>30</v>
      </c>
      <c r="AA16" s="54">
        <v>1</v>
      </c>
      <c r="AB16" s="24">
        <v>15</v>
      </c>
      <c r="AC16" s="48">
        <f t="shared" si="18"/>
        <v>15</v>
      </c>
      <c r="AD16" s="54">
        <v>1</v>
      </c>
      <c r="AE16" s="24">
        <v>30</v>
      </c>
      <c r="AF16" s="48">
        <f t="shared" si="19"/>
        <v>30</v>
      </c>
      <c r="AG16" s="278">
        <f t="shared" si="0"/>
        <v>22.5</v>
      </c>
      <c r="AH16" s="48">
        <f t="shared" si="1"/>
        <v>97.5</v>
      </c>
      <c r="AI16" s="34">
        <f t="shared" si="2"/>
        <v>74516.7</v>
      </c>
      <c r="AJ16" s="34"/>
      <c r="AK16" s="216">
        <f t="shared" si="3"/>
        <v>894.2</v>
      </c>
      <c r="AL16" s="216">
        <f t="shared" si="6"/>
        <v>280.2</v>
      </c>
      <c r="AM16" s="217">
        <f>AL16/AK16</f>
        <v>0.313</v>
      </c>
      <c r="AN16" s="50">
        <f>AK16*0.22</f>
        <v>196.7</v>
      </c>
      <c r="AO16" s="50">
        <f>865*0.029</f>
        <v>25.1</v>
      </c>
      <c r="AP16" s="50">
        <f>AK16*0.053</f>
        <v>47.4</v>
      </c>
      <c r="AQ16" s="50">
        <f t="shared" si="7"/>
        <v>269.2</v>
      </c>
      <c r="AS16" s="66"/>
    </row>
    <row r="17" spans="1:45" ht="25.5" x14ac:dyDescent="0.2">
      <c r="A17" s="278">
        <v>10</v>
      </c>
      <c r="B17" s="218" t="s">
        <v>100</v>
      </c>
      <c r="C17" s="278">
        <v>1</v>
      </c>
      <c r="D17" s="177">
        <v>11.061999999999999</v>
      </c>
      <c r="E17" s="171">
        <f>C17*D17</f>
        <v>11.06</v>
      </c>
      <c r="F17" s="154">
        <f>E17*12</f>
        <v>132.69999999999999</v>
      </c>
      <c r="G17" s="154"/>
      <c r="H17" s="154">
        <v>5.4</v>
      </c>
      <c r="I17" s="154"/>
      <c r="J17" s="154"/>
      <c r="K17" s="154"/>
      <c r="L17" s="154">
        <f t="shared" si="4"/>
        <v>44.9</v>
      </c>
      <c r="M17" s="154">
        <f>F17+G17+H17+I17+J17+K17+L17</f>
        <v>183</v>
      </c>
      <c r="N17" s="171">
        <v>0.43</v>
      </c>
      <c r="O17" s="154">
        <f>M17*N17</f>
        <v>78.7</v>
      </c>
      <c r="P17" s="154">
        <f>M17+O17</f>
        <v>261.7</v>
      </c>
      <c r="Q17" s="154">
        <f>P17*0.8</f>
        <v>209.4</v>
      </c>
      <c r="R17" s="154">
        <f>P17*0.8</f>
        <v>209.4</v>
      </c>
      <c r="S17" s="154">
        <f>(P17+Q17+R17)*0.032</f>
        <v>21.8</v>
      </c>
      <c r="T17" s="154">
        <f>P17+Q17+R17+S17</f>
        <v>702.3</v>
      </c>
      <c r="U17" s="1425"/>
      <c r="V17" s="154">
        <f t="shared" si="5"/>
        <v>702.3</v>
      </c>
      <c r="W17" s="154">
        <f>V17*0.302</f>
        <v>212.1</v>
      </c>
      <c r="X17" s="54">
        <v>1</v>
      </c>
      <c r="Y17" s="24">
        <v>30</v>
      </c>
      <c r="Z17" s="48">
        <f>X17*Y17</f>
        <v>30</v>
      </c>
      <c r="AA17" s="54"/>
      <c r="AB17" s="24">
        <v>15</v>
      </c>
      <c r="AC17" s="48">
        <f>AA17*AB17</f>
        <v>0</v>
      </c>
      <c r="AD17" s="54"/>
      <c r="AE17" s="24">
        <v>30</v>
      </c>
      <c r="AF17" s="48">
        <f>AD17*AE17</f>
        <v>0</v>
      </c>
      <c r="AG17" s="278">
        <f t="shared" si="0"/>
        <v>9</v>
      </c>
      <c r="AH17" s="48">
        <f t="shared" si="1"/>
        <v>39</v>
      </c>
      <c r="AI17" s="34">
        <f t="shared" si="2"/>
        <v>58525</v>
      </c>
      <c r="AJ17" s="34"/>
      <c r="AK17" s="216">
        <f t="shared" si="3"/>
        <v>702.3</v>
      </c>
      <c r="AL17" s="216">
        <f t="shared" si="6"/>
        <v>245.3</v>
      </c>
      <c r="AM17" s="217">
        <f>AL17/AK17</f>
        <v>0.34899999999999998</v>
      </c>
      <c r="AN17" s="50"/>
      <c r="AO17" s="50"/>
      <c r="AP17" s="50"/>
      <c r="AQ17" s="50">
        <f t="shared" si="7"/>
        <v>0</v>
      </c>
      <c r="AS17" s="66"/>
    </row>
    <row r="18" spans="1:45" x14ac:dyDescent="0.2">
      <c r="A18" s="278">
        <v>11</v>
      </c>
      <c r="B18" s="218" t="s">
        <v>105</v>
      </c>
      <c r="C18" s="278">
        <v>2</v>
      </c>
      <c r="D18" s="177">
        <v>8.4730000000000008</v>
      </c>
      <c r="E18" s="171">
        <f t="shared" si="8"/>
        <v>16.95</v>
      </c>
      <c r="F18" s="154">
        <f t="shared" si="9"/>
        <v>203.4</v>
      </c>
      <c r="G18" s="154"/>
      <c r="H18" s="154">
        <v>2.1</v>
      </c>
      <c r="I18" s="154"/>
      <c r="J18" s="154"/>
      <c r="K18" s="154">
        <f>D18*0.35*12+D18*0.3*12+D18*9.5*0.05</f>
        <v>70.099999999999994</v>
      </c>
      <c r="L18" s="154">
        <f t="shared" si="4"/>
        <v>68.8</v>
      </c>
      <c r="M18" s="154">
        <f t="shared" si="10"/>
        <v>344.4</v>
      </c>
      <c r="N18" s="171">
        <v>0.41</v>
      </c>
      <c r="O18" s="154">
        <f t="shared" si="11"/>
        <v>141.19999999999999</v>
      </c>
      <c r="P18" s="154">
        <f t="shared" si="12"/>
        <v>485.6</v>
      </c>
      <c r="Q18" s="154">
        <f t="shared" si="13"/>
        <v>388.5</v>
      </c>
      <c r="R18" s="154">
        <f t="shared" si="14"/>
        <v>388.5</v>
      </c>
      <c r="S18" s="154">
        <f t="shared" si="15"/>
        <v>40.4</v>
      </c>
      <c r="T18" s="154">
        <f t="shared" si="16"/>
        <v>1303</v>
      </c>
      <c r="U18" s="1425"/>
      <c r="V18" s="154">
        <f t="shared" si="5"/>
        <v>1303</v>
      </c>
      <c r="W18" s="154">
        <f>V18*0.302</f>
        <v>393.5</v>
      </c>
      <c r="X18" s="54"/>
      <c r="Y18" s="24">
        <v>30</v>
      </c>
      <c r="Z18" s="48">
        <f t="shared" si="17"/>
        <v>0</v>
      </c>
      <c r="AA18" s="54"/>
      <c r="AB18" s="24">
        <v>15</v>
      </c>
      <c r="AC18" s="48">
        <f t="shared" si="18"/>
        <v>0</v>
      </c>
      <c r="AD18" s="54"/>
      <c r="AE18" s="24">
        <v>30</v>
      </c>
      <c r="AF18" s="48">
        <f t="shared" si="19"/>
        <v>0</v>
      </c>
      <c r="AG18" s="278">
        <f t="shared" si="0"/>
        <v>0</v>
      </c>
      <c r="AH18" s="48">
        <f t="shared" si="1"/>
        <v>0</v>
      </c>
      <c r="AI18" s="34">
        <f t="shared" si="2"/>
        <v>54291.7</v>
      </c>
      <c r="AJ18" s="34"/>
      <c r="AK18" s="216">
        <f t="shared" si="3"/>
        <v>651.5</v>
      </c>
      <c r="AL18" s="216">
        <f t="shared" si="6"/>
        <v>236.1</v>
      </c>
      <c r="AM18" s="217">
        <v>0.30199999999999999</v>
      </c>
      <c r="AQ18" s="50">
        <f t="shared" si="7"/>
        <v>0</v>
      </c>
      <c r="AS18" s="66"/>
    </row>
    <row r="19" spans="1:45" x14ac:dyDescent="0.2">
      <c r="A19" s="278">
        <v>12</v>
      </c>
      <c r="B19" s="218" t="s">
        <v>47</v>
      </c>
      <c r="C19" s="219">
        <v>1</v>
      </c>
      <c r="D19" s="177">
        <v>6.2859999999999996</v>
      </c>
      <c r="E19" s="171">
        <f t="shared" si="8"/>
        <v>6.29</v>
      </c>
      <c r="F19" s="154">
        <f t="shared" si="9"/>
        <v>75.5</v>
      </c>
      <c r="G19" s="154"/>
      <c r="H19" s="154">
        <v>2.8</v>
      </c>
      <c r="I19" s="154"/>
      <c r="J19" s="154"/>
      <c r="K19" s="154">
        <f>F19*0.2+D19*0.05*9.5</f>
        <v>18.100000000000001</v>
      </c>
      <c r="L19" s="154">
        <f t="shared" si="4"/>
        <v>25.5</v>
      </c>
      <c r="M19" s="154">
        <f t="shared" si="10"/>
        <v>121.9</v>
      </c>
      <c r="N19" s="171">
        <v>0.45</v>
      </c>
      <c r="O19" s="154">
        <f t="shared" si="11"/>
        <v>54.9</v>
      </c>
      <c r="P19" s="154">
        <f t="shared" si="12"/>
        <v>176.8</v>
      </c>
      <c r="Q19" s="154">
        <f t="shared" si="13"/>
        <v>141.4</v>
      </c>
      <c r="R19" s="154">
        <f t="shared" si="14"/>
        <v>141.4</v>
      </c>
      <c r="S19" s="154">
        <f t="shared" si="15"/>
        <v>14.7</v>
      </c>
      <c r="T19" s="154">
        <f t="shared" si="16"/>
        <v>474.3</v>
      </c>
      <c r="U19" s="1425"/>
      <c r="V19" s="154">
        <f t="shared" si="5"/>
        <v>474.3</v>
      </c>
      <c r="W19" s="154">
        <f>V19*0.302</f>
        <v>143.19999999999999</v>
      </c>
      <c r="X19" s="54">
        <v>1</v>
      </c>
      <c r="Y19" s="24">
        <v>30</v>
      </c>
      <c r="Z19" s="48">
        <f t="shared" si="17"/>
        <v>30</v>
      </c>
      <c r="AA19" s="54"/>
      <c r="AB19" s="24">
        <v>15</v>
      </c>
      <c r="AC19" s="48">
        <f t="shared" si="18"/>
        <v>0</v>
      </c>
      <c r="AD19" s="54">
        <v>1</v>
      </c>
      <c r="AE19" s="24">
        <v>30</v>
      </c>
      <c r="AF19" s="48">
        <f t="shared" si="19"/>
        <v>30</v>
      </c>
      <c r="AG19" s="278">
        <f t="shared" si="0"/>
        <v>18</v>
      </c>
      <c r="AH19" s="48">
        <f t="shared" si="1"/>
        <v>78</v>
      </c>
      <c r="AI19" s="34">
        <f t="shared" si="2"/>
        <v>39525</v>
      </c>
      <c r="AJ19" s="34"/>
      <c r="AK19" s="216">
        <f t="shared" si="3"/>
        <v>474.3</v>
      </c>
      <c r="AL19" s="216">
        <f t="shared" si="6"/>
        <v>203.8</v>
      </c>
      <c r="AM19" s="217">
        <v>0.30199999999999999</v>
      </c>
      <c r="AQ19" s="50">
        <f t="shared" si="7"/>
        <v>0</v>
      </c>
      <c r="AS19" s="66"/>
    </row>
    <row r="20" spans="1:45" s="33" customFormat="1" x14ac:dyDescent="0.2">
      <c r="A20" s="278">
        <v>13</v>
      </c>
      <c r="B20" s="218" t="s">
        <v>48</v>
      </c>
      <c r="C20" s="278">
        <v>1</v>
      </c>
      <c r="D20" s="177">
        <v>11.061999999999999</v>
      </c>
      <c r="E20" s="171">
        <f>C20*D20</f>
        <v>11.06</v>
      </c>
      <c r="F20" s="154">
        <f>E20*12</f>
        <v>132.69999999999999</v>
      </c>
      <c r="G20" s="154"/>
      <c r="H20" s="154">
        <v>1.8</v>
      </c>
      <c r="I20" s="154"/>
      <c r="J20" s="154"/>
      <c r="K20" s="154">
        <f>F20*0.35</f>
        <v>46.4</v>
      </c>
      <c r="L20" s="154">
        <f t="shared" si="4"/>
        <v>44.9</v>
      </c>
      <c r="M20" s="154">
        <f>F20+G20+H20+I20+J20+K20+L20</f>
        <v>225.8</v>
      </c>
      <c r="N20" s="171">
        <v>0.47</v>
      </c>
      <c r="O20" s="154">
        <f>M20*N20</f>
        <v>106.1</v>
      </c>
      <c r="P20" s="154">
        <f>M20+O20</f>
        <v>331.9</v>
      </c>
      <c r="Q20" s="154">
        <f>P20*0.8</f>
        <v>265.5</v>
      </c>
      <c r="R20" s="154">
        <f>P20*0.8</f>
        <v>265.5</v>
      </c>
      <c r="S20" s="154">
        <f>(P20+Q20+R20)*0.032</f>
        <v>27.6</v>
      </c>
      <c r="T20" s="154">
        <f>P20+Q20+R20+S20</f>
        <v>890.5</v>
      </c>
      <c r="U20" s="1425"/>
      <c r="V20" s="154">
        <f t="shared" si="5"/>
        <v>890.5</v>
      </c>
      <c r="W20" s="154">
        <f>AQ20</f>
        <v>268.2</v>
      </c>
      <c r="X20" s="54">
        <v>1</v>
      </c>
      <c r="Y20" s="24">
        <v>30</v>
      </c>
      <c r="Z20" s="48">
        <f>X20*Y20</f>
        <v>30</v>
      </c>
      <c r="AA20" s="54"/>
      <c r="AB20" s="24">
        <v>15</v>
      </c>
      <c r="AC20" s="48">
        <f>AA20*AB20</f>
        <v>0</v>
      </c>
      <c r="AD20" s="54"/>
      <c r="AE20" s="24">
        <v>30</v>
      </c>
      <c r="AF20" s="48">
        <f>AD20*AE20</f>
        <v>0</v>
      </c>
      <c r="AG20" s="278">
        <f t="shared" si="0"/>
        <v>9</v>
      </c>
      <c r="AH20" s="48">
        <f t="shared" si="1"/>
        <v>39</v>
      </c>
      <c r="AI20" s="34">
        <f t="shared" si="2"/>
        <v>74208.3</v>
      </c>
      <c r="AJ20" s="220"/>
      <c r="AK20" s="216">
        <f t="shared" si="3"/>
        <v>890.5</v>
      </c>
      <c r="AL20" s="216">
        <f t="shared" si="6"/>
        <v>279.60000000000002</v>
      </c>
      <c r="AM20" s="217">
        <f>AL20/AK20</f>
        <v>0.314</v>
      </c>
      <c r="AN20" s="50">
        <f>AK20*0.22</f>
        <v>195.9</v>
      </c>
      <c r="AO20" s="50">
        <f>865*0.029</f>
        <v>25.1</v>
      </c>
      <c r="AP20" s="50">
        <f>AK20*0.053</f>
        <v>47.2</v>
      </c>
      <c r="AQ20" s="50">
        <f t="shared" si="7"/>
        <v>268.2</v>
      </c>
      <c r="AS20" s="66"/>
    </row>
    <row r="21" spans="1:45" s="33" customFormat="1" ht="25.5" x14ac:dyDescent="0.2">
      <c r="A21" s="278">
        <v>14</v>
      </c>
      <c r="B21" s="218" t="s">
        <v>31</v>
      </c>
      <c r="C21" s="278">
        <v>5</v>
      </c>
      <c r="D21" s="177">
        <v>11.061999999999999</v>
      </c>
      <c r="E21" s="171">
        <f>C21*D21</f>
        <v>55.31</v>
      </c>
      <c r="F21" s="154">
        <f>E21*12</f>
        <v>663.7</v>
      </c>
      <c r="G21" s="154"/>
      <c r="H21" s="154">
        <f>40.443+1.617+1.078</f>
        <v>43.1</v>
      </c>
      <c r="I21" s="154"/>
      <c r="J21" s="154"/>
      <c r="K21" s="154">
        <f>D21*0.4*4*12+D21*0.35*12+D21*0.05*3</f>
        <v>260.5</v>
      </c>
      <c r="L21" s="154">
        <f t="shared" si="4"/>
        <v>224.6</v>
      </c>
      <c r="M21" s="154">
        <f>F21+G21+H21+I21+J21+K21+L21</f>
        <v>1191.9000000000001</v>
      </c>
      <c r="N21" s="171">
        <v>0.47</v>
      </c>
      <c r="O21" s="154">
        <f>M21*N21</f>
        <v>560.20000000000005</v>
      </c>
      <c r="P21" s="154">
        <f>M21+O21</f>
        <v>1752.1</v>
      </c>
      <c r="Q21" s="154">
        <f>P21*0.8</f>
        <v>1401.7</v>
      </c>
      <c r="R21" s="154">
        <f>P21*0.8</f>
        <v>1401.7</v>
      </c>
      <c r="S21" s="154">
        <f>(P21+Q21+R21)*0.032</f>
        <v>145.80000000000001</v>
      </c>
      <c r="T21" s="154">
        <f>P21+Q21+R21+S21</f>
        <v>4701.3</v>
      </c>
      <c r="U21" s="1425"/>
      <c r="V21" s="154">
        <f t="shared" si="5"/>
        <v>4701.3</v>
      </c>
      <c r="W21" s="154">
        <f>AQ21*C21</f>
        <v>1409</v>
      </c>
      <c r="X21" s="54">
        <v>4</v>
      </c>
      <c r="Y21" s="24">
        <v>30</v>
      </c>
      <c r="Z21" s="48">
        <f>X21*Y21</f>
        <v>120</v>
      </c>
      <c r="AA21" s="54">
        <v>2</v>
      </c>
      <c r="AB21" s="24">
        <v>15</v>
      </c>
      <c r="AC21" s="48">
        <f>AA21*AB21</f>
        <v>30</v>
      </c>
      <c r="AD21" s="54">
        <v>1</v>
      </c>
      <c r="AE21" s="24">
        <v>30</v>
      </c>
      <c r="AF21" s="48">
        <f>AD21*AE21</f>
        <v>30</v>
      </c>
      <c r="AG21" s="278">
        <f t="shared" si="0"/>
        <v>54</v>
      </c>
      <c r="AH21" s="48">
        <f t="shared" si="1"/>
        <v>234</v>
      </c>
      <c r="AI21" s="34">
        <f t="shared" si="2"/>
        <v>78355</v>
      </c>
      <c r="AJ21" s="220"/>
      <c r="AK21" s="216">
        <f t="shared" si="3"/>
        <v>940.3</v>
      </c>
      <c r="AL21" s="216">
        <f t="shared" si="6"/>
        <v>288.60000000000002</v>
      </c>
      <c r="AM21" s="217">
        <v>0.30199999999999999</v>
      </c>
      <c r="AN21" s="211">
        <f>AK21*0.22</f>
        <v>206.86600000000001</v>
      </c>
      <c r="AO21" s="50">
        <f>865*0.029</f>
        <v>25.1</v>
      </c>
      <c r="AP21" s="50">
        <f>AK21*0.053</f>
        <v>49.8</v>
      </c>
      <c r="AQ21" s="50">
        <f>SUM(AN21:AP21)</f>
        <v>281.8</v>
      </c>
      <c r="AS21" s="66"/>
    </row>
    <row r="22" spans="1:45" s="33" customFormat="1" ht="25.5" x14ac:dyDescent="0.2">
      <c r="A22" s="278">
        <v>15</v>
      </c>
      <c r="B22" s="218" t="s">
        <v>110</v>
      </c>
      <c r="C22" s="278">
        <v>1</v>
      </c>
      <c r="D22" s="177">
        <v>6.2859999999999996</v>
      </c>
      <c r="E22" s="171">
        <f>C22*D22</f>
        <v>6.29</v>
      </c>
      <c r="F22" s="154">
        <f>E22*12</f>
        <v>75.5</v>
      </c>
      <c r="G22" s="154"/>
      <c r="H22" s="154"/>
      <c r="I22" s="154"/>
      <c r="J22" s="154"/>
      <c r="K22" s="154">
        <f>F22*0.2</f>
        <v>15.1</v>
      </c>
      <c r="L22" s="154">
        <f t="shared" si="4"/>
        <v>25.5</v>
      </c>
      <c r="M22" s="154">
        <f>F22+G22+H22+I22+J22+K22+L22</f>
        <v>116.1</v>
      </c>
      <c r="N22" s="171">
        <v>0.45</v>
      </c>
      <c r="O22" s="154">
        <f>M22*N22</f>
        <v>52.2</v>
      </c>
      <c r="P22" s="154">
        <f>M22+O22</f>
        <v>168.3</v>
      </c>
      <c r="Q22" s="154">
        <f>P22*0.8</f>
        <v>134.6</v>
      </c>
      <c r="R22" s="154">
        <f>P22*0.8</f>
        <v>134.6</v>
      </c>
      <c r="S22" s="154">
        <f>(P22+Q22+R22)*0.032</f>
        <v>14</v>
      </c>
      <c r="T22" s="154">
        <f>P22+Q22+R22+S22</f>
        <v>451.5</v>
      </c>
      <c r="U22" s="1425"/>
      <c r="V22" s="154">
        <f t="shared" si="5"/>
        <v>451.5</v>
      </c>
      <c r="W22" s="154">
        <f t="shared" ref="W22:W51" si="20">V22*0.302</f>
        <v>136.4</v>
      </c>
      <c r="X22" s="54">
        <v>1</v>
      </c>
      <c r="Y22" s="24">
        <v>30</v>
      </c>
      <c r="Z22" s="48">
        <f>X22*Y22</f>
        <v>30</v>
      </c>
      <c r="AA22" s="54"/>
      <c r="AB22" s="24">
        <v>15</v>
      </c>
      <c r="AC22" s="48">
        <f>AA22*AB22</f>
        <v>0</v>
      </c>
      <c r="AD22" s="54"/>
      <c r="AE22" s="24">
        <v>30</v>
      </c>
      <c r="AF22" s="48">
        <f>AD22*AE22</f>
        <v>0</v>
      </c>
      <c r="AG22" s="278">
        <f t="shared" si="0"/>
        <v>9</v>
      </c>
      <c r="AH22" s="48">
        <f t="shared" si="1"/>
        <v>39</v>
      </c>
      <c r="AI22" s="34">
        <f t="shared" si="2"/>
        <v>37625</v>
      </c>
      <c r="AJ22" s="220"/>
      <c r="AK22" s="216">
        <f t="shared" si="3"/>
        <v>451.5</v>
      </c>
      <c r="AL22" s="216">
        <f t="shared" si="6"/>
        <v>199.7</v>
      </c>
      <c r="AM22" s="217">
        <v>0.30199999999999999</v>
      </c>
      <c r="AN22" s="211"/>
      <c r="AO22" s="211"/>
      <c r="AP22" s="211"/>
      <c r="AQ22" s="50">
        <f t="shared" si="7"/>
        <v>0</v>
      </c>
      <c r="AS22" s="66"/>
    </row>
    <row r="23" spans="1:45" x14ac:dyDescent="0.2">
      <c r="A23" s="278">
        <v>16</v>
      </c>
      <c r="B23" s="218" t="s">
        <v>49</v>
      </c>
      <c r="C23" s="54">
        <v>1</v>
      </c>
      <c r="D23" s="177">
        <v>8.4730000000000008</v>
      </c>
      <c r="E23" s="171">
        <f>C23*D23</f>
        <v>8.4700000000000006</v>
      </c>
      <c r="F23" s="154">
        <f t="shared" ref="F23:F41" si="21">E23*12</f>
        <v>101.6</v>
      </c>
      <c r="G23" s="154"/>
      <c r="H23" s="154">
        <v>3.7</v>
      </c>
      <c r="I23" s="154"/>
      <c r="J23" s="154">
        <f>F23*0.1</f>
        <v>10.199999999999999</v>
      </c>
      <c r="K23" s="154">
        <f>F23*0.3</f>
        <v>30.5</v>
      </c>
      <c r="L23" s="154">
        <f t="shared" si="4"/>
        <v>34.4</v>
      </c>
      <c r="M23" s="154">
        <f t="shared" ref="M23:M41" si="22">F23+G23+H23+I23+J23+K23+L23</f>
        <v>180.4</v>
      </c>
      <c r="N23" s="171">
        <v>0.41</v>
      </c>
      <c r="O23" s="154">
        <f t="shared" ref="O23:O41" si="23">M23*N23</f>
        <v>74</v>
      </c>
      <c r="P23" s="154">
        <f t="shared" ref="P23:P41" si="24">M23+O23</f>
        <v>254.4</v>
      </c>
      <c r="Q23" s="154">
        <f t="shared" ref="Q23:Q41" si="25">P23*0.8</f>
        <v>203.5</v>
      </c>
      <c r="R23" s="154">
        <f t="shared" ref="R23:R41" si="26">P23*0.8</f>
        <v>203.5</v>
      </c>
      <c r="S23" s="154">
        <f t="shared" ref="S23:S41" si="27">(P23+Q23+R23)*0.032</f>
        <v>21.2</v>
      </c>
      <c r="T23" s="154">
        <f t="shared" ref="T23:T41" si="28">P23+Q23+R23+S23</f>
        <v>682.6</v>
      </c>
      <c r="U23" s="1425"/>
      <c r="V23" s="154">
        <f t="shared" si="5"/>
        <v>682.6</v>
      </c>
      <c r="W23" s="154">
        <f t="shared" si="20"/>
        <v>206.1</v>
      </c>
      <c r="X23" s="278">
        <v>1</v>
      </c>
      <c r="Y23" s="24">
        <v>30</v>
      </c>
      <c r="Z23" s="48">
        <f>X23*Y23</f>
        <v>30</v>
      </c>
      <c r="AA23" s="54">
        <v>1</v>
      </c>
      <c r="AB23" s="24">
        <v>15</v>
      </c>
      <c r="AC23" s="48">
        <f>AA23*AB23</f>
        <v>15</v>
      </c>
      <c r="AD23" s="54"/>
      <c r="AE23" s="24">
        <v>30</v>
      </c>
      <c r="AF23" s="48">
        <f>AD23*AE23</f>
        <v>0</v>
      </c>
      <c r="AG23" s="278">
        <f t="shared" si="0"/>
        <v>13.5</v>
      </c>
      <c r="AH23" s="48">
        <f t="shared" si="1"/>
        <v>58.5</v>
      </c>
      <c r="AI23" s="34">
        <f t="shared" si="2"/>
        <v>56883.3</v>
      </c>
      <c r="AJ23" s="34"/>
      <c r="AK23" s="216">
        <f t="shared" si="3"/>
        <v>682.6</v>
      </c>
      <c r="AL23" s="216">
        <f t="shared" si="6"/>
        <v>241.7</v>
      </c>
      <c r="AM23" s="217">
        <v>0.30199999999999999</v>
      </c>
      <c r="AQ23" s="50">
        <f t="shared" si="7"/>
        <v>0</v>
      </c>
      <c r="AS23" s="66"/>
    </row>
    <row r="24" spans="1:45" x14ac:dyDescent="0.2">
      <c r="A24" s="278">
        <v>17</v>
      </c>
      <c r="B24" s="218" t="s">
        <v>50</v>
      </c>
      <c r="C24" s="54">
        <v>1</v>
      </c>
      <c r="D24" s="177">
        <v>8.4730000000000008</v>
      </c>
      <c r="E24" s="171">
        <f>C24*D24</f>
        <v>8.4700000000000006</v>
      </c>
      <c r="F24" s="154">
        <f t="shared" si="21"/>
        <v>101.6</v>
      </c>
      <c r="G24" s="154"/>
      <c r="H24" s="154">
        <v>0.4</v>
      </c>
      <c r="I24" s="154"/>
      <c r="J24" s="154">
        <f>F24*0.1</f>
        <v>10.199999999999999</v>
      </c>
      <c r="K24" s="154">
        <f>F24*0.4</f>
        <v>40.6</v>
      </c>
      <c r="L24" s="154">
        <f t="shared" si="4"/>
        <v>34.4</v>
      </c>
      <c r="M24" s="154">
        <f t="shared" si="22"/>
        <v>187.2</v>
      </c>
      <c r="N24" s="171">
        <v>0.41</v>
      </c>
      <c r="O24" s="154">
        <f t="shared" si="23"/>
        <v>76.8</v>
      </c>
      <c r="P24" s="154">
        <f t="shared" si="24"/>
        <v>264</v>
      </c>
      <c r="Q24" s="154">
        <f t="shared" si="25"/>
        <v>211.2</v>
      </c>
      <c r="R24" s="154">
        <f t="shared" si="26"/>
        <v>211.2</v>
      </c>
      <c r="S24" s="154">
        <f t="shared" si="27"/>
        <v>22</v>
      </c>
      <c r="T24" s="154">
        <f t="shared" si="28"/>
        <v>708.4</v>
      </c>
      <c r="U24" s="1425"/>
      <c r="V24" s="154">
        <f t="shared" si="5"/>
        <v>708.4</v>
      </c>
      <c r="W24" s="154">
        <f t="shared" si="20"/>
        <v>213.9</v>
      </c>
      <c r="X24" s="278"/>
      <c r="Y24" s="24">
        <v>30</v>
      </c>
      <c r="Z24" s="48">
        <f>X24*Y24</f>
        <v>0</v>
      </c>
      <c r="AA24" s="54"/>
      <c r="AB24" s="24">
        <v>15</v>
      </c>
      <c r="AC24" s="48">
        <f>AA24*AB24</f>
        <v>0</v>
      </c>
      <c r="AD24" s="54"/>
      <c r="AE24" s="24">
        <v>30</v>
      </c>
      <c r="AF24" s="48">
        <f>AD24*AE24</f>
        <v>0</v>
      </c>
      <c r="AG24" s="278">
        <f t="shared" si="0"/>
        <v>0</v>
      </c>
      <c r="AH24" s="48">
        <f t="shared" si="1"/>
        <v>0</v>
      </c>
      <c r="AI24" s="34">
        <f t="shared" si="2"/>
        <v>59033.3</v>
      </c>
      <c r="AJ24" s="34"/>
      <c r="AK24" s="216">
        <f t="shared" si="3"/>
        <v>708.4</v>
      </c>
      <c r="AL24" s="216">
        <f t="shared" si="6"/>
        <v>246.4</v>
      </c>
      <c r="AM24" s="217">
        <v>0.30199999999999999</v>
      </c>
      <c r="AQ24" s="50">
        <f t="shared" si="7"/>
        <v>0</v>
      </c>
      <c r="AS24" s="66"/>
    </row>
    <row r="25" spans="1:45" ht="25.5" x14ac:dyDescent="0.2">
      <c r="A25" s="278">
        <v>18</v>
      </c>
      <c r="B25" s="218" t="s">
        <v>51</v>
      </c>
      <c r="C25" s="54">
        <v>1</v>
      </c>
      <c r="D25" s="177">
        <v>8.4730000000000008</v>
      </c>
      <c r="E25" s="171">
        <f t="shared" ref="E25:E40" si="29">C25*D25</f>
        <v>8.4700000000000006</v>
      </c>
      <c r="F25" s="154">
        <f t="shared" si="21"/>
        <v>101.6</v>
      </c>
      <c r="G25" s="154"/>
      <c r="H25" s="154">
        <v>2.1</v>
      </c>
      <c r="I25" s="154"/>
      <c r="J25" s="154">
        <f>F25*0.1</f>
        <v>10.199999999999999</v>
      </c>
      <c r="K25" s="154">
        <f>F25*0.4</f>
        <v>40.6</v>
      </c>
      <c r="L25" s="154">
        <f t="shared" si="4"/>
        <v>34.4</v>
      </c>
      <c r="M25" s="154">
        <f t="shared" si="22"/>
        <v>188.9</v>
      </c>
      <c r="N25" s="171">
        <v>0.41</v>
      </c>
      <c r="O25" s="154">
        <f t="shared" si="23"/>
        <v>77.400000000000006</v>
      </c>
      <c r="P25" s="154">
        <f t="shared" si="24"/>
        <v>266.3</v>
      </c>
      <c r="Q25" s="154">
        <f t="shared" si="25"/>
        <v>213</v>
      </c>
      <c r="R25" s="154">
        <f t="shared" si="26"/>
        <v>213</v>
      </c>
      <c r="S25" s="154">
        <f t="shared" si="27"/>
        <v>22.2</v>
      </c>
      <c r="T25" s="154">
        <f t="shared" si="28"/>
        <v>714.5</v>
      </c>
      <c r="U25" s="1425"/>
      <c r="V25" s="154">
        <f t="shared" si="5"/>
        <v>714.5</v>
      </c>
      <c r="W25" s="154">
        <f t="shared" si="20"/>
        <v>215.8</v>
      </c>
      <c r="X25" s="278">
        <v>1</v>
      </c>
      <c r="Y25" s="24">
        <v>30</v>
      </c>
      <c r="Z25" s="48">
        <f t="shared" ref="Z25:Z38" si="30">X25*Y25</f>
        <v>30</v>
      </c>
      <c r="AA25" s="54"/>
      <c r="AB25" s="24">
        <v>15</v>
      </c>
      <c r="AC25" s="48">
        <f t="shared" ref="AC25:AC38" si="31">AA25*AB25</f>
        <v>0</v>
      </c>
      <c r="AD25" s="54"/>
      <c r="AE25" s="24">
        <v>30</v>
      </c>
      <c r="AF25" s="48">
        <f t="shared" ref="AF25:AF41" si="32">AD25*AE25</f>
        <v>0</v>
      </c>
      <c r="AG25" s="278">
        <f t="shared" si="0"/>
        <v>9</v>
      </c>
      <c r="AH25" s="48">
        <f t="shared" si="1"/>
        <v>39</v>
      </c>
      <c r="AI25" s="34">
        <f t="shared" si="2"/>
        <v>59541.7</v>
      </c>
      <c r="AJ25" s="34"/>
      <c r="AK25" s="216">
        <f t="shared" si="3"/>
        <v>714.5</v>
      </c>
      <c r="AL25" s="216">
        <f t="shared" si="6"/>
        <v>247.5</v>
      </c>
      <c r="AM25" s="217">
        <v>0.30199999999999999</v>
      </c>
      <c r="AQ25" s="50">
        <f t="shared" si="7"/>
        <v>0</v>
      </c>
      <c r="AS25" s="66"/>
    </row>
    <row r="26" spans="1:45" x14ac:dyDescent="0.2">
      <c r="A26" s="278">
        <v>19</v>
      </c>
      <c r="B26" s="218" t="s">
        <v>52</v>
      </c>
      <c r="C26" s="54">
        <v>1</v>
      </c>
      <c r="D26" s="177">
        <v>8.4730000000000008</v>
      </c>
      <c r="E26" s="171">
        <f t="shared" si="29"/>
        <v>8.4700000000000006</v>
      </c>
      <c r="F26" s="154">
        <f t="shared" si="21"/>
        <v>101.6</v>
      </c>
      <c r="G26" s="154"/>
      <c r="H26" s="154">
        <v>1.4</v>
      </c>
      <c r="I26" s="154"/>
      <c r="J26" s="154"/>
      <c r="K26" s="154">
        <f>D26*0.25*7.7+D26*0.3*4.3</f>
        <v>27.2</v>
      </c>
      <c r="L26" s="154">
        <f t="shared" si="4"/>
        <v>34.4</v>
      </c>
      <c r="M26" s="154">
        <f t="shared" si="22"/>
        <v>164.6</v>
      </c>
      <c r="N26" s="171">
        <v>0.41</v>
      </c>
      <c r="O26" s="154">
        <f t="shared" si="23"/>
        <v>67.5</v>
      </c>
      <c r="P26" s="154">
        <f t="shared" si="24"/>
        <v>232.1</v>
      </c>
      <c r="Q26" s="154">
        <f t="shared" si="25"/>
        <v>185.7</v>
      </c>
      <c r="R26" s="154">
        <f t="shared" si="26"/>
        <v>185.7</v>
      </c>
      <c r="S26" s="154">
        <f t="shared" si="27"/>
        <v>19.3</v>
      </c>
      <c r="T26" s="154">
        <f t="shared" si="28"/>
        <v>622.79999999999995</v>
      </c>
      <c r="U26" s="1425"/>
      <c r="V26" s="154">
        <f t="shared" si="5"/>
        <v>622.79999999999995</v>
      </c>
      <c r="W26" s="154">
        <f t="shared" si="20"/>
        <v>188.1</v>
      </c>
      <c r="X26" s="278">
        <v>1</v>
      </c>
      <c r="Y26" s="24">
        <v>30</v>
      </c>
      <c r="Z26" s="48">
        <f t="shared" si="30"/>
        <v>30</v>
      </c>
      <c r="AA26" s="54"/>
      <c r="AB26" s="24">
        <v>15</v>
      </c>
      <c r="AC26" s="48">
        <f t="shared" si="31"/>
        <v>0</v>
      </c>
      <c r="AD26" s="54"/>
      <c r="AE26" s="24">
        <v>30</v>
      </c>
      <c r="AF26" s="48">
        <f t="shared" si="32"/>
        <v>0</v>
      </c>
      <c r="AG26" s="278">
        <f t="shared" si="0"/>
        <v>9</v>
      </c>
      <c r="AH26" s="48">
        <f t="shared" si="1"/>
        <v>39</v>
      </c>
      <c r="AI26" s="34">
        <f t="shared" si="2"/>
        <v>51900</v>
      </c>
      <c r="AJ26" s="34"/>
      <c r="AK26" s="216">
        <f t="shared" si="3"/>
        <v>622.79999999999995</v>
      </c>
      <c r="AL26" s="216">
        <f t="shared" si="6"/>
        <v>230.8</v>
      </c>
      <c r="AM26" s="217">
        <v>0.30199999999999999</v>
      </c>
      <c r="AQ26" s="50">
        <f t="shared" si="7"/>
        <v>0</v>
      </c>
      <c r="AS26" s="66"/>
    </row>
    <row r="27" spans="1:45" ht="26.25" customHeight="1" x14ac:dyDescent="0.2">
      <c r="A27" s="278">
        <v>20</v>
      </c>
      <c r="B27" s="218" t="s">
        <v>53</v>
      </c>
      <c r="C27" s="49">
        <f>1-0.5</f>
        <v>0.5</v>
      </c>
      <c r="D27" s="177">
        <v>8.4730000000000008</v>
      </c>
      <c r="E27" s="171">
        <f t="shared" si="29"/>
        <v>4.24</v>
      </c>
      <c r="F27" s="154">
        <f t="shared" si="21"/>
        <v>50.9</v>
      </c>
      <c r="G27" s="154"/>
      <c r="H27" s="154"/>
      <c r="I27" s="154"/>
      <c r="J27" s="154"/>
      <c r="K27" s="154"/>
      <c r="L27" s="154">
        <f t="shared" si="4"/>
        <v>17.2</v>
      </c>
      <c r="M27" s="154">
        <f t="shared" si="22"/>
        <v>68.099999999999994</v>
      </c>
      <c r="N27" s="171">
        <v>0.41</v>
      </c>
      <c r="O27" s="154">
        <f t="shared" si="23"/>
        <v>27.9</v>
      </c>
      <c r="P27" s="154">
        <f t="shared" si="24"/>
        <v>96</v>
      </c>
      <c r="Q27" s="154">
        <f t="shared" si="25"/>
        <v>76.8</v>
      </c>
      <c r="R27" s="154">
        <f t="shared" si="26"/>
        <v>76.8</v>
      </c>
      <c r="S27" s="154">
        <f t="shared" si="27"/>
        <v>8</v>
      </c>
      <c r="T27" s="154">
        <f t="shared" si="28"/>
        <v>257.60000000000002</v>
      </c>
      <c r="U27" s="1425"/>
      <c r="V27" s="154">
        <f t="shared" si="5"/>
        <v>257.60000000000002</v>
      </c>
      <c r="W27" s="154">
        <f t="shared" si="20"/>
        <v>77.8</v>
      </c>
      <c r="X27" s="278"/>
      <c r="Y27" s="24">
        <v>30</v>
      </c>
      <c r="Z27" s="48">
        <f t="shared" si="30"/>
        <v>0</v>
      </c>
      <c r="AA27" s="54"/>
      <c r="AB27" s="24">
        <v>15</v>
      </c>
      <c r="AC27" s="48">
        <f t="shared" si="31"/>
        <v>0</v>
      </c>
      <c r="AD27" s="54"/>
      <c r="AE27" s="24">
        <v>30</v>
      </c>
      <c r="AF27" s="48">
        <f t="shared" si="32"/>
        <v>0</v>
      </c>
      <c r="AG27" s="278">
        <f t="shared" si="0"/>
        <v>0</v>
      </c>
      <c r="AH27" s="48">
        <f t="shared" si="1"/>
        <v>0</v>
      </c>
      <c r="AI27" s="34">
        <f t="shared" si="2"/>
        <v>42933.3</v>
      </c>
      <c r="AJ27" s="34"/>
      <c r="AK27" s="216">
        <f t="shared" si="3"/>
        <v>515.20000000000005</v>
      </c>
      <c r="AL27" s="216">
        <f t="shared" si="6"/>
        <v>211.2</v>
      </c>
      <c r="AM27" s="217">
        <v>0.30199999999999999</v>
      </c>
      <c r="AQ27" s="50">
        <f t="shared" si="7"/>
        <v>0</v>
      </c>
      <c r="AS27" s="66"/>
    </row>
    <row r="28" spans="1:45" x14ac:dyDescent="0.2">
      <c r="A28" s="278">
        <v>21</v>
      </c>
      <c r="B28" s="218" t="s">
        <v>54</v>
      </c>
      <c r="C28" s="54">
        <v>1</v>
      </c>
      <c r="D28" s="177">
        <v>11.061999999999999</v>
      </c>
      <c r="E28" s="171">
        <f t="shared" si="29"/>
        <v>11.06</v>
      </c>
      <c r="F28" s="154">
        <f t="shared" si="21"/>
        <v>132.69999999999999</v>
      </c>
      <c r="G28" s="154"/>
      <c r="H28" s="154">
        <v>3.2</v>
      </c>
      <c r="I28" s="154"/>
      <c r="J28" s="154">
        <f>F28*0.1</f>
        <v>13.3</v>
      </c>
      <c r="K28" s="154">
        <f>F28*0.3</f>
        <v>39.799999999999997</v>
      </c>
      <c r="L28" s="154">
        <f t="shared" si="4"/>
        <v>44.9</v>
      </c>
      <c r="M28" s="154">
        <f t="shared" si="22"/>
        <v>233.9</v>
      </c>
      <c r="N28" s="171">
        <v>0.43</v>
      </c>
      <c r="O28" s="154">
        <f t="shared" si="23"/>
        <v>100.6</v>
      </c>
      <c r="P28" s="154">
        <f t="shared" si="24"/>
        <v>334.5</v>
      </c>
      <c r="Q28" s="154">
        <f t="shared" si="25"/>
        <v>267.60000000000002</v>
      </c>
      <c r="R28" s="154">
        <f t="shared" si="26"/>
        <v>267.60000000000002</v>
      </c>
      <c r="S28" s="154">
        <f t="shared" si="27"/>
        <v>27.8</v>
      </c>
      <c r="T28" s="154">
        <f t="shared" si="28"/>
        <v>897.5</v>
      </c>
      <c r="U28" s="1425"/>
      <c r="V28" s="154">
        <f t="shared" si="5"/>
        <v>897.5</v>
      </c>
      <c r="W28" s="154">
        <f>AQ28</f>
        <v>270.2</v>
      </c>
      <c r="X28" s="278"/>
      <c r="Y28" s="24">
        <v>30</v>
      </c>
      <c r="Z28" s="48">
        <f t="shared" si="30"/>
        <v>0</v>
      </c>
      <c r="AA28" s="54"/>
      <c r="AB28" s="24">
        <v>15</v>
      </c>
      <c r="AC28" s="48">
        <f t="shared" si="31"/>
        <v>0</v>
      </c>
      <c r="AD28" s="54"/>
      <c r="AE28" s="24">
        <v>30</v>
      </c>
      <c r="AF28" s="48">
        <f t="shared" si="32"/>
        <v>0</v>
      </c>
      <c r="AG28" s="278">
        <f t="shared" si="0"/>
        <v>0</v>
      </c>
      <c r="AH28" s="48">
        <f>Z28+AC28+AF28+AG28</f>
        <v>0</v>
      </c>
      <c r="AI28" s="34">
        <f t="shared" si="2"/>
        <v>74791.7</v>
      </c>
      <c r="AJ28" s="34"/>
      <c r="AK28" s="216">
        <f t="shared" si="3"/>
        <v>897.5</v>
      </c>
      <c r="AL28" s="216">
        <f t="shared" si="6"/>
        <v>280.8</v>
      </c>
      <c r="AM28" s="217">
        <v>0.30199999999999999</v>
      </c>
      <c r="AN28" s="221">
        <f>AK28*0.22</f>
        <v>197.5</v>
      </c>
      <c r="AO28" s="50">
        <f>865*0.029</f>
        <v>25.1</v>
      </c>
      <c r="AP28" s="50">
        <f>AK28*0.053</f>
        <v>47.6</v>
      </c>
      <c r="AQ28" s="50">
        <f t="shared" si="7"/>
        <v>270.2</v>
      </c>
      <c r="AS28" s="66"/>
    </row>
    <row r="29" spans="1:45" x14ac:dyDescent="0.2">
      <c r="A29" s="278">
        <v>22</v>
      </c>
      <c r="B29" s="218" t="s">
        <v>40</v>
      </c>
      <c r="C29" s="54">
        <v>2</v>
      </c>
      <c r="D29" s="177">
        <v>11.061999999999999</v>
      </c>
      <c r="E29" s="171">
        <f t="shared" si="29"/>
        <v>22.12</v>
      </c>
      <c r="F29" s="154">
        <f t="shared" si="21"/>
        <v>265.39999999999998</v>
      </c>
      <c r="G29" s="154"/>
      <c r="H29" s="154">
        <v>3.2</v>
      </c>
      <c r="I29" s="154"/>
      <c r="J29" s="154"/>
      <c r="K29" s="154">
        <f>D29*0.4*12+D29*0.35*12</f>
        <v>99.6</v>
      </c>
      <c r="L29" s="154">
        <f t="shared" si="4"/>
        <v>89.8</v>
      </c>
      <c r="M29" s="154">
        <f t="shared" si="22"/>
        <v>458</v>
      </c>
      <c r="N29" s="171">
        <v>0.43</v>
      </c>
      <c r="O29" s="154">
        <f t="shared" si="23"/>
        <v>196.9</v>
      </c>
      <c r="P29" s="154">
        <f t="shared" si="24"/>
        <v>654.9</v>
      </c>
      <c r="Q29" s="154">
        <f t="shared" si="25"/>
        <v>523.9</v>
      </c>
      <c r="R29" s="154">
        <f t="shared" si="26"/>
        <v>523.9</v>
      </c>
      <c r="S29" s="154">
        <f t="shared" si="27"/>
        <v>54.5</v>
      </c>
      <c r="T29" s="154">
        <f t="shared" si="28"/>
        <v>1757.2</v>
      </c>
      <c r="U29" s="1425"/>
      <c r="V29" s="154">
        <f t="shared" si="5"/>
        <v>1757.2</v>
      </c>
      <c r="W29" s="154">
        <f>AQ29*C29</f>
        <v>530</v>
      </c>
      <c r="X29" s="278">
        <v>1</v>
      </c>
      <c r="Y29" s="24">
        <v>30</v>
      </c>
      <c r="Z29" s="48">
        <f t="shared" si="30"/>
        <v>30</v>
      </c>
      <c r="AA29" s="54">
        <v>2</v>
      </c>
      <c r="AB29" s="24">
        <v>15</v>
      </c>
      <c r="AC29" s="48">
        <f t="shared" si="31"/>
        <v>30</v>
      </c>
      <c r="AD29" s="54"/>
      <c r="AE29" s="24">
        <v>30</v>
      </c>
      <c r="AF29" s="48">
        <f t="shared" si="32"/>
        <v>0</v>
      </c>
      <c r="AG29" s="278">
        <f t="shared" si="0"/>
        <v>18</v>
      </c>
      <c r="AH29" s="48">
        <f t="shared" ref="AH29:AH41" si="33">Z29+AC29+AF29+AG29</f>
        <v>78</v>
      </c>
      <c r="AI29" s="34">
        <f t="shared" si="2"/>
        <v>73216.7</v>
      </c>
      <c r="AJ29" s="34"/>
      <c r="AK29" s="216">
        <f t="shared" si="3"/>
        <v>878.6</v>
      </c>
      <c r="AL29" s="216">
        <f t="shared" si="6"/>
        <v>277.39999999999998</v>
      </c>
      <c r="AM29" s="217">
        <v>0.30199999999999999</v>
      </c>
      <c r="AN29" s="221">
        <f>AK29*0.22</f>
        <v>193.3</v>
      </c>
      <c r="AO29" s="50">
        <f>865*0.029</f>
        <v>25.1</v>
      </c>
      <c r="AP29" s="50">
        <f>AK29*0.053</f>
        <v>46.6</v>
      </c>
      <c r="AQ29" s="50">
        <f t="shared" si="7"/>
        <v>265</v>
      </c>
      <c r="AS29" s="66"/>
    </row>
    <row r="30" spans="1:45" x14ac:dyDescent="0.2">
      <c r="A30" s="278">
        <v>23</v>
      </c>
      <c r="B30" s="218" t="s">
        <v>55</v>
      </c>
      <c r="C30" s="54">
        <v>1</v>
      </c>
      <c r="D30" s="213">
        <v>8.4730000000000008</v>
      </c>
      <c r="E30" s="171">
        <f t="shared" si="29"/>
        <v>8.4700000000000006</v>
      </c>
      <c r="F30" s="154">
        <f t="shared" si="21"/>
        <v>101.6</v>
      </c>
      <c r="G30" s="154"/>
      <c r="H30" s="154">
        <v>2.1</v>
      </c>
      <c r="I30" s="154"/>
      <c r="J30" s="154">
        <f>F30*0.1</f>
        <v>10.199999999999999</v>
      </c>
      <c r="K30" s="154">
        <f>D30*0.3*12</f>
        <v>30.5</v>
      </c>
      <c r="L30" s="154">
        <f t="shared" si="4"/>
        <v>34.4</v>
      </c>
      <c r="M30" s="154">
        <f t="shared" si="22"/>
        <v>178.8</v>
      </c>
      <c r="N30" s="171">
        <v>0.41</v>
      </c>
      <c r="O30" s="154">
        <f t="shared" si="23"/>
        <v>73.3</v>
      </c>
      <c r="P30" s="154">
        <f t="shared" si="24"/>
        <v>252.1</v>
      </c>
      <c r="Q30" s="154">
        <f t="shared" si="25"/>
        <v>201.7</v>
      </c>
      <c r="R30" s="154">
        <f t="shared" si="26"/>
        <v>201.7</v>
      </c>
      <c r="S30" s="154">
        <f t="shared" si="27"/>
        <v>21</v>
      </c>
      <c r="T30" s="154">
        <f t="shared" si="28"/>
        <v>676.5</v>
      </c>
      <c r="U30" s="1425"/>
      <c r="V30" s="154">
        <f t="shared" si="5"/>
        <v>676.5</v>
      </c>
      <c r="W30" s="154">
        <f t="shared" si="20"/>
        <v>204.3</v>
      </c>
      <c r="X30" s="278">
        <v>1</v>
      </c>
      <c r="Y30" s="24">
        <v>30</v>
      </c>
      <c r="Z30" s="48">
        <f t="shared" si="30"/>
        <v>30</v>
      </c>
      <c r="AA30" s="54">
        <v>1</v>
      </c>
      <c r="AB30" s="24">
        <v>15</v>
      </c>
      <c r="AC30" s="48">
        <f t="shared" si="31"/>
        <v>15</v>
      </c>
      <c r="AD30" s="54">
        <v>1</v>
      </c>
      <c r="AE30" s="24">
        <v>30</v>
      </c>
      <c r="AF30" s="48">
        <f t="shared" si="32"/>
        <v>30</v>
      </c>
      <c r="AG30" s="278">
        <f t="shared" si="0"/>
        <v>22.5</v>
      </c>
      <c r="AH30" s="48">
        <f t="shared" si="33"/>
        <v>97.5</v>
      </c>
      <c r="AI30" s="34">
        <f t="shared" si="2"/>
        <v>56375</v>
      </c>
      <c r="AJ30" s="34"/>
      <c r="AK30" s="216">
        <f t="shared" si="3"/>
        <v>676.5</v>
      </c>
      <c r="AL30" s="216">
        <f t="shared" si="6"/>
        <v>240.6</v>
      </c>
      <c r="AM30" s="217">
        <f>AL30/AK30</f>
        <v>0.35599999999999998</v>
      </c>
      <c r="AN30" s="222"/>
      <c r="AO30" s="50"/>
      <c r="AP30" s="50"/>
      <c r="AQ30" s="50">
        <f t="shared" si="7"/>
        <v>0</v>
      </c>
      <c r="AS30" s="66"/>
    </row>
    <row r="31" spans="1:45" x14ac:dyDescent="0.2">
      <c r="A31" s="278">
        <v>24</v>
      </c>
      <c r="B31" s="218" t="s">
        <v>29</v>
      </c>
      <c r="C31" s="54">
        <v>3</v>
      </c>
      <c r="D31" s="213">
        <v>8.4730000000000008</v>
      </c>
      <c r="E31" s="171">
        <f t="shared" si="29"/>
        <v>25.42</v>
      </c>
      <c r="F31" s="154">
        <f t="shared" si="21"/>
        <v>305</v>
      </c>
      <c r="G31" s="154"/>
      <c r="H31" s="154">
        <v>61.7</v>
      </c>
      <c r="I31" s="154"/>
      <c r="J31" s="154"/>
      <c r="K31" s="154">
        <f>D31*0.3*12+D31*0.05*2</f>
        <v>31.4</v>
      </c>
      <c r="L31" s="154">
        <f t="shared" si="4"/>
        <v>103.2</v>
      </c>
      <c r="M31" s="154">
        <f t="shared" si="22"/>
        <v>501.3</v>
      </c>
      <c r="N31" s="171">
        <v>0.41</v>
      </c>
      <c r="O31" s="154">
        <f t="shared" si="23"/>
        <v>205.5</v>
      </c>
      <c r="P31" s="154">
        <f t="shared" si="24"/>
        <v>706.8</v>
      </c>
      <c r="Q31" s="154">
        <f t="shared" si="25"/>
        <v>565.4</v>
      </c>
      <c r="R31" s="154">
        <f t="shared" si="26"/>
        <v>565.4</v>
      </c>
      <c r="S31" s="154">
        <f t="shared" si="27"/>
        <v>58.8</v>
      </c>
      <c r="T31" s="154">
        <f t="shared" si="28"/>
        <v>1896.4</v>
      </c>
      <c r="U31" s="1425"/>
      <c r="V31" s="154">
        <f t="shared" si="5"/>
        <v>1896.4</v>
      </c>
      <c r="W31" s="154">
        <f t="shared" si="20"/>
        <v>572.70000000000005</v>
      </c>
      <c r="X31" s="278">
        <v>1</v>
      </c>
      <c r="Y31" s="24">
        <v>30</v>
      </c>
      <c r="Z31" s="48">
        <f t="shared" si="30"/>
        <v>30</v>
      </c>
      <c r="AA31" s="54">
        <v>3</v>
      </c>
      <c r="AB31" s="24">
        <v>15</v>
      </c>
      <c r="AC31" s="48">
        <f t="shared" si="31"/>
        <v>45</v>
      </c>
      <c r="AD31" s="54"/>
      <c r="AE31" s="24">
        <v>30</v>
      </c>
      <c r="AF31" s="48">
        <f t="shared" si="32"/>
        <v>0</v>
      </c>
      <c r="AG31" s="278">
        <f t="shared" si="0"/>
        <v>22.5</v>
      </c>
      <c r="AH31" s="48">
        <f t="shared" si="33"/>
        <v>97.5</v>
      </c>
      <c r="AI31" s="34">
        <f t="shared" si="2"/>
        <v>52677.8</v>
      </c>
      <c r="AJ31" s="34"/>
      <c r="AK31" s="216">
        <f t="shared" si="3"/>
        <v>632.1</v>
      </c>
      <c r="AL31" s="216">
        <f t="shared" si="6"/>
        <v>232.5</v>
      </c>
      <c r="AM31" s="217">
        <v>0.30199999999999999</v>
      </c>
      <c r="AN31" s="223"/>
      <c r="AO31" s="62"/>
      <c r="AP31" s="62"/>
      <c r="AQ31" s="50">
        <f t="shared" si="7"/>
        <v>0</v>
      </c>
      <c r="AS31" s="66"/>
    </row>
    <row r="32" spans="1:45" ht="13.5" customHeight="1" x14ac:dyDescent="0.2">
      <c r="A32" s="278">
        <v>25</v>
      </c>
      <c r="B32" s="218" t="s">
        <v>42</v>
      </c>
      <c r="C32" s="54">
        <v>1</v>
      </c>
      <c r="D32" s="177">
        <v>11.061999999999999</v>
      </c>
      <c r="E32" s="171">
        <f t="shared" si="29"/>
        <v>11.06</v>
      </c>
      <c r="F32" s="154">
        <f t="shared" si="21"/>
        <v>132.69999999999999</v>
      </c>
      <c r="G32" s="154"/>
      <c r="H32" s="154">
        <v>4.8</v>
      </c>
      <c r="I32" s="154"/>
      <c r="J32" s="154">
        <f>F32*0.1</f>
        <v>13.3</v>
      </c>
      <c r="K32" s="154">
        <f>D32*0.25*12</f>
        <v>33.200000000000003</v>
      </c>
      <c r="L32" s="154">
        <f t="shared" si="4"/>
        <v>44.9</v>
      </c>
      <c r="M32" s="154">
        <f t="shared" si="22"/>
        <v>228.9</v>
      </c>
      <c r="N32" s="171">
        <v>0.43</v>
      </c>
      <c r="O32" s="154">
        <f t="shared" si="23"/>
        <v>98.4</v>
      </c>
      <c r="P32" s="154">
        <f t="shared" si="24"/>
        <v>327.3</v>
      </c>
      <c r="Q32" s="154">
        <f t="shared" si="25"/>
        <v>261.8</v>
      </c>
      <c r="R32" s="154">
        <f t="shared" si="26"/>
        <v>261.8</v>
      </c>
      <c r="S32" s="154">
        <f t="shared" si="27"/>
        <v>27.2</v>
      </c>
      <c r="T32" s="154">
        <f t="shared" si="28"/>
        <v>878.1</v>
      </c>
      <c r="U32" s="1425"/>
      <c r="V32" s="154">
        <f t="shared" si="5"/>
        <v>878.1</v>
      </c>
      <c r="W32" s="154">
        <f>AQ32</f>
        <v>264.8</v>
      </c>
      <c r="X32" s="278"/>
      <c r="Y32" s="24">
        <v>30</v>
      </c>
      <c r="Z32" s="48">
        <f t="shared" si="30"/>
        <v>0</v>
      </c>
      <c r="AA32" s="54"/>
      <c r="AB32" s="24">
        <v>15</v>
      </c>
      <c r="AC32" s="48">
        <f t="shared" si="31"/>
        <v>0</v>
      </c>
      <c r="AD32" s="54"/>
      <c r="AE32" s="24">
        <v>30</v>
      </c>
      <c r="AF32" s="48">
        <f t="shared" si="32"/>
        <v>0</v>
      </c>
      <c r="AG32" s="278">
        <f t="shared" si="0"/>
        <v>0</v>
      </c>
      <c r="AH32" s="48">
        <f t="shared" si="33"/>
        <v>0</v>
      </c>
      <c r="AI32" s="34">
        <f t="shared" si="2"/>
        <v>73175</v>
      </c>
      <c r="AJ32" s="34"/>
      <c r="AK32" s="216">
        <f t="shared" si="3"/>
        <v>878.1</v>
      </c>
      <c r="AL32" s="216">
        <f t="shared" si="6"/>
        <v>277.3</v>
      </c>
      <c r="AM32" s="217">
        <v>0.30199999999999999</v>
      </c>
      <c r="AN32" s="221">
        <f>AK32*0.22</f>
        <v>193.2</v>
      </c>
      <c r="AO32" s="50">
        <f>865*0.029</f>
        <v>25.1</v>
      </c>
      <c r="AP32" s="50">
        <f>AK32*0.053</f>
        <v>46.5</v>
      </c>
      <c r="AQ32" s="50">
        <f>SUM(AN32:AP32)</f>
        <v>264.8</v>
      </c>
      <c r="AS32" s="66"/>
    </row>
    <row r="33" spans="1:45" ht="25.5" x14ac:dyDescent="0.2">
      <c r="A33" s="278">
        <v>26</v>
      </c>
      <c r="B33" s="218" t="s">
        <v>108</v>
      </c>
      <c r="C33" s="54">
        <v>4</v>
      </c>
      <c r="D33" s="177">
        <v>8.4730000000000008</v>
      </c>
      <c r="E33" s="171">
        <f t="shared" si="29"/>
        <v>33.89</v>
      </c>
      <c r="F33" s="154">
        <f t="shared" si="21"/>
        <v>406.7</v>
      </c>
      <c r="G33" s="154"/>
      <c r="H33" s="154">
        <v>1.2</v>
      </c>
      <c r="I33" s="154"/>
      <c r="J33" s="154"/>
      <c r="K33" s="154">
        <f>D33*0.4*12+D33*0.35*12</f>
        <v>76.3</v>
      </c>
      <c r="L33" s="154">
        <f t="shared" si="4"/>
        <v>137.6</v>
      </c>
      <c r="M33" s="154">
        <f t="shared" si="22"/>
        <v>621.79999999999995</v>
      </c>
      <c r="N33" s="171">
        <v>0.47</v>
      </c>
      <c r="O33" s="154">
        <f t="shared" si="23"/>
        <v>292.2</v>
      </c>
      <c r="P33" s="154">
        <f t="shared" si="24"/>
        <v>914</v>
      </c>
      <c r="Q33" s="154">
        <f t="shared" si="25"/>
        <v>731.2</v>
      </c>
      <c r="R33" s="154">
        <f t="shared" si="26"/>
        <v>731.2</v>
      </c>
      <c r="S33" s="154">
        <f t="shared" si="27"/>
        <v>76</v>
      </c>
      <c r="T33" s="154">
        <f t="shared" si="28"/>
        <v>2452.4</v>
      </c>
      <c r="U33" s="1425"/>
      <c r="V33" s="154">
        <f t="shared" si="5"/>
        <v>2452.4</v>
      </c>
      <c r="W33" s="154">
        <f t="shared" si="20"/>
        <v>740.6</v>
      </c>
      <c r="X33" s="278">
        <v>1</v>
      </c>
      <c r="Y33" s="24">
        <v>30</v>
      </c>
      <c r="Z33" s="48">
        <f t="shared" si="30"/>
        <v>30</v>
      </c>
      <c r="AA33" s="54">
        <v>1</v>
      </c>
      <c r="AB33" s="24">
        <v>15</v>
      </c>
      <c r="AC33" s="48">
        <f t="shared" si="31"/>
        <v>15</v>
      </c>
      <c r="AD33" s="54"/>
      <c r="AE33" s="24">
        <v>30</v>
      </c>
      <c r="AF33" s="48">
        <f t="shared" si="32"/>
        <v>0</v>
      </c>
      <c r="AG33" s="278">
        <f t="shared" si="0"/>
        <v>13.5</v>
      </c>
      <c r="AH33" s="48">
        <f t="shared" si="33"/>
        <v>58.5</v>
      </c>
      <c r="AI33" s="34">
        <f t="shared" si="2"/>
        <v>51091.7</v>
      </c>
      <c r="AJ33" s="34"/>
      <c r="AK33" s="216">
        <f t="shared" si="3"/>
        <v>613.1</v>
      </c>
      <c r="AL33" s="216">
        <f t="shared" si="6"/>
        <v>229.1</v>
      </c>
      <c r="AM33" s="217">
        <v>0.30199999999999999</v>
      </c>
      <c r="AN33" s="223"/>
      <c r="AO33" s="62"/>
      <c r="AP33" s="62"/>
      <c r="AQ33" s="50">
        <f t="shared" si="7"/>
        <v>0</v>
      </c>
      <c r="AS33" s="66"/>
    </row>
    <row r="34" spans="1:45" ht="13.5" customHeight="1" x14ac:dyDescent="0.2">
      <c r="A34" s="278">
        <v>27</v>
      </c>
      <c r="B34" s="218" t="s">
        <v>56</v>
      </c>
      <c r="C34" s="57">
        <v>2</v>
      </c>
      <c r="D34" s="177">
        <v>11.061999999999999</v>
      </c>
      <c r="E34" s="171">
        <f t="shared" si="29"/>
        <v>22.12</v>
      </c>
      <c r="F34" s="154">
        <f t="shared" si="21"/>
        <v>265.39999999999998</v>
      </c>
      <c r="G34" s="154"/>
      <c r="H34" s="154">
        <v>1.1000000000000001</v>
      </c>
      <c r="I34" s="154"/>
      <c r="J34" s="154">
        <f>D34*0.1*2*12</f>
        <v>26.5</v>
      </c>
      <c r="K34" s="154">
        <f>D34*0.4*12+D34*0.25*12</f>
        <v>86.3</v>
      </c>
      <c r="L34" s="154">
        <f t="shared" si="4"/>
        <v>89.8</v>
      </c>
      <c r="M34" s="154">
        <f t="shared" si="22"/>
        <v>469.1</v>
      </c>
      <c r="N34" s="171">
        <v>0.43</v>
      </c>
      <c r="O34" s="154">
        <f t="shared" si="23"/>
        <v>201.7</v>
      </c>
      <c r="P34" s="154">
        <f t="shared" si="24"/>
        <v>670.8</v>
      </c>
      <c r="Q34" s="154">
        <f t="shared" si="25"/>
        <v>536.6</v>
      </c>
      <c r="R34" s="154">
        <f t="shared" si="26"/>
        <v>536.6</v>
      </c>
      <c r="S34" s="154">
        <f t="shared" si="27"/>
        <v>55.8</v>
      </c>
      <c r="T34" s="154">
        <f t="shared" si="28"/>
        <v>1799.8</v>
      </c>
      <c r="U34" s="1425"/>
      <c r="V34" s="154">
        <f t="shared" si="5"/>
        <v>1799.8</v>
      </c>
      <c r="W34" s="154">
        <f>AQ34*C34</f>
        <v>541.6</v>
      </c>
      <c r="X34" s="278">
        <v>2</v>
      </c>
      <c r="Y34" s="24">
        <v>30</v>
      </c>
      <c r="Z34" s="48">
        <f t="shared" si="30"/>
        <v>60</v>
      </c>
      <c r="AA34" s="54">
        <v>2</v>
      </c>
      <c r="AB34" s="24">
        <v>15</v>
      </c>
      <c r="AC34" s="48">
        <f t="shared" si="31"/>
        <v>30</v>
      </c>
      <c r="AD34" s="54"/>
      <c r="AE34" s="24">
        <v>30</v>
      </c>
      <c r="AF34" s="48">
        <f t="shared" si="32"/>
        <v>0</v>
      </c>
      <c r="AG34" s="278">
        <f t="shared" si="0"/>
        <v>27</v>
      </c>
      <c r="AH34" s="48">
        <f t="shared" si="33"/>
        <v>117</v>
      </c>
      <c r="AI34" s="34">
        <f t="shared" si="2"/>
        <v>74991.7</v>
      </c>
      <c r="AJ34" s="34"/>
      <c r="AK34" s="216">
        <f t="shared" si="3"/>
        <v>899.9</v>
      </c>
      <c r="AL34" s="216">
        <f t="shared" si="6"/>
        <v>281.3</v>
      </c>
      <c r="AM34" s="217">
        <v>0.30199999999999999</v>
      </c>
      <c r="AN34" s="221">
        <f>AK34*0.22</f>
        <v>198</v>
      </c>
      <c r="AO34" s="50">
        <f>865*0.029</f>
        <v>25.1</v>
      </c>
      <c r="AP34" s="50">
        <f>AK34*0.053</f>
        <v>47.7</v>
      </c>
      <c r="AQ34" s="50">
        <f>SUM(AN34:AP34)</f>
        <v>270.8</v>
      </c>
      <c r="AS34" s="66"/>
    </row>
    <row r="35" spans="1:45" ht="25.5" x14ac:dyDescent="0.2">
      <c r="A35" s="278">
        <v>28</v>
      </c>
      <c r="B35" s="218" t="s">
        <v>101</v>
      </c>
      <c r="C35" s="57">
        <v>1</v>
      </c>
      <c r="D35" s="177">
        <v>11.061999999999999</v>
      </c>
      <c r="E35" s="171">
        <f>C35*D35</f>
        <v>11.06</v>
      </c>
      <c r="F35" s="154">
        <f t="shared" si="21"/>
        <v>132.69999999999999</v>
      </c>
      <c r="G35" s="154"/>
      <c r="H35" s="154">
        <v>4.8</v>
      </c>
      <c r="I35" s="154"/>
      <c r="J35" s="154"/>
      <c r="K35" s="154">
        <f>D35*0.25*12</f>
        <v>33.200000000000003</v>
      </c>
      <c r="L35" s="154">
        <f t="shared" si="4"/>
        <v>44.9</v>
      </c>
      <c r="M35" s="154">
        <f t="shared" si="22"/>
        <v>215.6</v>
      </c>
      <c r="N35" s="171">
        <v>0.43</v>
      </c>
      <c r="O35" s="154">
        <f t="shared" si="23"/>
        <v>92.7</v>
      </c>
      <c r="P35" s="154">
        <f t="shared" si="24"/>
        <v>308.3</v>
      </c>
      <c r="Q35" s="154">
        <f t="shared" si="25"/>
        <v>246.6</v>
      </c>
      <c r="R35" s="154">
        <f t="shared" si="26"/>
        <v>246.6</v>
      </c>
      <c r="S35" s="154">
        <f t="shared" si="27"/>
        <v>25.6</v>
      </c>
      <c r="T35" s="154">
        <f t="shared" si="28"/>
        <v>827.1</v>
      </c>
      <c r="U35" s="1425"/>
      <c r="V35" s="154">
        <f t="shared" si="5"/>
        <v>827.1</v>
      </c>
      <c r="W35" s="154">
        <f t="shared" si="20"/>
        <v>249.8</v>
      </c>
      <c r="X35" s="278">
        <v>1</v>
      </c>
      <c r="Y35" s="24">
        <v>30</v>
      </c>
      <c r="Z35" s="48">
        <f t="shared" si="30"/>
        <v>30</v>
      </c>
      <c r="AA35" s="54"/>
      <c r="AB35" s="24">
        <v>15</v>
      </c>
      <c r="AC35" s="48">
        <f t="shared" si="31"/>
        <v>0</v>
      </c>
      <c r="AD35" s="54"/>
      <c r="AE35" s="24">
        <v>30</v>
      </c>
      <c r="AF35" s="48">
        <f t="shared" si="32"/>
        <v>0</v>
      </c>
      <c r="AG35" s="278">
        <f t="shared" si="0"/>
        <v>9</v>
      </c>
      <c r="AH35" s="48">
        <f t="shared" si="33"/>
        <v>39</v>
      </c>
      <c r="AI35" s="34">
        <f t="shared" si="2"/>
        <v>68925</v>
      </c>
      <c r="AJ35" s="34"/>
      <c r="AK35" s="216">
        <f t="shared" si="3"/>
        <v>827.1</v>
      </c>
      <c r="AL35" s="216">
        <f t="shared" si="6"/>
        <v>268</v>
      </c>
      <c r="AM35" s="217">
        <v>0.30199999999999999</v>
      </c>
      <c r="AN35" s="62"/>
      <c r="AO35" s="62"/>
      <c r="AP35" s="62"/>
      <c r="AQ35" s="50">
        <f t="shared" si="7"/>
        <v>0</v>
      </c>
      <c r="AS35" s="66"/>
    </row>
    <row r="36" spans="1:45" x14ac:dyDescent="0.2">
      <c r="A36" s="278">
        <v>29</v>
      </c>
      <c r="B36" s="218" t="s">
        <v>33</v>
      </c>
      <c r="C36" s="57">
        <v>1</v>
      </c>
      <c r="D36" s="177">
        <v>8.4730000000000008</v>
      </c>
      <c r="E36" s="171">
        <f>C36*D36</f>
        <v>8.4700000000000006</v>
      </c>
      <c r="F36" s="154">
        <f t="shared" si="21"/>
        <v>101.6</v>
      </c>
      <c r="G36" s="154"/>
      <c r="H36" s="154">
        <v>2.9</v>
      </c>
      <c r="I36" s="154"/>
      <c r="J36" s="154"/>
      <c r="K36" s="154"/>
      <c r="L36" s="154">
        <f t="shared" si="4"/>
        <v>34.4</v>
      </c>
      <c r="M36" s="154">
        <f t="shared" si="22"/>
        <v>138.9</v>
      </c>
      <c r="N36" s="171">
        <v>0.41</v>
      </c>
      <c r="O36" s="154">
        <f t="shared" si="23"/>
        <v>56.9</v>
      </c>
      <c r="P36" s="154">
        <f t="shared" si="24"/>
        <v>195.8</v>
      </c>
      <c r="Q36" s="154">
        <f t="shared" si="25"/>
        <v>156.6</v>
      </c>
      <c r="R36" s="154">
        <f t="shared" si="26"/>
        <v>156.6</v>
      </c>
      <c r="S36" s="154">
        <f t="shared" si="27"/>
        <v>16.3</v>
      </c>
      <c r="T36" s="154">
        <f t="shared" si="28"/>
        <v>525.29999999999995</v>
      </c>
      <c r="U36" s="1425"/>
      <c r="V36" s="154">
        <f t="shared" si="5"/>
        <v>525.29999999999995</v>
      </c>
      <c r="W36" s="154">
        <f t="shared" si="20"/>
        <v>158.6</v>
      </c>
      <c r="X36" s="278"/>
      <c r="Y36" s="24">
        <v>30</v>
      </c>
      <c r="Z36" s="48">
        <f t="shared" si="30"/>
        <v>0</v>
      </c>
      <c r="AA36" s="54"/>
      <c r="AB36" s="24">
        <v>15</v>
      </c>
      <c r="AC36" s="48">
        <f t="shared" si="31"/>
        <v>0</v>
      </c>
      <c r="AD36" s="54"/>
      <c r="AE36" s="24">
        <v>30</v>
      </c>
      <c r="AF36" s="48">
        <f t="shared" si="32"/>
        <v>0</v>
      </c>
      <c r="AG36" s="278">
        <f t="shared" si="0"/>
        <v>0</v>
      </c>
      <c r="AH36" s="48">
        <f t="shared" si="33"/>
        <v>0</v>
      </c>
      <c r="AI36" s="34">
        <f t="shared" si="2"/>
        <v>43775</v>
      </c>
      <c r="AJ36" s="34"/>
      <c r="AK36" s="216">
        <f t="shared" si="3"/>
        <v>525.29999999999995</v>
      </c>
      <c r="AL36" s="216">
        <f t="shared" si="6"/>
        <v>213.1</v>
      </c>
      <c r="AM36" s="217">
        <v>0.30199999999999999</v>
      </c>
      <c r="AN36" s="76"/>
      <c r="AO36" s="76"/>
      <c r="AP36" s="76"/>
      <c r="AQ36" s="50">
        <f t="shared" si="7"/>
        <v>0</v>
      </c>
      <c r="AS36" s="66"/>
    </row>
    <row r="37" spans="1:45" ht="25.5" x14ac:dyDescent="0.2">
      <c r="A37" s="278">
        <v>30</v>
      </c>
      <c r="B37" s="218" t="s">
        <v>130</v>
      </c>
      <c r="C37" s="57">
        <v>1</v>
      </c>
      <c r="D37" s="177">
        <v>8.4730000000000008</v>
      </c>
      <c r="E37" s="171">
        <f>C37*D37</f>
        <v>8.4700000000000006</v>
      </c>
      <c r="F37" s="154">
        <f>E37*12</f>
        <v>101.6</v>
      </c>
      <c r="G37" s="154"/>
      <c r="H37" s="154"/>
      <c r="I37" s="154"/>
      <c r="J37" s="154"/>
      <c r="K37" s="154"/>
      <c r="L37" s="154">
        <f t="shared" si="4"/>
        <v>34.4</v>
      </c>
      <c r="M37" s="154">
        <f t="shared" si="22"/>
        <v>136</v>
      </c>
      <c r="N37" s="171">
        <v>0.47</v>
      </c>
      <c r="O37" s="154">
        <f t="shared" si="23"/>
        <v>63.9</v>
      </c>
      <c r="P37" s="154">
        <f t="shared" si="24"/>
        <v>199.9</v>
      </c>
      <c r="Q37" s="154">
        <f t="shared" si="25"/>
        <v>159.9</v>
      </c>
      <c r="R37" s="154">
        <f t="shared" si="26"/>
        <v>159.9</v>
      </c>
      <c r="S37" s="154">
        <f t="shared" si="27"/>
        <v>16.600000000000001</v>
      </c>
      <c r="T37" s="154">
        <f t="shared" si="28"/>
        <v>536.29999999999995</v>
      </c>
      <c r="U37" s="1425"/>
      <c r="V37" s="154">
        <f t="shared" si="5"/>
        <v>536.29999999999995</v>
      </c>
      <c r="W37" s="154">
        <f t="shared" si="20"/>
        <v>162</v>
      </c>
      <c r="X37" s="278"/>
      <c r="Y37" s="24">
        <v>30</v>
      </c>
      <c r="Z37" s="48">
        <f t="shared" si="30"/>
        <v>0</v>
      </c>
      <c r="AA37" s="54"/>
      <c r="AB37" s="24">
        <v>15</v>
      </c>
      <c r="AC37" s="48">
        <f t="shared" si="31"/>
        <v>0</v>
      </c>
      <c r="AD37" s="54"/>
      <c r="AE37" s="24">
        <v>30</v>
      </c>
      <c r="AF37" s="48">
        <f t="shared" si="32"/>
        <v>0</v>
      </c>
      <c r="AG37" s="278">
        <f t="shared" si="0"/>
        <v>0</v>
      </c>
      <c r="AH37" s="48">
        <f t="shared" si="33"/>
        <v>0</v>
      </c>
      <c r="AI37" s="34">
        <f>V37/11/C37*1000</f>
        <v>48754.5</v>
      </c>
      <c r="AJ37" s="34"/>
      <c r="AK37" s="216">
        <f t="shared" si="3"/>
        <v>536.29999999999995</v>
      </c>
      <c r="AL37" s="216">
        <f t="shared" si="6"/>
        <v>215.1</v>
      </c>
      <c r="AM37" s="217">
        <v>0.30199999999999999</v>
      </c>
      <c r="AN37" s="62"/>
      <c r="AO37" s="62"/>
      <c r="AP37" s="62"/>
      <c r="AQ37" s="50">
        <f t="shared" si="7"/>
        <v>0</v>
      </c>
      <c r="AS37" s="66"/>
    </row>
    <row r="38" spans="1:45" ht="25.5" x14ac:dyDescent="0.2">
      <c r="A38" s="278">
        <v>31</v>
      </c>
      <c r="B38" s="218" t="s">
        <v>109</v>
      </c>
      <c r="C38" s="57">
        <v>1</v>
      </c>
      <c r="D38" s="177">
        <v>4.4569999999999999</v>
      </c>
      <c r="E38" s="171">
        <f t="shared" si="29"/>
        <v>4.46</v>
      </c>
      <c r="F38" s="154">
        <f t="shared" si="21"/>
        <v>53.5</v>
      </c>
      <c r="G38" s="154"/>
      <c r="H38" s="154">
        <v>1.7</v>
      </c>
      <c r="I38" s="154"/>
      <c r="J38" s="154"/>
      <c r="K38" s="154"/>
      <c r="L38" s="154">
        <v>26</v>
      </c>
      <c r="M38" s="154">
        <f t="shared" si="22"/>
        <v>81.2</v>
      </c>
      <c r="N38" s="171">
        <v>0.61</v>
      </c>
      <c r="O38" s="154">
        <f t="shared" si="23"/>
        <v>49.5</v>
      </c>
      <c r="P38" s="154">
        <f t="shared" si="24"/>
        <v>130.69999999999999</v>
      </c>
      <c r="Q38" s="154">
        <f t="shared" si="25"/>
        <v>104.6</v>
      </c>
      <c r="R38" s="154">
        <f t="shared" si="26"/>
        <v>104.6</v>
      </c>
      <c r="S38" s="154">
        <f t="shared" si="27"/>
        <v>10.9</v>
      </c>
      <c r="T38" s="154">
        <f t="shared" si="28"/>
        <v>350.8</v>
      </c>
      <c r="U38" s="1425"/>
      <c r="V38" s="154">
        <f t="shared" si="5"/>
        <v>350.8</v>
      </c>
      <c r="W38" s="154">
        <f t="shared" si="20"/>
        <v>105.9</v>
      </c>
      <c r="X38" s="278">
        <v>1</v>
      </c>
      <c r="Y38" s="24">
        <v>30</v>
      </c>
      <c r="Z38" s="48">
        <f t="shared" si="30"/>
        <v>30</v>
      </c>
      <c r="AA38" s="278">
        <v>1</v>
      </c>
      <c r="AB38" s="24">
        <v>15</v>
      </c>
      <c r="AC38" s="48">
        <f t="shared" si="31"/>
        <v>15</v>
      </c>
      <c r="AD38" s="278"/>
      <c r="AE38" s="24">
        <v>30</v>
      </c>
      <c r="AF38" s="48">
        <f t="shared" si="32"/>
        <v>0</v>
      </c>
      <c r="AG38" s="278">
        <f t="shared" si="0"/>
        <v>13.5</v>
      </c>
      <c r="AH38" s="48">
        <f t="shared" si="33"/>
        <v>58.5</v>
      </c>
      <c r="AI38" s="34">
        <f>V38/12/C38*1000</f>
        <v>29233.3</v>
      </c>
      <c r="AJ38" s="34"/>
      <c r="AK38" s="216">
        <f t="shared" si="3"/>
        <v>350.8</v>
      </c>
      <c r="AL38" s="216">
        <f t="shared" si="6"/>
        <v>181.3</v>
      </c>
      <c r="AM38" s="217">
        <v>0.30199999999999999</v>
      </c>
      <c r="AN38" s="76"/>
      <c r="AO38" s="76"/>
      <c r="AP38" s="76"/>
      <c r="AQ38" s="50">
        <f t="shared" si="7"/>
        <v>0</v>
      </c>
      <c r="AS38" s="66"/>
    </row>
    <row r="39" spans="1:45" ht="15.75" customHeight="1" x14ac:dyDescent="0.2">
      <c r="A39" s="278">
        <v>32</v>
      </c>
      <c r="B39" s="218" t="s">
        <v>57</v>
      </c>
      <c r="C39" s="49">
        <f>2-0.5</f>
        <v>1.5</v>
      </c>
      <c r="D39" s="177">
        <v>4.3769999999999998</v>
      </c>
      <c r="E39" s="171">
        <f t="shared" si="29"/>
        <v>6.57</v>
      </c>
      <c r="F39" s="215">
        <f t="shared" si="21"/>
        <v>78.8</v>
      </c>
      <c r="G39" s="154"/>
      <c r="H39" s="154">
        <v>1.4</v>
      </c>
      <c r="I39" s="154"/>
      <c r="J39" s="154"/>
      <c r="K39" s="154"/>
      <c r="L39" s="154">
        <v>70</v>
      </c>
      <c r="M39" s="154">
        <f t="shared" si="22"/>
        <v>150.19999999999999</v>
      </c>
      <c r="N39" s="171">
        <v>0.49</v>
      </c>
      <c r="O39" s="154">
        <f t="shared" si="23"/>
        <v>73.599999999999994</v>
      </c>
      <c r="P39" s="154">
        <f t="shared" si="24"/>
        <v>223.8</v>
      </c>
      <c r="Q39" s="154">
        <f t="shared" si="25"/>
        <v>179</v>
      </c>
      <c r="R39" s="154">
        <f t="shared" si="26"/>
        <v>179</v>
      </c>
      <c r="S39" s="154">
        <f t="shared" si="27"/>
        <v>18.600000000000001</v>
      </c>
      <c r="T39" s="154">
        <f t="shared" si="28"/>
        <v>600.4</v>
      </c>
      <c r="U39" s="1425"/>
      <c r="V39" s="154">
        <f t="shared" si="5"/>
        <v>600.4</v>
      </c>
      <c r="W39" s="154">
        <f t="shared" si="20"/>
        <v>181.3</v>
      </c>
      <c r="X39" s="278"/>
      <c r="Y39" s="24">
        <v>30</v>
      </c>
      <c r="Z39" s="48">
        <f>X39*Y39</f>
        <v>0</v>
      </c>
      <c r="AA39" s="278"/>
      <c r="AB39" s="24">
        <v>15</v>
      </c>
      <c r="AC39" s="48">
        <f>AA39*AB39</f>
        <v>0</v>
      </c>
      <c r="AD39" s="278"/>
      <c r="AE39" s="24">
        <v>30</v>
      </c>
      <c r="AF39" s="48">
        <f t="shared" si="32"/>
        <v>0</v>
      </c>
      <c r="AG39" s="278">
        <f t="shared" si="0"/>
        <v>0</v>
      </c>
      <c r="AH39" s="48">
        <f t="shared" si="33"/>
        <v>0</v>
      </c>
      <c r="AI39" s="34">
        <f>V39/12/C39*1000</f>
        <v>33355.599999999999</v>
      </c>
      <c r="AJ39" s="34"/>
      <c r="AK39" s="216">
        <f t="shared" si="3"/>
        <v>400.3</v>
      </c>
      <c r="AL39" s="216">
        <f t="shared" si="6"/>
        <v>190.3</v>
      </c>
      <c r="AM39" s="217">
        <v>0.30199999999999999</v>
      </c>
      <c r="AN39" s="76"/>
      <c r="AO39" s="76"/>
      <c r="AP39" s="76"/>
      <c r="AQ39" s="50">
        <f t="shared" si="7"/>
        <v>0</v>
      </c>
      <c r="AS39" s="66"/>
    </row>
    <row r="40" spans="1:45" x14ac:dyDescent="0.2">
      <c r="A40" s="278">
        <v>33</v>
      </c>
      <c r="B40" s="218" t="s">
        <v>92</v>
      </c>
      <c r="C40" s="224">
        <v>1</v>
      </c>
      <c r="D40" s="177">
        <v>4.3769999999999998</v>
      </c>
      <c r="E40" s="171">
        <f t="shared" si="29"/>
        <v>4.38</v>
      </c>
      <c r="F40" s="154">
        <f t="shared" si="21"/>
        <v>52.6</v>
      </c>
      <c r="G40" s="154"/>
      <c r="H40" s="154">
        <f>2773.8/1000</f>
        <v>2.8</v>
      </c>
      <c r="I40" s="154"/>
      <c r="J40" s="154"/>
      <c r="K40" s="154"/>
      <c r="L40" s="154">
        <v>38.1</v>
      </c>
      <c r="M40" s="154">
        <f t="shared" si="22"/>
        <v>93.5</v>
      </c>
      <c r="N40" s="171">
        <v>0.47</v>
      </c>
      <c r="O40" s="154">
        <f t="shared" si="23"/>
        <v>43.9</v>
      </c>
      <c r="P40" s="154">
        <f t="shared" si="24"/>
        <v>137.4</v>
      </c>
      <c r="Q40" s="154">
        <f t="shared" si="25"/>
        <v>109.9</v>
      </c>
      <c r="R40" s="154">
        <f t="shared" si="26"/>
        <v>109.9</v>
      </c>
      <c r="S40" s="154">
        <f t="shared" si="27"/>
        <v>11.4</v>
      </c>
      <c r="T40" s="154">
        <f t="shared" si="28"/>
        <v>368.6</v>
      </c>
      <c r="U40" s="1425"/>
      <c r="V40" s="154">
        <f t="shared" si="5"/>
        <v>368.6</v>
      </c>
      <c r="W40" s="154">
        <f t="shared" si="20"/>
        <v>111.3</v>
      </c>
      <c r="X40" s="278">
        <v>1</v>
      </c>
      <c r="Y40" s="24">
        <v>30</v>
      </c>
      <c r="Z40" s="48">
        <f>X40*Y40</f>
        <v>30</v>
      </c>
      <c r="AA40" s="278"/>
      <c r="AB40" s="24">
        <v>15</v>
      </c>
      <c r="AC40" s="48">
        <f>AA40*AB40</f>
        <v>0</v>
      </c>
      <c r="AD40" s="278"/>
      <c r="AE40" s="24">
        <v>30</v>
      </c>
      <c r="AF40" s="48">
        <f t="shared" si="32"/>
        <v>0</v>
      </c>
      <c r="AG40" s="278">
        <f t="shared" si="0"/>
        <v>9</v>
      </c>
      <c r="AH40" s="48">
        <f t="shared" si="33"/>
        <v>39</v>
      </c>
      <c r="AI40" s="34">
        <f>V40/12/C40*1000</f>
        <v>30716.7</v>
      </c>
      <c r="AJ40" s="34"/>
      <c r="AK40" s="216">
        <f t="shared" si="3"/>
        <v>368.6</v>
      </c>
      <c r="AL40" s="216">
        <f t="shared" si="6"/>
        <v>184.6</v>
      </c>
      <c r="AM40" s="217">
        <v>0.30199999999999999</v>
      </c>
      <c r="AN40" s="76"/>
      <c r="AO40" s="76"/>
      <c r="AP40" s="76"/>
      <c r="AQ40" s="50">
        <f t="shared" si="7"/>
        <v>0</v>
      </c>
      <c r="AS40" s="66"/>
    </row>
    <row r="41" spans="1:45" ht="25.5" x14ac:dyDescent="0.2">
      <c r="A41" s="278">
        <v>34</v>
      </c>
      <c r="B41" s="218" t="s">
        <v>102</v>
      </c>
      <c r="C41" s="58">
        <v>2</v>
      </c>
      <c r="D41" s="177">
        <v>4.3769999999999998</v>
      </c>
      <c r="E41" s="171">
        <f>C41*D41</f>
        <v>8.75</v>
      </c>
      <c r="F41" s="215">
        <f t="shared" si="21"/>
        <v>105</v>
      </c>
      <c r="G41" s="154"/>
      <c r="H41" s="154">
        <v>3.3</v>
      </c>
      <c r="I41" s="154"/>
      <c r="J41" s="154"/>
      <c r="K41" s="154"/>
      <c r="L41" s="154">
        <v>70</v>
      </c>
      <c r="M41" s="154">
        <f t="shared" si="22"/>
        <v>178.3</v>
      </c>
      <c r="N41" s="171">
        <v>0.49</v>
      </c>
      <c r="O41" s="154">
        <f t="shared" si="23"/>
        <v>87.4</v>
      </c>
      <c r="P41" s="154">
        <f t="shared" si="24"/>
        <v>265.7</v>
      </c>
      <c r="Q41" s="154">
        <f t="shared" si="25"/>
        <v>212.6</v>
      </c>
      <c r="R41" s="154">
        <f t="shared" si="26"/>
        <v>212.6</v>
      </c>
      <c r="S41" s="154">
        <f t="shared" si="27"/>
        <v>22.1</v>
      </c>
      <c r="T41" s="154">
        <f t="shared" si="28"/>
        <v>713</v>
      </c>
      <c r="U41" s="1425"/>
      <c r="V41" s="154">
        <f t="shared" si="5"/>
        <v>713</v>
      </c>
      <c r="W41" s="154">
        <f t="shared" si="20"/>
        <v>215.3</v>
      </c>
      <c r="X41" s="278">
        <v>1</v>
      </c>
      <c r="Y41" s="24">
        <v>30</v>
      </c>
      <c r="Z41" s="48">
        <f>X41*Y41</f>
        <v>30</v>
      </c>
      <c r="AA41" s="278"/>
      <c r="AB41" s="24">
        <v>15</v>
      </c>
      <c r="AC41" s="48">
        <f>AA41*AB41</f>
        <v>0</v>
      </c>
      <c r="AD41" s="278"/>
      <c r="AE41" s="24">
        <v>30</v>
      </c>
      <c r="AF41" s="48">
        <f t="shared" si="32"/>
        <v>0</v>
      </c>
      <c r="AG41" s="278">
        <f t="shared" si="0"/>
        <v>9</v>
      </c>
      <c r="AH41" s="48">
        <f t="shared" si="33"/>
        <v>39</v>
      </c>
      <c r="AI41" s="34">
        <f>V41/12/C41*1000</f>
        <v>29708.3</v>
      </c>
      <c r="AJ41" s="34"/>
      <c r="AK41" s="216">
        <f t="shared" si="3"/>
        <v>356.5</v>
      </c>
      <c r="AL41" s="216">
        <f t="shared" si="6"/>
        <v>182.4</v>
      </c>
      <c r="AM41" s="217">
        <v>0.30199999999999999</v>
      </c>
      <c r="AN41" s="76"/>
      <c r="AO41" s="76"/>
      <c r="AP41" s="76"/>
      <c r="AQ41" s="50">
        <f t="shared" si="7"/>
        <v>0</v>
      </c>
      <c r="AS41" s="66"/>
    </row>
    <row r="42" spans="1:45" x14ac:dyDescent="0.2">
      <c r="A42" s="225" t="s">
        <v>126</v>
      </c>
      <c r="B42" s="218"/>
      <c r="C42" s="58"/>
      <c r="D42" s="177"/>
      <c r="E42" s="171"/>
      <c r="F42" s="215"/>
      <c r="G42" s="154"/>
      <c r="H42" s="154"/>
      <c r="I42" s="154"/>
      <c r="J42" s="154"/>
      <c r="K42" s="154"/>
      <c r="L42" s="154"/>
      <c r="M42" s="154"/>
      <c r="N42" s="171"/>
      <c r="O42" s="154"/>
      <c r="P42" s="154"/>
      <c r="Q42" s="154"/>
      <c r="R42" s="154"/>
      <c r="S42" s="154"/>
      <c r="T42" s="154"/>
      <c r="U42" s="1425"/>
      <c r="V42" s="154"/>
      <c r="W42" s="154">
        <f t="shared" si="20"/>
        <v>0</v>
      </c>
      <c r="X42" s="278"/>
      <c r="Y42" s="24"/>
      <c r="Z42" s="48"/>
      <c r="AA42" s="278"/>
      <c r="AB42" s="24"/>
      <c r="AC42" s="48"/>
      <c r="AD42" s="278"/>
      <c r="AE42" s="24"/>
      <c r="AF42" s="48"/>
      <c r="AG42" s="278">
        <f t="shared" si="0"/>
        <v>0</v>
      </c>
      <c r="AH42" s="48"/>
      <c r="AJ42" s="34"/>
      <c r="AK42" s="216"/>
      <c r="AL42" s="216"/>
      <c r="AM42" s="217"/>
      <c r="AN42" s="76"/>
      <c r="AO42" s="76"/>
      <c r="AP42" s="76"/>
      <c r="AQ42" s="50">
        <f t="shared" si="7"/>
        <v>0</v>
      </c>
      <c r="AS42" s="66"/>
    </row>
    <row r="43" spans="1:45" x14ac:dyDescent="0.2">
      <c r="A43" s="278">
        <v>35</v>
      </c>
      <c r="B43" s="52" t="s">
        <v>17</v>
      </c>
      <c r="C43" s="278">
        <v>1</v>
      </c>
      <c r="D43" s="177">
        <v>12.335000000000001</v>
      </c>
      <c r="E43" s="226">
        <f>C43*D43</f>
        <v>12.34</v>
      </c>
      <c r="F43" s="227">
        <f>E43*12</f>
        <v>148.1</v>
      </c>
      <c r="G43" s="154"/>
      <c r="H43" s="154">
        <v>1.3</v>
      </c>
      <c r="I43" s="154"/>
      <c r="J43" s="154"/>
      <c r="K43" s="154">
        <f>F43*0.4</f>
        <v>59.2</v>
      </c>
      <c r="L43" s="154">
        <f t="shared" si="4"/>
        <v>50.1</v>
      </c>
      <c r="M43" s="154">
        <f>F43+G43+H43+I43+J43+K43+L43</f>
        <v>258.7</v>
      </c>
      <c r="N43" s="171">
        <v>0.47</v>
      </c>
      <c r="O43" s="154">
        <f>M43*N43</f>
        <v>121.6</v>
      </c>
      <c r="P43" s="154">
        <f>M43+O43</f>
        <v>380.3</v>
      </c>
      <c r="Q43" s="154">
        <f>P43*0.8</f>
        <v>304.2</v>
      </c>
      <c r="R43" s="154">
        <f>P43*0.8</f>
        <v>304.2</v>
      </c>
      <c r="S43" s="154">
        <f>(P43+Q43+R43)*0.032</f>
        <v>31.6</v>
      </c>
      <c r="T43" s="154">
        <f>P43+Q43+R43+S43</f>
        <v>1020.3</v>
      </c>
      <c r="U43" s="1425"/>
      <c r="V43" s="154">
        <f t="shared" si="5"/>
        <v>1020.3</v>
      </c>
      <c r="W43" s="154">
        <f>AQ43</f>
        <v>303.7</v>
      </c>
      <c r="X43" s="278">
        <v>1</v>
      </c>
      <c r="Y43" s="24">
        <v>35</v>
      </c>
      <c r="Z43" s="48">
        <f>X43*Y43</f>
        <v>35</v>
      </c>
      <c r="AA43" s="278"/>
      <c r="AB43" s="24">
        <v>17.5</v>
      </c>
      <c r="AC43" s="48">
        <f>AA43*AB43</f>
        <v>0</v>
      </c>
      <c r="AD43" s="278"/>
      <c r="AE43" s="24">
        <v>35</v>
      </c>
      <c r="AF43" s="48">
        <f>AD43*AE43</f>
        <v>0</v>
      </c>
      <c r="AG43" s="278">
        <f t="shared" si="0"/>
        <v>10.5</v>
      </c>
      <c r="AH43" s="48">
        <f>Z43+AC43+AF43+AG43</f>
        <v>45.5</v>
      </c>
      <c r="AI43" s="39">
        <f t="shared" ref="AI43:AI51" si="34">V43/12/C43*1000</f>
        <v>85025</v>
      </c>
      <c r="AJ43" s="34"/>
      <c r="AK43" s="34">
        <f t="shared" ref="AK43:AK51" si="35">V43/C43</f>
        <v>1020.3</v>
      </c>
      <c r="AL43" s="34">
        <f>((979*0.302)+((AK43-979)*0.182))</f>
        <v>303.2</v>
      </c>
      <c r="AM43" s="51">
        <f>AL43/AK43</f>
        <v>0.29699999999999999</v>
      </c>
      <c r="AN43" s="50">
        <f>AK43*0.22</f>
        <v>224.5</v>
      </c>
      <c r="AO43" s="50">
        <f>865*0.029</f>
        <v>25.1</v>
      </c>
      <c r="AP43" s="50">
        <f>AK43*0.053</f>
        <v>54.1</v>
      </c>
      <c r="AQ43" s="50">
        <f t="shared" si="7"/>
        <v>303.7</v>
      </c>
      <c r="AR43" s="51"/>
    </row>
    <row r="44" spans="1:45" x14ac:dyDescent="0.2">
      <c r="A44" s="278">
        <v>36</v>
      </c>
      <c r="B44" s="52" t="s">
        <v>38</v>
      </c>
      <c r="C44" s="167">
        <f>2-0.25</f>
        <v>1.75</v>
      </c>
      <c r="D44" s="177">
        <v>6.2859999999999996</v>
      </c>
      <c r="E44" s="171">
        <f t="shared" ref="E44:E51" si="36">C44*D44</f>
        <v>11</v>
      </c>
      <c r="F44" s="154">
        <f t="shared" ref="F44:F51" si="37">E44*12</f>
        <v>132</v>
      </c>
      <c r="G44" s="154">
        <f>74.5/1000</f>
        <v>0.1</v>
      </c>
      <c r="H44" s="154">
        <v>2</v>
      </c>
      <c r="I44" s="154"/>
      <c r="J44" s="154"/>
      <c r="K44" s="154"/>
      <c r="L44" s="154">
        <f t="shared" si="4"/>
        <v>44.7</v>
      </c>
      <c r="M44" s="154">
        <f t="shared" ref="M44:M51" si="38">F44+G44+H44+I44+J44+K44+L44</f>
        <v>178.8</v>
      </c>
      <c r="N44" s="171">
        <v>0.45</v>
      </c>
      <c r="O44" s="154">
        <f t="shared" ref="O44:O51" si="39">M44*N44</f>
        <v>80.5</v>
      </c>
      <c r="P44" s="154">
        <f t="shared" ref="P44:P51" si="40">M44+O44</f>
        <v>259.3</v>
      </c>
      <c r="Q44" s="154">
        <f t="shared" ref="Q44:Q51" si="41">P44*0.8</f>
        <v>207.4</v>
      </c>
      <c r="R44" s="154">
        <f t="shared" ref="R44:R51" si="42">P44*0.8</f>
        <v>207.4</v>
      </c>
      <c r="S44" s="154">
        <f t="shared" ref="S44:S51" si="43">(P44+Q44+R44)*0.032</f>
        <v>21.6</v>
      </c>
      <c r="T44" s="154">
        <f t="shared" ref="T44:T51" si="44">P44+Q44+R44+S44</f>
        <v>695.7</v>
      </c>
      <c r="U44" s="1425"/>
      <c r="V44" s="154">
        <f t="shared" si="5"/>
        <v>695.7</v>
      </c>
      <c r="W44" s="154">
        <f t="shared" si="20"/>
        <v>210.1</v>
      </c>
      <c r="X44" s="278">
        <v>1</v>
      </c>
      <c r="Y44" s="24">
        <v>35</v>
      </c>
      <c r="Z44" s="48">
        <f t="shared" ref="Z44:Z51" si="45">X44*Y44</f>
        <v>35</v>
      </c>
      <c r="AA44" s="54"/>
      <c r="AB44" s="24">
        <v>17.5</v>
      </c>
      <c r="AC44" s="48">
        <f t="shared" ref="AC44:AC51" si="46">AA44*AB44</f>
        <v>0</v>
      </c>
      <c r="AD44" s="54"/>
      <c r="AE44" s="24">
        <v>35</v>
      </c>
      <c r="AF44" s="48">
        <f t="shared" ref="AF44:AF51" si="47">AD44*AE44</f>
        <v>0</v>
      </c>
      <c r="AG44" s="278">
        <f t="shared" si="0"/>
        <v>10.5</v>
      </c>
      <c r="AH44" s="48">
        <f t="shared" ref="AH44:AH51" si="48">Z44+AC44+AF44+AG44</f>
        <v>45.5</v>
      </c>
      <c r="AI44" s="39">
        <f t="shared" si="34"/>
        <v>33128.57</v>
      </c>
      <c r="AJ44" s="34"/>
      <c r="AK44" s="34">
        <f t="shared" si="35"/>
        <v>397.5</v>
      </c>
      <c r="AL44" s="34">
        <f t="shared" ref="AL44:AL51" si="49">((979*0.302)+((AK44-979)*0.182))</f>
        <v>189.8</v>
      </c>
      <c r="AM44" s="51">
        <v>0.30199999999999999</v>
      </c>
      <c r="AN44" s="50"/>
      <c r="AO44" s="50"/>
      <c r="AP44" s="50"/>
      <c r="AQ44" s="50">
        <f t="shared" si="7"/>
        <v>0</v>
      </c>
      <c r="AR44" s="51"/>
    </row>
    <row r="45" spans="1:45" ht="12" customHeight="1" x14ac:dyDescent="0.2">
      <c r="A45" s="278">
        <v>37</v>
      </c>
      <c r="B45" s="44" t="s">
        <v>104</v>
      </c>
      <c r="C45" s="54">
        <v>1</v>
      </c>
      <c r="D45" s="177">
        <v>8.4730000000000008</v>
      </c>
      <c r="E45" s="171">
        <f t="shared" si="36"/>
        <v>8.4700000000000006</v>
      </c>
      <c r="F45" s="154">
        <f t="shared" si="37"/>
        <v>101.6</v>
      </c>
      <c r="G45" s="154"/>
      <c r="H45" s="154"/>
      <c r="I45" s="154"/>
      <c r="J45" s="154"/>
      <c r="K45" s="154"/>
      <c r="L45" s="154">
        <f t="shared" si="4"/>
        <v>34.4</v>
      </c>
      <c r="M45" s="154">
        <f t="shared" si="38"/>
        <v>136</v>
      </c>
      <c r="N45" s="171">
        <v>0.41</v>
      </c>
      <c r="O45" s="154">
        <f t="shared" si="39"/>
        <v>55.8</v>
      </c>
      <c r="P45" s="154">
        <f t="shared" si="40"/>
        <v>191.8</v>
      </c>
      <c r="Q45" s="154">
        <f t="shared" si="41"/>
        <v>153.4</v>
      </c>
      <c r="R45" s="154">
        <f t="shared" si="42"/>
        <v>153.4</v>
      </c>
      <c r="S45" s="154">
        <f t="shared" si="43"/>
        <v>16</v>
      </c>
      <c r="T45" s="154">
        <f t="shared" si="44"/>
        <v>514.6</v>
      </c>
      <c r="U45" s="1425"/>
      <c r="V45" s="154">
        <f t="shared" si="5"/>
        <v>514.6</v>
      </c>
      <c r="W45" s="154">
        <f t="shared" si="20"/>
        <v>155.4</v>
      </c>
      <c r="X45" s="278">
        <v>1</v>
      </c>
      <c r="Y45" s="24">
        <v>35</v>
      </c>
      <c r="Z45" s="48">
        <f t="shared" si="45"/>
        <v>35</v>
      </c>
      <c r="AA45" s="54"/>
      <c r="AB45" s="24">
        <v>17.5</v>
      </c>
      <c r="AC45" s="48">
        <f t="shared" si="46"/>
        <v>0</v>
      </c>
      <c r="AD45" s="54">
        <v>1</v>
      </c>
      <c r="AE45" s="24">
        <v>35</v>
      </c>
      <c r="AF45" s="48">
        <f t="shared" si="47"/>
        <v>35</v>
      </c>
      <c r="AG45" s="278">
        <f t="shared" si="0"/>
        <v>21</v>
      </c>
      <c r="AH45" s="48">
        <f t="shared" si="48"/>
        <v>91</v>
      </c>
      <c r="AI45" s="39">
        <f t="shared" si="34"/>
        <v>42883.33</v>
      </c>
      <c r="AJ45" s="34"/>
      <c r="AK45" s="34">
        <f t="shared" si="35"/>
        <v>514.6</v>
      </c>
      <c r="AL45" s="34">
        <f t="shared" si="49"/>
        <v>211.1</v>
      </c>
      <c r="AM45" s="51">
        <v>0.30199999999999999</v>
      </c>
      <c r="AN45" s="50"/>
      <c r="AO45" s="50"/>
      <c r="AP45" s="50"/>
      <c r="AQ45" s="50">
        <f t="shared" si="7"/>
        <v>0</v>
      </c>
      <c r="AR45" s="51"/>
    </row>
    <row r="46" spans="1:45" x14ac:dyDescent="0.2">
      <c r="A46" s="278">
        <v>38</v>
      </c>
      <c r="B46" s="52" t="s">
        <v>39</v>
      </c>
      <c r="C46" s="24">
        <v>0.5</v>
      </c>
      <c r="D46" s="177">
        <v>6.2859999999999996</v>
      </c>
      <c r="E46" s="171">
        <f t="shared" si="36"/>
        <v>3.14</v>
      </c>
      <c r="F46" s="154">
        <f t="shared" si="37"/>
        <v>37.700000000000003</v>
      </c>
      <c r="G46" s="154"/>
      <c r="H46" s="154">
        <f>1106.5/1000</f>
        <v>1.1000000000000001</v>
      </c>
      <c r="I46" s="154"/>
      <c r="J46" s="154"/>
      <c r="K46" s="154"/>
      <c r="L46" s="154">
        <f>F46*$L$4</f>
        <v>12.8</v>
      </c>
      <c r="M46" s="154">
        <f t="shared" si="38"/>
        <v>51.6</v>
      </c>
      <c r="N46" s="171">
        <v>0.45</v>
      </c>
      <c r="O46" s="154">
        <f t="shared" si="39"/>
        <v>23.2</v>
      </c>
      <c r="P46" s="154">
        <f t="shared" si="40"/>
        <v>74.8</v>
      </c>
      <c r="Q46" s="154">
        <f t="shared" si="41"/>
        <v>59.8</v>
      </c>
      <c r="R46" s="154">
        <f t="shared" si="42"/>
        <v>59.8</v>
      </c>
      <c r="S46" s="154">
        <f t="shared" si="43"/>
        <v>6.2</v>
      </c>
      <c r="T46" s="154">
        <f t="shared" si="44"/>
        <v>200.6</v>
      </c>
      <c r="U46" s="1425"/>
      <c r="V46" s="154">
        <f t="shared" si="5"/>
        <v>200.6</v>
      </c>
      <c r="W46" s="154">
        <f t="shared" si="20"/>
        <v>60.6</v>
      </c>
      <c r="X46" s="278"/>
      <c r="Y46" s="24">
        <v>35</v>
      </c>
      <c r="Z46" s="48">
        <f t="shared" si="45"/>
        <v>0</v>
      </c>
      <c r="AA46" s="54"/>
      <c r="AB46" s="24">
        <v>17.5</v>
      </c>
      <c r="AC46" s="48">
        <f t="shared" si="46"/>
        <v>0</v>
      </c>
      <c r="AD46" s="54"/>
      <c r="AE46" s="24">
        <v>35</v>
      </c>
      <c r="AF46" s="48">
        <f t="shared" si="47"/>
        <v>0</v>
      </c>
      <c r="AG46" s="278">
        <f t="shared" si="0"/>
        <v>0</v>
      </c>
      <c r="AH46" s="48">
        <f t="shared" si="48"/>
        <v>0</v>
      </c>
      <c r="AI46" s="39">
        <f t="shared" si="34"/>
        <v>33433.33</v>
      </c>
      <c r="AJ46" s="34"/>
      <c r="AK46" s="34">
        <f t="shared" si="35"/>
        <v>401.2</v>
      </c>
      <c r="AL46" s="34">
        <f t="shared" si="49"/>
        <v>190.5</v>
      </c>
      <c r="AM46" s="51">
        <v>0.30199999999999999</v>
      </c>
      <c r="AQ46" s="50">
        <f t="shared" si="7"/>
        <v>0</v>
      </c>
      <c r="AR46" s="51"/>
    </row>
    <row r="47" spans="1:45" x14ac:dyDescent="0.2">
      <c r="A47" s="278">
        <v>39</v>
      </c>
      <c r="B47" s="218" t="s">
        <v>40</v>
      </c>
      <c r="C47" s="54">
        <v>1</v>
      </c>
      <c r="D47" s="177">
        <v>11.061999999999999</v>
      </c>
      <c r="E47" s="171">
        <f t="shared" si="36"/>
        <v>11.06</v>
      </c>
      <c r="F47" s="154">
        <f t="shared" si="37"/>
        <v>132.69999999999999</v>
      </c>
      <c r="G47" s="228">
        <f>131.07/1000</f>
        <v>0.13</v>
      </c>
      <c r="H47" s="154">
        <v>2.1</v>
      </c>
      <c r="I47" s="154"/>
      <c r="J47" s="154"/>
      <c r="K47" s="154">
        <f>D47*2*0.2</f>
        <v>4.4000000000000004</v>
      </c>
      <c r="L47" s="154">
        <f t="shared" si="4"/>
        <v>44.9</v>
      </c>
      <c r="M47" s="154">
        <f t="shared" si="38"/>
        <v>184.2</v>
      </c>
      <c r="N47" s="171">
        <v>0.43</v>
      </c>
      <c r="O47" s="154">
        <f t="shared" si="39"/>
        <v>79.2</v>
      </c>
      <c r="P47" s="154">
        <f t="shared" si="40"/>
        <v>263.39999999999998</v>
      </c>
      <c r="Q47" s="154">
        <f t="shared" si="41"/>
        <v>210.7</v>
      </c>
      <c r="R47" s="154">
        <f t="shared" si="42"/>
        <v>210.7</v>
      </c>
      <c r="S47" s="154">
        <f t="shared" si="43"/>
        <v>21.9</v>
      </c>
      <c r="T47" s="154">
        <f t="shared" si="44"/>
        <v>706.7</v>
      </c>
      <c r="U47" s="1425"/>
      <c r="V47" s="154">
        <f t="shared" si="5"/>
        <v>706.7</v>
      </c>
      <c r="W47" s="154">
        <f t="shared" si="20"/>
        <v>213.4</v>
      </c>
      <c r="X47" s="278"/>
      <c r="Y47" s="24">
        <v>35</v>
      </c>
      <c r="Z47" s="48">
        <f t="shared" si="45"/>
        <v>0</v>
      </c>
      <c r="AA47" s="54"/>
      <c r="AB47" s="24">
        <v>17.5</v>
      </c>
      <c r="AC47" s="48">
        <f t="shared" si="46"/>
        <v>0</v>
      </c>
      <c r="AD47" s="54"/>
      <c r="AE47" s="24">
        <v>35</v>
      </c>
      <c r="AF47" s="48">
        <f t="shared" si="47"/>
        <v>0</v>
      </c>
      <c r="AG47" s="278">
        <f t="shared" si="0"/>
        <v>0</v>
      </c>
      <c r="AH47" s="48">
        <f t="shared" si="48"/>
        <v>0</v>
      </c>
      <c r="AI47" s="39">
        <f t="shared" si="34"/>
        <v>58891.67</v>
      </c>
      <c r="AJ47" s="34"/>
      <c r="AK47" s="34">
        <f t="shared" si="35"/>
        <v>706.7</v>
      </c>
      <c r="AL47" s="34">
        <f t="shared" si="49"/>
        <v>246.1</v>
      </c>
      <c r="AM47" s="51">
        <v>0.30199999999999999</v>
      </c>
      <c r="AN47" s="50"/>
      <c r="AO47" s="50"/>
      <c r="AP47" s="50"/>
      <c r="AQ47" s="50">
        <f t="shared" si="7"/>
        <v>0</v>
      </c>
      <c r="AR47" s="51"/>
    </row>
    <row r="48" spans="1:45" x14ac:dyDescent="0.2">
      <c r="A48" s="278">
        <v>40</v>
      </c>
      <c r="B48" s="218" t="s">
        <v>41</v>
      </c>
      <c r="C48" s="54">
        <v>1</v>
      </c>
      <c r="D48" s="177">
        <v>8.4730000000000008</v>
      </c>
      <c r="E48" s="171">
        <f t="shared" si="36"/>
        <v>8.4700000000000006</v>
      </c>
      <c r="F48" s="154">
        <f t="shared" si="37"/>
        <v>101.6</v>
      </c>
      <c r="G48" s="154">
        <f>100.4/1000</f>
        <v>0.1</v>
      </c>
      <c r="H48" s="154">
        <v>0.5</v>
      </c>
      <c r="I48" s="154"/>
      <c r="J48" s="154"/>
      <c r="K48" s="154">
        <f>D48*8.5*0.2</f>
        <v>14.4</v>
      </c>
      <c r="L48" s="154">
        <f t="shared" si="4"/>
        <v>34.4</v>
      </c>
      <c r="M48" s="154">
        <f t="shared" si="38"/>
        <v>151</v>
      </c>
      <c r="N48" s="171">
        <v>0.41</v>
      </c>
      <c r="O48" s="154">
        <f t="shared" si="39"/>
        <v>61.9</v>
      </c>
      <c r="P48" s="154">
        <f t="shared" si="40"/>
        <v>212.9</v>
      </c>
      <c r="Q48" s="154">
        <f t="shared" si="41"/>
        <v>170.3</v>
      </c>
      <c r="R48" s="154">
        <f t="shared" si="42"/>
        <v>170.3</v>
      </c>
      <c r="S48" s="154">
        <f t="shared" si="43"/>
        <v>17.7</v>
      </c>
      <c r="T48" s="154">
        <f t="shared" si="44"/>
        <v>571.20000000000005</v>
      </c>
      <c r="U48" s="1425"/>
      <c r="V48" s="154">
        <f t="shared" si="5"/>
        <v>571.20000000000005</v>
      </c>
      <c r="W48" s="154">
        <f t="shared" si="20"/>
        <v>172.5</v>
      </c>
      <c r="X48" s="278">
        <v>1</v>
      </c>
      <c r="Y48" s="24">
        <v>35</v>
      </c>
      <c r="Z48" s="48">
        <f t="shared" si="45"/>
        <v>35</v>
      </c>
      <c r="AA48" s="54"/>
      <c r="AB48" s="24">
        <v>17.5</v>
      </c>
      <c r="AC48" s="48">
        <f>AA48*AB48</f>
        <v>0</v>
      </c>
      <c r="AD48" s="54"/>
      <c r="AE48" s="24">
        <v>35</v>
      </c>
      <c r="AF48" s="48">
        <f t="shared" si="47"/>
        <v>0</v>
      </c>
      <c r="AG48" s="278">
        <f t="shared" si="0"/>
        <v>10.5</v>
      </c>
      <c r="AH48" s="48">
        <f t="shared" si="48"/>
        <v>45.5</v>
      </c>
      <c r="AI48" s="39">
        <f t="shared" si="34"/>
        <v>47600</v>
      </c>
      <c r="AJ48" s="34"/>
      <c r="AK48" s="34">
        <f t="shared" si="35"/>
        <v>571.20000000000005</v>
      </c>
      <c r="AL48" s="34">
        <f t="shared" si="49"/>
        <v>221.4</v>
      </c>
      <c r="AM48" s="51">
        <v>0.30199999999999999</v>
      </c>
      <c r="AN48" s="50"/>
      <c r="AO48" s="50"/>
      <c r="AP48" s="50"/>
      <c r="AQ48" s="50">
        <f t="shared" si="7"/>
        <v>0</v>
      </c>
      <c r="AR48" s="51"/>
    </row>
    <row r="49" spans="1:44" x14ac:dyDescent="0.2">
      <c r="A49" s="278">
        <v>41</v>
      </c>
      <c r="B49" s="218" t="s">
        <v>42</v>
      </c>
      <c r="C49" s="24">
        <v>0.5</v>
      </c>
      <c r="D49" s="213">
        <v>11.061999999999999</v>
      </c>
      <c r="E49" s="171">
        <f t="shared" si="36"/>
        <v>5.53</v>
      </c>
      <c r="F49" s="154">
        <f t="shared" si="37"/>
        <v>66.400000000000006</v>
      </c>
      <c r="G49" s="154">
        <f>65.5/1000</f>
        <v>0.1</v>
      </c>
      <c r="H49" s="154">
        <v>3</v>
      </c>
      <c r="I49" s="154"/>
      <c r="J49" s="154"/>
      <c r="K49" s="154"/>
      <c r="L49" s="154">
        <f t="shared" si="4"/>
        <v>22.5</v>
      </c>
      <c r="M49" s="154">
        <f t="shared" si="38"/>
        <v>92</v>
      </c>
      <c r="N49" s="171">
        <v>0.43</v>
      </c>
      <c r="O49" s="154">
        <f t="shared" si="39"/>
        <v>39.6</v>
      </c>
      <c r="P49" s="154">
        <f t="shared" si="40"/>
        <v>131.6</v>
      </c>
      <c r="Q49" s="154">
        <f t="shared" si="41"/>
        <v>105.3</v>
      </c>
      <c r="R49" s="154">
        <f t="shared" si="42"/>
        <v>105.3</v>
      </c>
      <c r="S49" s="154">
        <f t="shared" si="43"/>
        <v>11</v>
      </c>
      <c r="T49" s="154">
        <f t="shared" si="44"/>
        <v>353.2</v>
      </c>
      <c r="U49" s="1425"/>
      <c r="V49" s="154">
        <f t="shared" si="5"/>
        <v>353.2</v>
      </c>
      <c r="W49" s="154">
        <f t="shared" si="20"/>
        <v>106.7</v>
      </c>
      <c r="X49" s="278"/>
      <c r="Y49" s="24">
        <v>35</v>
      </c>
      <c r="Z49" s="48">
        <f t="shared" si="45"/>
        <v>0</v>
      </c>
      <c r="AA49" s="54"/>
      <c r="AB49" s="24">
        <v>17.5</v>
      </c>
      <c r="AC49" s="48">
        <f t="shared" si="46"/>
        <v>0</v>
      </c>
      <c r="AD49" s="54"/>
      <c r="AE49" s="24">
        <v>35</v>
      </c>
      <c r="AF49" s="48">
        <f t="shared" si="47"/>
        <v>0</v>
      </c>
      <c r="AG49" s="278">
        <f t="shared" si="0"/>
        <v>0</v>
      </c>
      <c r="AH49" s="48">
        <f t="shared" si="48"/>
        <v>0</v>
      </c>
      <c r="AI49" s="39">
        <f t="shared" si="34"/>
        <v>58866.67</v>
      </c>
      <c r="AJ49" s="34"/>
      <c r="AK49" s="34">
        <f t="shared" si="35"/>
        <v>706.4</v>
      </c>
      <c r="AL49" s="34">
        <f t="shared" si="49"/>
        <v>246</v>
      </c>
      <c r="AM49" s="51">
        <v>0.30199999999999999</v>
      </c>
      <c r="AO49" s="50"/>
      <c r="AP49" s="50"/>
      <c r="AQ49" s="50">
        <f t="shared" si="7"/>
        <v>0</v>
      </c>
      <c r="AR49" s="51"/>
    </row>
    <row r="50" spans="1:44" x14ac:dyDescent="0.2">
      <c r="A50" s="278">
        <v>42</v>
      </c>
      <c r="B50" s="52" t="s">
        <v>43</v>
      </c>
      <c r="C50" s="167">
        <v>0.25</v>
      </c>
      <c r="D50" s="177">
        <v>8.4730000000000008</v>
      </c>
      <c r="E50" s="171">
        <f t="shared" si="36"/>
        <v>2.12</v>
      </c>
      <c r="F50" s="154">
        <f t="shared" si="37"/>
        <v>25.4</v>
      </c>
      <c r="G50" s="154"/>
      <c r="H50" s="154"/>
      <c r="I50" s="154"/>
      <c r="J50" s="154"/>
      <c r="K50" s="154"/>
      <c r="L50" s="154">
        <f t="shared" si="4"/>
        <v>8.6</v>
      </c>
      <c r="M50" s="154">
        <f t="shared" si="38"/>
        <v>34</v>
      </c>
      <c r="N50" s="171">
        <v>0.41</v>
      </c>
      <c r="O50" s="154">
        <f t="shared" si="39"/>
        <v>13.9</v>
      </c>
      <c r="P50" s="154">
        <f t="shared" si="40"/>
        <v>47.9</v>
      </c>
      <c r="Q50" s="154">
        <f t="shared" si="41"/>
        <v>38.299999999999997</v>
      </c>
      <c r="R50" s="154">
        <f t="shared" si="42"/>
        <v>38.299999999999997</v>
      </c>
      <c r="S50" s="154">
        <f t="shared" si="43"/>
        <v>4</v>
      </c>
      <c r="T50" s="154">
        <f t="shared" si="44"/>
        <v>128.5</v>
      </c>
      <c r="U50" s="1425"/>
      <c r="V50" s="154">
        <f t="shared" si="5"/>
        <v>128.5</v>
      </c>
      <c r="W50" s="154">
        <f t="shared" si="20"/>
        <v>38.799999999999997</v>
      </c>
      <c r="X50" s="278"/>
      <c r="Y50" s="24">
        <v>35</v>
      </c>
      <c r="Z50" s="48">
        <f t="shared" si="45"/>
        <v>0</v>
      </c>
      <c r="AA50" s="54"/>
      <c r="AB50" s="24">
        <v>17.5</v>
      </c>
      <c r="AC50" s="48">
        <f t="shared" si="46"/>
        <v>0</v>
      </c>
      <c r="AD50" s="54"/>
      <c r="AE50" s="24">
        <v>35</v>
      </c>
      <c r="AF50" s="48">
        <f t="shared" si="47"/>
        <v>0</v>
      </c>
      <c r="AG50" s="278">
        <f t="shared" si="0"/>
        <v>0</v>
      </c>
      <c r="AH50" s="48">
        <f t="shared" si="48"/>
        <v>0</v>
      </c>
      <c r="AI50" s="39">
        <f t="shared" si="34"/>
        <v>42833.33</v>
      </c>
      <c r="AJ50" s="34"/>
      <c r="AK50" s="34">
        <f t="shared" si="35"/>
        <v>514</v>
      </c>
      <c r="AL50" s="34">
        <f t="shared" si="49"/>
        <v>211</v>
      </c>
      <c r="AM50" s="51">
        <v>0.30199999999999999</v>
      </c>
      <c r="AN50" s="50"/>
      <c r="AO50" s="50"/>
      <c r="AP50" s="50"/>
      <c r="AQ50" s="50">
        <f t="shared" si="7"/>
        <v>0</v>
      </c>
      <c r="AR50" s="51"/>
    </row>
    <row r="51" spans="1:44" x14ac:dyDescent="0.2">
      <c r="A51" s="278">
        <v>43</v>
      </c>
      <c r="B51" s="229" t="s">
        <v>44</v>
      </c>
      <c r="C51" s="179">
        <f>1-0.25</f>
        <v>0.75</v>
      </c>
      <c r="D51" s="213">
        <v>11.061999999999999</v>
      </c>
      <c r="E51" s="171">
        <f t="shared" si="36"/>
        <v>8.3000000000000007</v>
      </c>
      <c r="F51" s="154">
        <f t="shared" si="37"/>
        <v>99.6</v>
      </c>
      <c r="G51" s="154"/>
      <c r="H51" s="154">
        <v>2.4</v>
      </c>
      <c r="I51" s="154"/>
      <c r="J51" s="154"/>
      <c r="K51" s="154"/>
      <c r="L51" s="154">
        <f t="shared" si="4"/>
        <v>33.700000000000003</v>
      </c>
      <c r="M51" s="154">
        <f t="shared" si="38"/>
        <v>135.69999999999999</v>
      </c>
      <c r="N51" s="171">
        <v>0.43</v>
      </c>
      <c r="O51" s="154">
        <f t="shared" si="39"/>
        <v>58.4</v>
      </c>
      <c r="P51" s="154">
        <f t="shared" si="40"/>
        <v>194.1</v>
      </c>
      <c r="Q51" s="154">
        <f t="shared" si="41"/>
        <v>155.30000000000001</v>
      </c>
      <c r="R51" s="154">
        <f t="shared" si="42"/>
        <v>155.30000000000001</v>
      </c>
      <c r="S51" s="154">
        <f t="shared" si="43"/>
        <v>16.2</v>
      </c>
      <c r="T51" s="154">
        <f t="shared" si="44"/>
        <v>520.9</v>
      </c>
      <c r="U51" s="1425"/>
      <c r="V51" s="154">
        <f>T51*$U$9-0.3</f>
        <v>520.6</v>
      </c>
      <c r="W51" s="154">
        <f t="shared" si="20"/>
        <v>157.19999999999999</v>
      </c>
      <c r="X51" s="278"/>
      <c r="Y51" s="24">
        <v>35</v>
      </c>
      <c r="Z51" s="48">
        <f t="shared" si="45"/>
        <v>0</v>
      </c>
      <c r="AA51" s="54"/>
      <c r="AB51" s="24">
        <v>17.5</v>
      </c>
      <c r="AC51" s="48">
        <f t="shared" si="46"/>
        <v>0</v>
      </c>
      <c r="AD51" s="54"/>
      <c r="AE51" s="24">
        <v>35</v>
      </c>
      <c r="AF51" s="48">
        <f t="shared" si="47"/>
        <v>0</v>
      </c>
      <c r="AG51" s="278">
        <f t="shared" si="0"/>
        <v>0</v>
      </c>
      <c r="AH51" s="48">
        <f t="shared" si="48"/>
        <v>0</v>
      </c>
      <c r="AI51" s="39">
        <f t="shared" si="34"/>
        <v>57844.44</v>
      </c>
      <c r="AJ51" s="34"/>
      <c r="AK51" s="34">
        <f t="shared" si="35"/>
        <v>694.1</v>
      </c>
      <c r="AL51" s="34">
        <f t="shared" si="49"/>
        <v>243.8</v>
      </c>
      <c r="AM51" s="51">
        <v>0.30199999999999999</v>
      </c>
      <c r="AN51" s="50"/>
      <c r="AO51" s="50"/>
      <c r="AP51" s="50"/>
      <c r="AQ51" s="50">
        <f t="shared" si="7"/>
        <v>0</v>
      </c>
      <c r="AR51" s="51"/>
    </row>
    <row r="52" spans="1:44" s="33" customFormat="1" ht="20.25" customHeight="1" x14ac:dyDescent="0.2">
      <c r="A52" s="1438" t="s">
        <v>72</v>
      </c>
      <c r="B52" s="1438"/>
      <c r="C52" s="230">
        <f t="shared" ref="C52:AG52" si="50">SUM(C9:C51)</f>
        <v>59.75</v>
      </c>
      <c r="D52" s="231">
        <f t="shared" si="50"/>
        <v>419</v>
      </c>
      <c r="E52" s="231">
        <f t="shared" si="50"/>
        <v>591.79999999999995</v>
      </c>
      <c r="F52" s="231">
        <f t="shared" si="50"/>
        <v>7100.7</v>
      </c>
      <c r="G52" s="231">
        <f t="shared" si="50"/>
        <v>0.4</v>
      </c>
      <c r="H52" s="231">
        <f t="shared" si="50"/>
        <v>204.3</v>
      </c>
      <c r="I52" s="231">
        <f t="shared" si="50"/>
        <v>0</v>
      </c>
      <c r="J52" s="231">
        <f t="shared" si="50"/>
        <v>93.9</v>
      </c>
      <c r="K52" s="231">
        <f t="shared" si="50"/>
        <v>1647.5</v>
      </c>
      <c r="L52" s="231">
        <f t="shared" si="50"/>
        <v>2508.9</v>
      </c>
      <c r="M52" s="231">
        <f t="shared" si="50"/>
        <v>11555.7</v>
      </c>
      <c r="N52" s="231">
        <f t="shared" si="50"/>
        <v>19.100000000000001</v>
      </c>
      <c r="O52" s="231">
        <f t="shared" si="50"/>
        <v>5402.6</v>
      </c>
      <c r="P52" s="231">
        <f t="shared" si="50"/>
        <v>16958.3</v>
      </c>
      <c r="Q52" s="231">
        <f t="shared" si="50"/>
        <v>13566</v>
      </c>
      <c r="R52" s="231">
        <f t="shared" si="50"/>
        <v>13566</v>
      </c>
      <c r="S52" s="231">
        <f t="shared" si="50"/>
        <v>1410.9</v>
      </c>
      <c r="T52" s="231">
        <f t="shared" si="50"/>
        <v>45501.2</v>
      </c>
      <c r="U52" s="231">
        <f t="shared" si="50"/>
        <v>1</v>
      </c>
      <c r="V52" s="231">
        <f t="shared" si="50"/>
        <v>45500.9</v>
      </c>
      <c r="W52" s="231">
        <f t="shared" si="50"/>
        <v>13348.7</v>
      </c>
      <c r="X52" s="231">
        <f t="shared" si="50"/>
        <v>34</v>
      </c>
      <c r="Y52" s="231">
        <f t="shared" si="50"/>
        <v>1305</v>
      </c>
      <c r="Z52" s="231">
        <f t="shared" si="50"/>
        <v>1040</v>
      </c>
      <c r="AA52" s="231">
        <f t="shared" si="50"/>
        <v>17</v>
      </c>
      <c r="AB52" s="231">
        <f t="shared" si="50"/>
        <v>652.5</v>
      </c>
      <c r="AC52" s="231">
        <f t="shared" si="50"/>
        <v>255</v>
      </c>
      <c r="AD52" s="231">
        <f t="shared" si="50"/>
        <v>6</v>
      </c>
      <c r="AE52" s="231">
        <f t="shared" si="50"/>
        <v>1305</v>
      </c>
      <c r="AF52" s="231">
        <f t="shared" si="50"/>
        <v>185</v>
      </c>
      <c r="AG52" s="231">
        <f t="shared" si="50"/>
        <v>444</v>
      </c>
      <c r="AH52" s="231">
        <f>SUM(AH9:AH51)</f>
        <v>1924</v>
      </c>
      <c r="AN52" s="211"/>
      <c r="AO52" s="211"/>
      <c r="AP52" s="211"/>
      <c r="AQ52" s="50">
        <f t="shared" si="7"/>
        <v>0</v>
      </c>
    </row>
    <row r="53" spans="1:44" ht="17.25" customHeight="1" x14ac:dyDescent="0.2">
      <c r="G53" s="39"/>
      <c r="H53" s="39"/>
      <c r="I53" s="39"/>
      <c r="J53" s="39"/>
      <c r="K53" s="39"/>
      <c r="L53" s="232"/>
      <c r="M53" s="232"/>
      <c r="N53" s="232"/>
      <c r="O53" s="232"/>
      <c r="P53" s="232"/>
      <c r="Q53" s="39"/>
      <c r="R53" s="39"/>
      <c r="S53" s="39"/>
      <c r="T53" s="39"/>
      <c r="V53" s="34"/>
      <c r="W53" s="66"/>
      <c r="X53" s="39"/>
      <c r="AA53" s="39"/>
      <c r="AD53" s="39"/>
      <c r="AG53" s="39"/>
      <c r="AH53" s="39"/>
    </row>
    <row r="54" spans="1:44" s="75" customFormat="1" x14ac:dyDescent="0.2">
      <c r="A54" s="70"/>
      <c r="B54" s="70"/>
      <c r="C54" s="71"/>
      <c r="D54" s="72"/>
      <c r="E54" s="72"/>
      <c r="F54" s="72"/>
      <c r="G54" s="72"/>
      <c r="H54" s="73"/>
      <c r="I54" s="73"/>
      <c r="J54" s="27"/>
      <c r="K54" s="27"/>
      <c r="L54" s="27"/>
      <c r="M54" s="27"/>
      <c r="N54" s="74"/>
      <c r="O54" s="27"/>
      <c r="P54" s="27"/>
      <c r="Q54" s="27"/>
      <c r="R54" s="27"/>
      <c r="S54" s="27"/>
      <c r="T54" s="27"/>
      <c r="U54" s="27"/>
      <c r="V54" s="27"/>
      <c r="W54" s="27"/>
      <c r="X54" s="27"/>
      <c r="Y54" s="27"/>
      <c r="Z54" s="27"/>
      <c r="AA54" s="27"/>
      <c r="AB54" s="27"/>
      <c r="AC54" s="27"/>
      <c r="AD54" s="27"/>
      <c r="AE54" s="27"/>
      <c r="AF54" s="27"/>
      <c r="AG54" s="27"/>
      <c r="AH54" s="27"/>
      <c r="AI54" s="27"/>
      <c r="AJ54" s="76"/>
      <c r="AN54" s="76"/>
      <c r="AO54" s="76"/>
      <c r="AP54" s="76"/>
      <c r="AQ54" s="76"/>
      <c r="AR54" s="76"/>
    </row>
    <row r="55" spans="1:44" s="75" customFormat="1" ht="104.25" customHeight="1" x14ac:dyDescent="0.2">
      <c r="A55" s="70"/>
      <c r="B55" s="70"/>
      <c r="C55" s="71"/>
      <c r="D55" s="77"/>
      <c r="E55" s="77"/>
      <c r="F55" s="27"/>
      <c r="G55" s="1438" t="s">
        <v>140</v>
      </c>
      <c r="H55" s="1438"/>
      <c r="I55" s="1438" t="s">
        <v>144</v>
      </c>
      <c r="J55" s="1438"/>
      <c r="K55" s="1433" t="s">
        <v>145</v>
      </c>
      <c r="L55" s="1434"/>
      <c r="M55" s="1438" t="s">
        <v>128</v>
      </c>
      <c r="N55" s="1438"/>
      <c r="O55" s="70"/>
      <c r="P55" s="70"/>
      <c r="Q55" s="27"/>
      <c r="R55" s="27"/>
      <c r="S55" s="27"/>
      <c r="T55" s="27"/>
      <c r="U55" s="27"/>
      <c r="V55" s="27"/>
      <c r="W55" s="27"/>
      <c r="X55" s="27"/>
      <c r="Y55" s="27"/>
      <c r="Z55" s="27"/>
      <c r="AA55" s="27"/>
      <c r="AB55" s="27"/>
      <c r="AC55" s="27"/>
      <c r="AD55" s="27"/>
      <c r="AE55" s="27"/>
      <c r="AF55" s="27"/>
      <c r="AG55" s="27"/>
      <c r="AH55" s="27"/>
      <c r="AI55" s="27"/>
      <c r="AJ55" s="76"/>
      <c r="AN55" s="76"/>
      <c r="AO55" s="76"/>
      <c r="AP55" s="76"/>
      <c r="AQ55" s="76"/>
      <c r="AR55" s="76"/>
    </row>
    <row r="56" spans="1:44" s="75" customFormat="1" x14ac:dyDescent="0.2">
      <c r="A56" s="70"/>
      <c r="B56" s="70"/>
      <c r="C56" s="71"/>
      <c r="D56" s="77"/>
      <c r="E56" s="77"/>
      <c r="F56" s="27"/>
      <c r="G56" s="279">
        <v>991</v>
      </c>
      <c r="H56" s="279">
        <v>992</v>
      </c>
      <c r="I56" s="279">
        <v>991</v>
      </c>
      <c r="J56" s="279">
        <v>992</v>
      </c>
      <c r="K56" s="279">
        <v>991</v>
      </c>
      <c r="L56" s="279">
        <v>992</v>
      </c>
      <c r="M56" s="279">
        <v>991</v>
      </c>
      <c r="N56" s="279">
        <v>992</v>
      </c>
      <c r="O56" s="79"/>
      <c r="P56" s="79"/>
      <c r="Q56" s="27"/>
      <c r="R56" s="27"/>
      <c r="S56" s="27"/>
      <c r="T56" s="27"/>
      <c r="U56" s="27"/>
      <c r="V56" s="27"/>
      <c r="W56" s="27"/>
      <c r="X56" s="27"/>
      <c r="Y56" s="27"/>
      <c r="Z56" s="27"/>
      <c r="AA56" s="27"/>
      <c r="AB56" s="27"/>
      <c r="AC56" s="27"/>
      <c r="AD56" s="27"/>
      <c r="AE56" s="27"/>
      <c r="AF56" s="27"/>
      <c r="AG56" s="27"/>
      <c r="AH56" s="27"/>
      <c r="AI56" s="27"/>
      <c r="AJ56" s="76"/>
      <c r="AN56" s="76"/>
      <c r="AO56" s="76"/>
      <c r="AP56" s="76"/>
      <c r="AQ56" s="76"/>
      <c r="AR56" s="76"/>
    </row>
    <row r="57" spans="1:44" s="75" customFormat="1" x14ac:dyDescent="0.2">
      <c r="A57" s="70"/>
      <c r="B57" s="70"/>
      <c r="C57" s="71"/>
      <c r="D57" s="77"/>
      <c r="E57" s="77"/>
      <c r="F57" s="27"/>
      <c r="G57" s="29">
        <v>46179.199999999997</v>
      </c>
      <c r="H57" s="29">
        <v>13446.9</v>
      </c>
      <c r="I57" s="29">
        <f>245.4+176.6+93.6+162.7</f>
        <v>678.3</v>
      </c>
      <c r="J57" s="29">
        <f>74.1+53.3+28.3+49.1</f>
        <v>204.8</v>
      </c>
      <c r="K57" s="29">
        <f>V52</f>
        <v>45500.9</v>
      </c>
      <c r="L57" s="29">
        <f>W52</f>
        <v>13348.7</v>
      </c>
      <c r="M57" s="29">
        <f>G57-I57-K57</f>
        <v>0</v>
      </c>
      <c r="N57" s="29">
        <f>H57-J57-L57</f>
        <v>-106.6</v>
      </c>
      <c r="O57" s="80"/>
      <c r="P57" s="80"/>
      <c r="Q57" s="27"/>
      <c r="R57" s="27"/>
      <c r="S57" s="27"/>
      <c r="T57" s="27"/>
      <c r="U57" s="27"/>
      <c r="V57" s="27"/>
      <c r="W57" s="27"/>
      <c r="X57" s="27"/>
      <c r="Y57" s="27"/>
      <c r="Z57" s="27"/>
      <c r="AA57" s="27"/>
      <c r="AB57" s="27"/>
      <c r="AC57" s="27"/>
      <c r="AD57" s="27"/>
      <c r="AE57" s="27"/>
      <c r="AF57" s="27"/>
      <c r="AG57" s="27"/>
      <c r="AH57" s="27"/>
      <c r="AI57" s="27"/>
      <c r="AJ57" s="76"/>
      <c r="AN57" s="76"/>
      <c r="AO57" s="76"/>
      <c r="AP57" s="76"/>
      <c r="AQ57" s="76"/>
      <c r="AR57" s="76"/>
    </row>
    <row r="58" spans="1:44" s="75" customFormat="1" x14ac:dyDescent="0.2">
      <c r="A58" s="70"/>
      <c r="B58" s="70"/>
      <c r="C58" s="71"/>
      <c r="D58" s="77"/>
      <c r="E58" s="77"/>
      <c r="F58" s="27"/>
      <c r="G58" s="27"/>
      <c r="H58" s="73"/>
      <c r="I58" s="73"/>
      <c r="J58" s="27"/>
      <c r="K58" s="27"/>
      <c r="L58" s="27"/>
      <c r="M58" s="27"/>
      <c r="N58" s="74"/>
      <c r="O58" s="27"/>
      <c r="P58" s="27"/>
      <c r="Q58" s="27"/>
      <c r="R58" s="27"/>
      <c r="S58" s="27"/>
      <c r="T58" s="27"/>
      <c r="U58" s="27"/>
      <c r="V58" s="27"/>
      <c r="W58" s="27"/>
      <c r="X58" s="27"/>
      <c r="Y58" s="27"/>
      <c r="Z58" s="27"/>
      <c r="AA58" s="27"/>
      <c r="AB58" s="27"/>
      <c r="AC58" s="27"/>
      <c r="AD58" s="27"/>
      <c r="AE58" s="27"/>
      <c r="AF58" s="27"/>
      <c r="AG58" s="27"/>
      <c r="AH58" s="76"/>
      <c r="AM58" s="76"/>
      <c r="AN58" s="211"/>
      <c r="AO58" s="211"/>
      <c r="AP58" s="211"/>
      <c r="AQ58" s="211"/>
    </row>
    <row r="59" spans="1:44" s="282" customFormat="1" ht="20.25" x14ac:dyDescent="0.2">
      <c r="A59" s="81"/>
      <c r="B59" s="82" t="s">
        <v>138</v>
      </c>
      <c r="C59" s="83"/>
      <c r="D59" s="84"/>
      <c r="E59" s="84"/>
      <c r="F59" s="85"/>
      <c r="G59" s="85"/>
      <c r="H59" s="86"/>
      <c r="I59" s="86"/>
      <c r="J59" s="85"/>
      <c r="K59" s="30" t="s">
        <v>167</v>
      </c>
      <c r="L59" s="85"/>
      <c r="M59" s="85"/>
      <c r="N59" s="87"/>
      <c r="O59" s="85"/>
      <c r="P59" s="85"/>
      <c r="Q59" s="85"/>
      <c r="R59" s="85"/>
      <c r="S59" s="85"/>
      <c r="T59" s="85"/>
      <c r="U59" s="85"/>
      <c r="V59" s="85"/>
      <c r="W59" s="85"/>
      <c r="X59" s="85"/>
      <c r="Y59" s="85"/>
      <c r="Z59" s="85"/>
      <c r="AA59" s="85"/>
      <c r="AB59" s="85"/>
      <c r="AC59" s="85"/>
      <c r="AD59" s="85"/>
      <c r="AE59" s="85"/>
      <c r="AF59" s="85"/>
      <c r="AG59" s="85"/>
      <c r="AH59" s="85"/>
      <c r="AI59" s="85"/>
      <c r="AK59" s="88"/>
      <c r="AL59" s="88"/>
      <c r="AM59" s="88"/>
      <c r="AN59" s="88"/>
      <c r="AO59" s="88"/>
    </row>
    <row r="60" spans="1:44" s="75" customFormat="1" x14ac:dyDescent="0.2">
      <c r="A60" s="70"/>
      <c r="B60" s="70"/>
      <c r="C60" s="71"/>
      <c r="D60" s="77"/>
      <c r="E60" s="77"/>
      <c r="F60" s="27"/>
      <c r="G60" s="27"/>
      <c r="H60" s="73"/>
      <c r="I60" s="73"/>
      <c r="J60" s="27"/>
      <c r="K60" s="27"/>
      <c r="L60" s="27"/>
      <c r="M60" s="27"/>
      <c r="N60" s="74"/>
      <c r="O60" s="27"/>
      <c r="P60" s="27"/>
      <c r="Q60" s="27"/>
      <c r="R60" s="27"/>
      <c r="S60" s="27"/>
      <c r="T60" s="27"/>
      <c r="U60" s="27"/>
      <c r="V60" s="27"/>
      <c r="W60" s="27"/>
      <c r="X60" s="27"/>
      <c r="Y60" s="27"/>
      <c r="Z60" s="27"/>
      <c r="AA60" s="27"/>
      <c r="AB60" s="27"/>
      <c r="AC60" s="27"/>
      <c r="AD60" s="27"/>
      <c r="AE60" s="27"/>
      <c r="AF60" s="27"/>
      <c r="AG60" s="27"/>
      <c r="AH60" s="76"/>
      <c r="AM60" s="76"/>
      <c r="AN60" s="211"/>
      <c r="AO60" s="211"/>
      <c r="AP60" s="211"/>
      <c r="AQ60" s="211"/>
    </row>
    <row r="61" spans="1:44" s="75" customFormat="1" ht="20.25" customHeight="1" x14ac:dyDescent="0.2">
      <c r="A61" s="89" t="s">
        <v>96</v>
      </c>
      <c r="B61" s="89"/>
      <c r="C61" s="31"/>
      <c r="D61" s="31"/>
      <c r="E61" s="31"/>
      <c r="F61" s="31"/>
      <c r="G61" s="31"/>
      <c r="H61" s="31"/>
      <c r="I61" s="31"/>
      <c r="J61" s="31"/>
      <c r="K61" s="31"/>
      <c r="L61" s="90"/>
      <c r="M61" s="90"/>
      <c r="N61" s="91"/>
      <c r="O61" s="90"/>
      <c r="P61" s="90"/>
      <c r="Q61" s="90"/>
      <c r="R61" s="90"/>
      <c r="S61" s="90"/>
      <c r="T61" s="90"/>
      <c r="U61" s="90"/>
      <c r="V61" s="90"/>
      <c r="W61" s="90"/>
      <c r="X61" s="90"/>
      <c r="Y61" s="90"/>
      <c r="Z61" s="90"/>
      <c r="AA61" s="90"/>
      <c r="AB61" s="90"/>
      <c r="AC61" s="90"/>
      <c r="AD61" s="90"/>
      <c r="AE61" s="90"/>
      <c r="AF61" s="90"/>
      <c r="AG61" s="90"/>
      <c r="AH61" s="76"/>
      <c r="AM61" s="76"/>
      <c r="AN61" s="211"/>
      <c r="AO61" s="211"/>
      <c r="AP61" s="211"/>
      <c r="AQ61" s="211"/>
    </row>
    <row r="62" spans="1:44" s="75" customFormat="1" ht="20.25" customHeight="1" x14ac:dyDescent="0.2">
      <c r="A62" s="89" t="s">
        <v>139</v>
      </c>
      <c r="B62" s="92"/>
      <c r="C62" s="93"/>
      <c r="D62" s="93"/>
      <c r="E62" s="32"/>
      <c r="F62" s="32"/>
      <c r="G62" s="32"/>
      <c r="H62" s="32"/>
      <c r="I62" s="32"/>
      <c r="J62" s="32"/>
      <c r="K62" s="32"/>
      <c r="L62" s="90"/>
      <c r="M62" s="90"/>
      <c r="N62" s="90"/>
      <c r="O62" s="90"/>
      <c r="P62" s="90"/>
      <c r="Q62" s="90"/>
      <c r="R62" s="90"/>
      <c r="S62" s="90"/>
      <c r="T62" s="90"/>
      <c r="U62" s="90"/>
      <c r="V62" s="90"/>
      <c r="W62" s="90"/>
      <c r="X62" s="90"/>
      <c r="Y62" s="90"/>
      <c r="Z62" s="90"/>
      <c r="AA62" s="90"/>
      <c r="AB62" s="90"/>
      <c r="AC62" s="90"/>
      <c r="AD62" s="90"/>
      <c r="AE62" s="90"/>
      <c r="AF62" s="90"/>
      <c r="AG62" s="90"/>
      <c r="AH62" s="76"/>
      <c r="AM62" s="76"/>
      <c r="AN62" s="211"/>
      <c r="AO62" s="211"/>
      <c r="AP62" s="211"/>
      <c r="AQ62" s="211"/>
    </row>
    <row r="64" spans="1:44" hidden="1" x14ac:dyDescent="0.2">
      <c r="A64" s="278"/>
      <c r="B64" s="233" t="s">
        <v>121</v>
      </c>
      <c r="C64" s="233">
        <f t="shared" ref="C64:W64" si="51">C9+C10+C12</f>
        <v>3</v>
      </c>
      <c r="D64" s="233">
        <f t="shared" si="51"/>
        <v>61.43</v>
      </c>
      <c r="E64" s="183">
        <f t="shared" si="51"/>
        <v>61.44</v>
      </c>
      <c r="F64" s="233">
        <f t="shared" si="51"/>
        <v>737.2</v>
      </c>
      <c r="G64" s="233">
        <f t="shared" si="51"/>
        <v>0</v>
      </c>
      <c r="H64" s="233">
        <f t="shared" si="51"/>
        <v>8.6999999999999993</v>
      </c>
      <c r="I64" s="233">
        <f t="shared" si="51"/>
        <v>0</v>
      </c>
      <c r="J64" s="233">
        <f t="shared" si="51"/>
        <v>0</v>
      </c>
      <c r="K64" s="233">
        <f t="shared" si="51"/>
        <v>208.9</v>
      </c>
      <c r="L64" s="233">
        <f t="shared" si="51"/>
        <v>249.5</v>
      </c>
      <c r="M64" s="233">
        <f t="shared" si="51"/>
        <v>1204.3</v>
      </c>
      <c r="N64" s="233">
        <f t="shared" si="51"/>
        <v>1.92</v>
      </c>
      <c r="O64" s="233">
        <f t="shared" si="51"/>
        <v>838.4</v>
      </c>
      <c r="P64" s="233">
        <f t="shared" si="51"/>
        <v>2042.7</v>
      </c>
      <c r="Q64" s="233">
        <f t="shared" si="51"/>
        <v>1634.1</v>
      </c>
      <c r="R64" s="233">
        <f t="shared" si="51"/>
        <v>1634.1</v>
      </c>
      <c r="S64" s="233">
        <f t="shared" si="51"/>
        <v>170</v>
      </c>
      <c r="T64" s="233">
        <f t="shared" si="51"/>
        <v>5480.9</v>
      </c>
      <c r="U64" s="233">
        <f t="shared" si="51"/>
        <v>1</v>
      </c>
      <c r="V64" s="233">
        <f t="shared" si="51"/>
        <v>5480.9</v>
      </c>
      <c r="W64" s="233">
        <f t="shared" si="51"/>
        <v>1328</v>
      </c>
      <c r="X64" s="234">
        <f>V64+W64</f>
        <v>6808.9</v>
      </c>
    </row>
    <row r="65" spans="1:26" hidden="1" x14ac:dyDescent="0.2">
      <c r="A65" s="278"/>
      <c r="B65" s="233" t="s">
        <v>122</v>
      </c>
      <c r="C65" s="233" t="e">
        <f>C13+C14+#REF!+C15+C16+C17+C19+C20+C21+C22+C23+C24+C25+C26+C27+C28+C29+C30+C31+C32+C33+C34+C35+C36+C38+#REF!+C39+C40+C41</f>
        <v>#REF!</v>
      </c>
      <c r="D65" s="233" t="e">
        <f>D13+D14+#REF!+D15+D16+D17+D19+D20+D21+D22+D23+D24+D25+D26+D27+D28+D29+D30+D31+D32+D33+D34+D35+D36+D38+#REF!+D39+D40+D41</f>
        <v>#REF!</v>
      </c>
      <c r="E65" s="183" t="e">
        <f>E13+E14+#REF!+E15+E16+E17+E19+E20+E21+E22+E23+E24+E25+E26+E27+E28+E29+E30+E31+E32+E33+E34+E35+E36+E38+#REF!+E39+E40+E41</f>
        <v>#REF!</v>
      </c>
      <c r="F65" s="233" t="e">
        <f>F13+F14+#REF!+F15+F16+F17+F19+F20+F21+F22+F23+F24+F25+F26+F27+F28+F29+F30+F31+F32+F33+F34+F35+F36+F38+#REF!+F39+F40+F41</f>
        <v>#REF!</v>
      </c>
      <c r="G65" s="233" t="e">
        <f>G13+G14+#REF!+G15+G16+G17+G19+G20+G21+G22+G23+G24+G25+G26+G27+G28+G29+G30+G31+G32+G33+G34+G35+G36+G38+#REF!+G39+G40+G41</f>
        <v>#REF!</v>
      </c>
      <c r="H65" s="233" t="e">
        <f>H13+H14+#REF!+H15+H16+H17+H19+H20+H21+H22+H23+H24+H25+H26+H27+H28+H29+H30+H31+H32+H33+H34+H35+H36+H38+#REF!+H39+H40+H41</f>
        <v>#REF!</v>
      </c>
      <c r="I65" s="233" t="e">
        <f>I13+I14+#REF!+I15+I16+I17+I19+I20+I21+I22+I23+I24+I25+I26+I27+I28+I29+I30+I31+I32+I33+I34+I35+I36+I38+#REF!+I39+I40+I41</f>
        <v>#REF!</v>
      </c>
      <c r="J65" s="233" t="e">
        <f>J13+J14+#REF!+J15+J16+J17+J19+J20+J21+J22+J23+J24+J25+J26+J27+J28+J29+J30+J31+J32+J33+J34+J35+J36+J38+#REF!+J39+J40+J41</f>
        <v>#REF!</v>
      </c>
      <c r="K65" s="233" t="e">
        <f>K13+K14+#REF!+K15+K16+K17+K19+K20+K21+K22+K23+K24+K25+K26+K27+K28+K29+K30+K31+K32+K33+K34+K35+K36+K38+#REF!+K39+K40+K41</f>
        <v>#REF!</v>
      </c>
      <c r="L65" s="233" t="e">
        <f>L13+L14+#REF!+L15+L16+L17+L19+L20+L21+L22+L23+L24+L25+L26+L27+L28+L29+L30+L31+L32+L33+L34+L35+L36+L38+#REF!+L39+L40+L41</f>
        <v>#REF!</v>
      </c>
      <c r="M65" s="233" t="e">
        <f>M13+M14+#REF!+M15+M16+M17+M19+M20+M21+M22+M23+M24+M25+M26+M27+M28+M29+M30+M31+M32+M33+M34+M35+M36+M38+#REF!+M39+M40+M41</f>
        <v>#REF!</v>
      </c>
      <c r="N65" s="233" t="e">
        <f>N13+N14+#REF!+N15+N16+N17+N19+N20+N21+N22+N23+N24+N25+N26+N27+N28+N29+N30+N31+N32+N33+N34+N35+N36+N38+#REF!+N39+N40+N41</f>
        <v>#REF!</v>
      </c>
      <c r="O65" s="233" t="e">
        <f>O13+O14+#REF!+O15+O16+O17+O19+O20+O21+O22+O23+O24+O25+O26+O27+O28+O29+O30+O31+O32+O33+O34+O35+O36+O38+#REF!+O39+O40+O41</f>
        <v>#REF!</v>
      </c>
      <c r="P65" s="233" t="e">
        <f>P13+P14+#REF!+P15+P16+P17+P19+P20+P21+P22+P23+P24+P25+P26+P27+P28+P29+P30+P31+P32+P33+P34+P35+P36+P38+#REF!+P39+P40+P41</f>
        <v>#REF!</v>
      </c>
      <c r="Q65" s="233" t="e">
        <f>Q13+Q14+#REF!+Q15+Q16+Q17+Q19+Q20+Q21+Q22+Q23+Q24+Q25+Q26+Q27+Q28+Q29+Q30+Q31+Q32+Q33+Q34+Q35+Q36+Q38+#REF!+Q39+Q40+Q41</f>
        <v>#REF!</v>
      </c>
      <c r="R65" s="233" t="e">
        <f>R13+R14+#REF!+R15+R16+R17+R19+R20+R21+R22+R23+R24+R25+R26+R27+R28+R29+R30+R31+R32+R33+R34+R35+R36+R38+#REF!+R39+R40+R41</f>
        <v>#REF!</v>
      </c>
      <c r="S65" s="233" t="e">
        <f>S13+S14+#REF!+S15+S16+S17+S19+S20+S21+S22+S23+S24+S25+S26+S27+S28+S29+S30+S31+S32+S33+S34+S35+S36+S38+#REF!+S39+S40+S41</f>
        <v>#REF!</v>
      </c>
      <c r="T65" s="233" t="e">
        <f>T13+T14+#REF!+T15+T16+T17+T19+T20+T21+T22+T23+T24+T25+T26+T27+T28+T29+T30+T31+T32+T33+T34+T35+T36+T38+#REF!+T39+T40+T41</f>
        <v>#REF!</v>
      </c>
      <c r="U65" s="233" t="e">
        <f>U13+U14+#REF!+U15+U16+U17+U19+U20+U21+U22+U23+U24+U25+U26+U27+U28+U29+U30+U31+U32+U33+U34+U35+U36+U38+#REF!+U39+U40+U41</f>
        <v>#REF!</v>
      </c>
      <c r="V65" s="233" t="e">
        <f>V13+V14+#REF!+V15+V16+V17+V19+V20+V21+V22+V23+V24+V25+V26+V27+V28+V29+V30+V31+V32+V33+V34+V35+V36+V38+#REF!+V39+V40+V41</f>
        <v>#REF!</v>
      </c>
      <c r="W65" s="233" t="e">
        <f>W13+W14+#REF!+W15+W16+W17+W19+W20+W21+W22+W23+W24+W25+W26+W27+W28+W29+W30+W31+W32+W33+W34+W35+W36+W38+#REF!+W39+W40+W41</f>
        <v>#REF!</v>
      </c>
      <c r="X65" s="234" t="e">
        <f>V65+W65</f>
        <v>#REF!</v>
      </c>
    </row>
    <row r="66" spans="1:26" hidden="1" x14ac:dyDescent="0.2">
      <c r="A66" s="278"/>
      <c r="B66" s="233" t="s">
        <v>123</v>
      </c>
      <c r="C66" s="233" t="e">
        <f>C11+C18+#REF!</f>
        <v>#REF!</v>
      </c>
      <c r="D66" s="233" t="e">
        <f>D11+D18+#REF!</f>
        <v>#REF!</v>
      </c>
      <c r="E66" s="183" t="e">
        <f>E11+E18+#REF!</f>
        <v>#REF!</v>
      </c>
      <c r="F66" s="233" t="e">
        <f>F11+F18+#REF!</f>
        <v>#REF!</v>
      </c>
      <c r="G66" s="233" t="e">
        <f>G11+G18+#REF!</f>
        <v>#REF!</v>
      </c>
      <c r="H66" s="233" t="e">
        <f>H11+H18+#REF!</f>
        <v>#REF!</v>
      </c>
      <c r="I66" s="233" t="e">
        <f>I11+I18+#REF!</f>
        <v>#REF!</v>
      </c>
      <c r="J66" s="233" t="e">
        <f>J11+J18+#REF!</f>
        <v>#REF!</v>
      </c>
      <c r="K66" s="233" t="e">
        <f>K11+K18+#REF!</f>
        <v>#REF!</v>
      </c>
      <c r="L66" s="233" t="e">
        <f>L11+L18+#REF!</f>
        <v>#REF!</v>
      </c>
      <c r="M66" s="233" t="e">
        <f>M11+M18+#REF!</f>
        <v>#REF!</v>
      </c>
      <c r="N66" s="233" t="e">
        <f>N11+N18+#REF!</f>
        <v>#REF!</v>
      </c>
      <c r="O66" s="233" t="e">
        <f>O11+O18+#REF!</f>
        <v>#REF!</v>
      </c>
      <c r="P66" s="233" t="e">
        <f>P11+P18+#REF!</f>
        <v>#REF!</v>
      </c>
      <c r="Q66" s="233" t="e">
        <f>Q11+Q18+#REF!</f>
        <v>#REF!</v>
      </c>
      <c r="R66" s="233" t="e">
        <f>R11+R18+#REF!</f>
        <v>#REF!</v>
      </c>
      <c r="S66" s="233" t="e">
        <f>S11+S18+#REF!</f>
        <v>#REF!</v>
      </c>
      <c r="T66" s="233" t="e">
        <f>T11+T18+#REF!</f>
        <v>#REF!</v>
      </c>
      <c r="U66" s="233" t="e">
        <f>U11+U18+#REF!</f>
        <v>#REF!</v>
      </c>
      <c r="V66" s="233" t="e">
        <f>V11+V18+#REF!</f>
        <v>#REF!</v>
      </c>
      <c r="W66" s="233" t="e">
        <f>W11+W18+#REF!</f>
        <v>#REF!</v>
      </c>
      <c r="X66" s="234" t="e">
        <f>V66+W66</f>
        <v>#REF!</v>
      </c>
    </row>
    <row r="67" spans="1:26" hidden="1" x14ac:dyDescent="0.2">
      <c r="A67" s="278"/>
      <c r="B67" s="233"/>
      <c r="C67" s="233" t="e">
        <f>C64+C65+C66</f>
        <v>#REF!</v>
      </c>
      <c r="D67" s="233" t="e">
        <f t="shared" ref="D67:W67" si="52">D64+D65+D66</f>
        <v>#REF!</v>
      </c>
      <c r="E67" s="183" t="e">
        <f t="shared" si="52"/>
        <v>#REF!</v>
      </c>
      <c r="F67" s="233" t="e">
        <f t="shared" si="52"/>
        <v>#REF!</v>
      </c>
      <c r="G67" s="233" t="e">
        <f t="shared" si="52"/>
        <v>#REF!</v>
      </c>
      <c r="H67" s="233" t="e">
        <f t="shared" si="52"/>
        <v>#REF!</v>
      </c>
      <c r="I67" s="233" t="e">
        <f t="shared" si="52"/>
        <v>#REF!</v>
      </c>
      <c r="J67" s="233" t="e">
        <f t="shared" si="52"/>
        <v>#REF!</v>
      </c>
      <c r="K67" s="233" t="e">
        <f t="shared" si="52"/>
        <v>#REF!</v>
      </c>
      <c r="L67" s="233" t="e">
        <f t="shared" si="52"/>
        <v>#REF!</v>
      </c>
      <c r="M67" s="233" t="e">
        <f t="shared" si="52"/>
        <v>#REF!</v>
      </c>
      <c r="N67" s="233" t="e">
        <f t="shared" si="52"/>
        <v>#REF!</v>
      </c>
      <c r="O67" s="233" t="e">
        <f t="shared" si="52"/>
        <v>#REF!</v>
      </c>
      <c r="P67" s="233" t="e">
        <f t="shared" si="52"/>
        <v>#REF!</v>
      </c>
      <c r="Q67" s="233" t="e">
        <f t="shared" si="52"/>
        <v>#REF!</v>
      </c>
      <c r="R67" s="233" t="e">
        <f t="shared" si="52"/>
        <v>#REF!</v>
      </c>
      <c r="S67" s="233" t="e">
        <f t="shared" si="52"/>
        <v>#REF!</v>
      </c>
      <c r="T67" s="233" t="e">
        <f t="shared" si="52"/>
        <v>#REF!</v>
      </c>
      <c r="U67" s="233" t="e">
        <f t="shared" si="52"/>
        <v>#REF!</v>
      </c>
      <c r="V67" s="233" t="e">
        <f t="shared" si="52"/>
        <v>#REF!</v>
      </c>
      <c r="W67" s="233" t="e">
        <f t="shared" si="52"/>
        <v>#REF!</v>
      </c>
      <c r="X67" s="234" t="e">
        <f>V67+W67</f>
        <v>#REF!</v>
      </c>
      <c r="Y67" s="22" t="e">
        <f>V67+#REF!</f>
        <v>#REF!</v>
      </c>
      <c r="Z67" s="22" t="e">
        <f>W67+#REF!</f>
        <v>#REF!</v>
      </c>
    </row>
    <row r="68" spans="1:26" hidden="1" x14ac:dyDescent="0.2">
      <c r="A68" s="278"/>
      <c r="B68" s="233"/>
      <c r="C68" s="233"/>
      <c r="D68" s="233"/>
      <c r="E68" s="183"/>
      <c r="F68" s="233"/>
      <c r="G68" s="233"/>
      <c r="H68" s="233"/>
      <c r="I68" s="233"/>
      <c r="J68" s="233"/>
      <c r="K68" s="233"/>
      <c r="L68" s="233"/>
      <c r="M68" s="233"/>
      <c r="N68" s="233"/>
      <c r="O68" s="233"/>
      <c r="P68" s="233"/>
      <c r="Q68" s="233"/>
      <c r="R68" s="233"/>
      <c r="S68" s="233"/>
      <c r="T68" s="233"/>
      <c r="U68" s="233"/>
      <c r="V68" s="233"/>
      <c r="W68" s="233"/>
      <c r="X68" s="233"/>
    </row>
    <row r="69" spans="1:26" hidden="1" x14ac:dyDescent="0.2">
      <c r="E69" s="51"/>
    </row>
    <row r="70" spans="1:26" hidden="1" x14ac:dyDescent="0.2">
      <c r="E70" s="51"/>
    </row>
    <row r="71" spans="1:26" hidden="1" x14ac:dyDescent="0.2">
      <c r="E71" s="51"/>
    </row>
    <row r="72" spans="1:26" hidden="1" x14ac:dyDescent="0.2">
      <c r="E72" s="51"/>
    </row>
    <row r="73" spans="1:26" hidden="1" x14ac:dyDescent="0.2">
      <c r="E73" s="51"/>
    </row>
    <row r="74" spans="1:26" hidden="1" x14ac:dyDescent="0.2">
      <c r="E74" s="51"/>
    </row>
    <row r="75" spans="1:26" hidden="1" x14ac:dyDescent="0.2">
      <c r="E75" s="51"/>
    </row>
    <row r="76" spans="1:26" x14ac:dyDescent="0.2">
      <c r="E76" s="51"/>
    </row>
    <row r="77" spans="1:26" x14ac:dyDescent="0.2">
      <c r="E77" s="51"/>
    </row>
    <row r="78" spans="1:26" x14ac:dyDescent="0.2">
      <c r="E78" s="51"/>
    </row>
    <row r="79" spans="1:26" x14ac:dyDescent="0.2">
      <c r="E79" s="51"/>
    </row>
    <row r="80" spans="1:26" x14ac:dyDescent="0.2">
      <c r="E80" s="51"/>
    </row>
    <row r="81" spans="5:5" x14ac:dyDescent="0.2">
      <c r="E81" s="51"/>
    </row>
    <row r="82" spans="5:5" x14ac:dyDescent="0.2">
      <c r="E82" s="51"/>
    </row>
    <row r="83" spans="5:5" x14ac:dyDescent="0.2">
      <c r="E83" s="51"/>
    </row>
    <row r="84" spans="5:5" x14ac:dyDescent="0.2">
      <c r="E84" s="51"/>
    </row>
    <row r="85" spans="5:5" x14ac:dyDescent="0.2">
      <c r="E85" s="51"/>
    </row>
    <row r="86" spans="5:5" x14ac:dyDescent="0.2">
      <c r="E86" s="51"/>
    </row>
    <row r="87" spans="5:5" x14ac:dyDescent="0.2">
      <c r="E87" s="51"/>
    </row>
    <row r="88" spans="5:5" x14ac:dyDescent="0.2">
      <c r="E88" s="51"/>
    </row>
    <row r="89" spans="5:5" x14ac:dyDescent="0.2">
      <c r="E89" s="51"/>
    </row>
    <row r="90" spans="5:5" x14ac:dyDescent="0.2">
      <c r="E90" s="51"/>
    </row>
    <row r="91" spans="5:5" x14ac:dyDescent="0.2">
      <c r="E91" s="51"/>
    </row>
    <row r="92" spans="5:5" x14ac:dyDescent="0.2">
      <c r="E92" s="51"/>
    </row>
    <row r="93" spans="5:5" x14ac:dyDescent="0.2">
      <c r="E93" s="51"/>
    </row>
    <row r="94" spans="5:5" x14ac:dyDescent="0.2">
      <c r="E94" s="51"/>
    </row>
    <row r="95" spans="5:5" x14ac:dyDescent="0.2">
      <c r="E95" s="51"/>
    </row>
    <row r="96" spans="5:5" x14ac:dyDescent="0.2">
      <c r="E96" s="51"/>
    </row>
    <row r="97" spans="5:5" x14ac:dyDescent="0.2">
      <c r="E97" s="51"/>
    </row>
    <row r="98" spans="5:5" x14ac:dyDescent="0.2">
      <c r="E98" s="51"/>
    </row>
    <row r="99" spans="5:5" x14ac:dyDescent="0.2">
      <c r="E99" s="51"/>
    </row>
    <row r="100" spans="5:5" x14ac:dyDescent="0.2">
      <c r="E100" s="51"/>
    </row>
    <row r="101" spans="5:5" x14ac:dyDescent="0.2">
      <c r="E101" s="51"/>
    </row>
    <row r="102" spans="5:5" x14ac:dyDescent="0.2">
      <c r="E102" s="51"/>
    </row>
    <row r="103" spans="5:5" x14ac:dyDescent="0.2">
      <c r="E103" s="51"/>
    </row>
    <row r="104" spans="5:5" x14ac:dyDescent="0.2">
      <c r="E104" s="51"/>
    </row>
    <row r="105" spans="5:5" x14ac:dyDescent="0.2">
      <c r="E105" s="51"/>
    </row>
  </sheetData>
  <autoFilter ref="A8:AS57"/>
  <mergeCells count="38">
    <mergeCell ref="AD6:AF6"/>
    <mergeCell ref="Q6:Q7"/>
    <mergeCell ref="G55:H55"/>
    <mergeCell ref="I55:J55"/>
    <mergeCell ref="K55:L55"/>
    <mergeCell ref="M55:N55"/>
    <mergeCell ref="U9:U51"/>
    <mergeCell ref="A52:B52"/>
    <mergeCell ref="S6:S7"/>
    <mergeCell ref="T6:T7"/>
    <mergeCell ref="U6:U7"/>
    <mergeCell ref="F6:F7"/>
    <mergeCell ref="G6:G7"/>
    <mergeCell ref="H6:H7"/>
    <mergeCell ref="I6:I7"/>
    <mergeCell ref="J6:J7"/>
    <mergeCell ref="L6:L7"/>
    <mergeCell ref="M6:M7"/>
    <mergeCell ref="N6:O6"/>
    <mergeCell ref="P6:P7"/>
    <mergeCell ref="R6:R7"/>
    <mergeCell ref="K6:K7"/>
    <mergeCell ref="AE1:AH1"/>
    <mergeCell ref="A2:AH2"/>
    <mergeCell ref="A3:AH3"/>
    <mergeCell ref="A5:A7"/>
    <mergeCell ref="B5:B7"/>
    <mergeCell ref="C5:C7"/>
    <mergeCell ref="D5:W5"/>
    <mergeCell ref="X5:AH5"/>
    <mergeCell ref="D6:D7"/>
    <mergeCell ref="E6:E7"/>
    <mergeCell ref="AA6:AC6"/>
    <mergeCell ref="AG6:AG7"/>
    <mergeCell ref="AH6:AH7"/>
    <mergeCell ref="V6:V7"/>
    <mergeCell ref="W6:W7"/>
    <mergeCell ref="X6:Z6"/>
  </mergeCells>
  <printOptions horizontalCentered="1"/>
  <pageMargins left="0" right="0" top="0" bottom="0" header="0.31496062992125984" footer="0.31496062992125984"/>
  <pageSetup paperSize="9" scale="36" orientation="landscape"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AS66"/>
  <sheetViews>
    <sheetView view="pageBreakPreview" zoomScale="80" zoomScaleNormal="70" zoomScaleSheetLayoutView="80" workbookViewId="0">
      <pane xSplit="3" ySplit="8" topLeftCell="D18"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5" x14ac:dyDescent="0.2"/>
  <cols>
    <col min="1" max="1" width="9.6640625" style="98" customWidth="1"/>
    <col min="2" max="2" width="30.83203125" style="99" customWidth="1"/>
    <col min="3" max="3" width="13.83203125" style="99" customWidth="1"/>
    <col min="4" max="4" width="13.5" style="99" customWidth="1"/>
    <col min="5" max="5" width="13" style="99" customWidth="1"/>
    <col min="6" max="6" width="14.6640625" style="99" customWidth="1"/>
    <col min="7" max="7" width="11.5" style="99" customWidth="1"/>
    <col min="8" max="8" width="11.6640625" style="99" customWidth="1"/>
    <col min="9" max="9" width="11.33203125" style="99" customWidth="1"/>
    <col min="10" max="10" width="16" style="99" customWidth="1"/>
    <col min="11" max="11" width="13.1640625" style="99" customWidth="1"/>
    <col min="12" max="17" width="11.5" style="99" customWidth="1"/>
    <col min="18" max="18" width="11.6640625" style="99" customWidth="1"/>
    <col min="19" max="19" width="14.6640625" style="99" customWidth="1"/>
    <col min="20" max="20" width="12.33203125" style="99" customWidth="1"/>
    <col min="21" max="21" width="11.6640625" style="99" customWidth="1"/>
    <col min="22" max="22" width="13.83203125" style="99" customWidth="1"/>
    <col min="23" max="23" width="13" style="99" customWidth="1"/>
    <col min="24" max="24" width="11" style="99" customWidth="1"/>
    <col min="25" max="25" width="12.1640625" style="99" customWidth="1"/>
    <col min="26" max="26" width="9.6640625" style="99" customWidth="1"/>
    <col min="27" max="27" width="8.5" style="99" customWidth="1"/>
    <col min="28" max="28" width="9.1640625" style="99" customWidth="1"/>
    <col min="29" max="29" width="9" style="99" customWidth="1"/>
    <col min="30" max="30" width="8.5" style="99" customWidth="1"/>
    <col min="31" max="31" width="9.1640625" style="99" customWidth="1"/>
    <col min="32" max="32" width="10" style="99" customWidth="1"/>
    <col min="33" max="33" width="9.33203125" style="99" customWidth="1"/>
    <col min="34" max="34" width="10.6640625" style="99" customWidth="1"/>
    <col min="35" max="35" width="11.1640625" style="99" customWidth="1"/>
    <col min="36" max="36" width="9.33203125" style="99"/>
    <col min="37" max="37" width="10.6640625" style="99" bestFit="1" customWidth="1"/>
    <col min="38" max="38" width="9.33203125" style="99" hidden="1" customWidth="1"/>
    <col min="39" max="39" width="13" style="99" hidden="1" customWidth="1"/>
    <col min="40" max="40" width="14.1640625" style="211" bestFit="1" customWidth="1"/>
    <col min="41" max="42" width="9.33203125" style="211"/>
    <col min="43" max="43" width="11.33203125" style="211" bestFit="1" customWidth="1"/>
    <col min="44" max="16384" width="9.33203125" style="99"/>
  </cols>
  <sheetData>
    <row r="1" spans="1:45" ht="23.25" customHeight="1" x14ac:dyDescent="0.2">
      <c r="AE1" s="1439"/>
      <c r="AF1" s="1439"/>
      <c r="AG1" s="1439"/>
      <c r="AH1" s="1439"/>
    </row>
    <row r="2" spans="1:45" ht="24" customHeight="1" x14ac:dyDescent="0.2">
      <c r="A2" s="1440" t="s">
        <v>162</v>
      </c>
      <c r="B2" s="1440"/>
      <c r="C2" s="1440"/>
      <c r="D2" s="1440"/>
      <c r="E2" s="1440"/>
      <c r="F2" s="1440"/>
      <c r="G2" s="1440"/>
      <c r="H2" s="1440"/>
      <c r="I2" s="1440"/>
      <c r="J2" s="1440"/>
      <c r="K2" s="1440"/>
      <c r="L2" s="1440"/>
      <c r="M2" s="1440"/>
      <c r="N2" s="1440"/>
      <c r="O2" s="1440"/>
      <c r="P2" s="1440"/>
      <c r="Q2" s="1440"/>
      <c r="R2" s="1440"/>
      <c r="S2" s="1440"/>
      <c r="T2" s="1440"/>
      <c r="U2" s="1440"/>
      <c r="V2" s="1440"/>
      <c r="W2" s="1440"/>
      <c r="X2" s="1440"/>
      <c r="Y2" s="1440"/>
      <c r="Z2" s="1440"/>
      <c r="AA2" s="1440"/>
      <c r="AB2" s="1440"/>
      <c r="AC2" s="1440"/>
      <c r="AD2" s="1440"/>
      <c r="AE2" s="1440"/>
      <c r="AF2" s="1440"/>
      <c r="AG2" s="1440"/>
      <c r="AH2" s="1440"/>
      <c r="AI2" s="235"/>
    </row>
    <row r="3" spans="1:45" ht="24.75" customHeight="1" x14ac:dyDescent="0.2">
      <c r="A3" s="1441"/>
      <c r="B3" s="1441"/>
      <c r="C3" s="1441"/>
      <c r="D3" s="1441"/>
      <c r="E3" s="1441"/>
      <c r="F3" s="1441"/>
      <c r="G3" s="1441"/>
      <c r="H3" s="1441"/>
      <c r="I3" s="1441"/>
      <c r="J3" s="1441"/>
      <c r="K3" s="1441"/>
      <c r="L3" s="1441"/>
      <c r="M3" s="1441"/>
      <c r="N3" s="1441"/>
      <c r="O3" s="1441"/>
      <c r="P3" s="1441"/>
      <c r="Q3" s="1441"/>
      <c r="R3" s="1441"/>
      <c r="S3" s="1441"/>
      <c r="T3" s="1441"/>
      <c r="U3" s="1441"/>
      <c r="V3" s="1441"/>
      <c r="W3" s="1441"/>
      <c r="X3" s="1441"/>
      <c r="Y3" s="1441"/>
      <c r="Z3" s="1441"/>
      <c r="AA3" s="1441"/>
      <c r="AB3" s="1441"/>
      <c r="AC3" s="1441"/>
      <c r="AD3" s="1441"/>
      <c r="AE3" s="1441"/>
      <c r="AF3" s="1441"/>
      <c r="AG3" s="1441"/>
      <c r="AH3" s="1441"/>
      <c r="AI3" s="287"/>
    </row>
    <row r="4" spans="1:45" x14ac:dyDescent="0.2">
      <c r="L4" s="38">
        <v>0.15451000000000001</v>
      </c>
    </row>
    <row r="5" spans="1:45" ht="38.25" customHeight="1" x14ac:dyDescent="0.2">
      <c r="A5" s="1442" t="s">
        <v>78</v>
      </c>
      <c r="B5" s="1442" t="s">
        <v>77</v>
      </c>
      <c r="C5" s="1443" t="s">
        <v>0</v>
      </c>
      <c r="D5" s="1443" t="s">
        <v>3</v>
      </c>
      <c r="E5" s="1443"/>
      <c r="F5" s="1443"/>
      <c r="G5" s="1443"/>
      <c r="H5" s="1443"/>
      <c r="I5" s="1443"/>
      <c r="J5" s="1443"/>
      <c r="K5" s="1443"/>
      <c r="L5" s="1443"/>
      <c r="M5" s="1443"/>
      <c r="N5" s="1443"/>
      <c r="O5" s="1443"/>
      <c r="P5" s="1443"/>
      <c r="Q5" s="1443"/>
      <c r="R5" s="1443"/>
      <c r="S5" s="1443"/>
      <c r="T5" s="1443"/>
      <c r="U5" s="1443"/>
      <c r="V5" s="1443"/>
      <c r="W5" s="1443"/>
      <c r="X5" s="1443" t="s">
        <v>4</v>
      </c>
      <c r="Y5" s="1443"/>
      <c r="Z5" s="1443"/>
      <c r="AA5" s="1443"/>
      <c r="AB5" s="1443"/>
      <c r="AC5" s="1443"/>
      <c r="AD5" s="1443"/>
      <c r="AE5" s="1443"/>
      <c r="AF5" s="1443"/>
      <c r="AG5" s="1443"/>
      <c r="AH5" s="1443"/>
    </row>
    <row r="6" spans="1:45" ht="60" customHeight="1" x14ac:dyDescent="0.2">
      <c r="A6" s="1442"/>
      <c r="B6" s="1442"/>
      <c r="C6" s="1443"/>
      <c r="D6" s="1444" t="s">
        <v>68</v>
      </c>
      <c r="E6" s="1444" t="s">
        <v>69</v>
      </c>
      <c r="F6" s="1444" t="s">
        <v>89</v>
      </c>
      <c r="G6" s="1444" t="s">
        <v>1</v>
      </c>
      <c r="H6" s="1444" t="s">
        <v>2</v>
      </c>
      <c r="I6" s="1444" t="s">
        <v>70</v>
      </c>
      <c r="J6" s="1444" t="s">
        <v>61</v>
      </c>
      <c r="K6" s="1444" t="s">
        <v>27</v>
      </c>
      <c r="L6" s="1446" t="s">
        <v>65</v>
      </c>
      <c r="M6" s="1446" t="s">
        <v>86</v>
      </c>
      <c r="N6" s="1447" t="s">
        <v>90</v>
      </c>
      <c r="O6" s="1447"/>
      <c r="P6" s="1447" t="s">
        <v>88</v>
      </c>
      <c r="Q6" s="1446" t="s">
        <v>82</v>
      </c>
      <c r="R6" s="1444" t="s">
        <v>83</v>
      </c>
      <c r="S6" s="1446" t="s">
        <v>87</v>
      </c>
      <c r="T6" s="1444" t="s">
        <v>84</v>
      </c>
      <c r="U6" s="1444" t="s">
        <v>9</v>
      </c>
      <c r="V6" s="1444" t="s">
        <v>7</v>
      </c>
      <c r="W6" s="1444" t="s">
        <v>85</v>
      </c>
      <c r="X6" s="1443" t="s">
        <v>10</v>
      </c>
      <c r="Y6" s="1443"/>
      <c r="Z6" s="1443"/>
      <c r="AA6" s="1443" t="s">
        <v>11</v>
      </c>
      <c r="AB6" s="1443"/>
      <c r="AC6" s="1443"/>
      <c r="AD6" s="1443" t="s">
        <v>12</v>
      </c>
      <c r="AE6" s="1443"/>
      <c r="AF6" s="1443"/>
      <c r="AG6" s="1443" t="s">
        <v>13</v>
      </c>
      <c r="AH6" s="1443" t="s">
        <v>73</v>
      </c>
    </row>
    <row r="7" spans="1:45" ht="97.5" customHeight="1" x14ac:dyDescent="0.2">
      <c r="A7" s="1442"/>
      <c r="B7" s="1442"/>
      <c r="C7" s="1443"/>
      <c r="D7" s="1444"/>
      <c r="E7" s="1444"/>
      <c r="F7" s="1444"/>
      <c r="G7" s="1444"/>
      <c r="H7" s="1444"/>
      <c r="I7" s="1444"/>
      <c r="J7" s="1444"/>
      <c r="K7" s="1444"/>
      <c r="L7" s="1446" t="s">
        <v>66</v>
      </c>
      <c r="M7" s="1446"/>
      <c r="N7" s="286" t="s">
        <v>80</v>
      </c>
      <c r="O7" s="286" t="s">
        <v>81</v>
      </c>
      <c r="P7" s="1447"/>
      <c r="Q7" s="1446"/>
      <c r="R7" s="1444"/>
      <c r="S7" s="1446" t="s">
        <v>67</v>
      </c>
      <c r="T7" s="1444"/>
      <c r="U7" s="1444"/>
      <c r="V7" s="1444"/>
      <c r="W7" s="1444"/>
      <c r="X7" s="285" t="s">
        <v>5</v>
      </c>
      <c r="Y7" s="285" t="s">
        <v>6</v>
      </c>
      <c r="Z7" s="285" t="s">
        <v>74</v>
      </c>
      <c r="AA7" s="285" t="s">
        <v>5</v>
      </c>
      <c r="AB7" s="285" t="s">
        <v>6</v>
      </c>
      <c r="AC7" s="285" t="s">
        <v>75</v>
      </c>
      <c r="AD7" s="285" t="s">
        <v>5</v>
      </c>
      <c r="AE7" s="285" t="s">
        <v>6</v>
      </c>
      <c r="AF7" s="285" t="s">
        <v>76</v>
      </c>
      <c r="AG7" s="1443"/>
      <c r="AH7" s="1443"/>
      <c r="AK7" s="98" t="s">
        <v>64</v>
      </c>
      <c r="AL7" s="98" t="s">
        <v>62</v>
      </c>
      <c r="AM7" s="98" t="s">
        <v>63</v>
      </c>
    </row>
    <row r="8" spans="1:45" ht="15.75" customHeight="1" x14ac:dyDescent="0.2">
      <c r="A8" s="284">
        <v>1</v>
      </c>
      <c r="B8" s="284">
        <v>2</v>
      </c>
      <c r="C8" s="284">
        <v>3</v>
      </c>
      <c r="D8" s="284">
        <v>4</v>
      </c>
      <c r="E8" s="284">
        <v>5</v>
      </c>
      <c r="F8" s="284">
        <v>6</v>
      </c>
      <c r="G8" s="284">
        <v>7</v>
      </c>
      <c r="H8" s="284">
        <v>8</v>
      </c>
      <c r="I8" s="284">
        <v>9</v>
      </c>
      <c r="J8" s="284">
        <v>10</v>
      </c>
      <c r="K8" s="284">
        <v>11</v>
      </c>
      <c r="L8" s="284">
        <v>12</v>
      </c>
      <c r="M8" s="284">
        <v>13</v>
      </c>
      <c r="N8" s="284">
        <v>14</v>
      </c>
      <c r="O8" s="284">
        <v>15</v>
      </c>
      <c r="P8" s="284">
        <v>16</v>
      </c>
      <c r="Q8" s="284">
        <v>17</v>
      </c>
      <c r="R8" s="284">
        <v>18</v>
      </c>
      <c r="S8" s="284">
        <v>19</v>
      </c>
      <c r="T8" s="284">
        <v>20</v>
      </c>
      <c r="U8" s="284">
        <v>21</v>
      </c>
      <c r="V8" s="284">
        <v>22</v>
      </c>
      <c r="W8" s="284">
        <v>23</v>
      </c>
      <c r="X8" s="284">
        <v>25</v>
      </c>
      <c r="Y8" s="284">
        <v>26</v>
      </c>
      <c r="Z8" s="284">
        <v>27</v>
      </c>
      <c r="AA8" s="284">
        <v>28</v>
      </c>
      <c r="AB8" s="284">
        <v>29</v>
      </c>
      <c r="AC8" s="284">
        <v>30</v>
      </c>
      <c r="AD8" s="284">
        <v>31</v>
      </c>
      <c r="AE8" s="284">
        <v>32</v>
      </c>
      <c r="AF8" s="284">
        <v>33</v>
      </c>
      <c r="AG8" s="284">
        <v>34</v>
      </c>
      <c r="AH8" s="284">
        <v>35</v>
      </c>
      <c r="AN8" s="212" t="s">
        <v>116</v>
      </c>
      <c r="AO8" s="212" t="s">
        <v>117</v>
      </c>
      <c r="AP8" s="212" t="s">
        <v>118</v>
      </c>
      <c r="AQ8" s="212" t="s">
        <v>119</v>
      </c>
    </row>
    <row r="9" spans="1:45" ht="16.5" customHeight="1" x14ac:dyDescent="0.2">
      <c r="A9" s="284">
        <v>1</v>
      </c>
      <c r="B9" s="236" t="s">
        <v>14</v>
      </c>
      <c r="C9" s="284">
        <v>1</v>
      </c>
      <c r="D9" s="237">
        <v>25.672999999999998</v>
      </c>
      <c r="E9" s="169">
        <f t="shared" ref="E9:E24" si="0">C9*D9</f>
        <v>25.67</v>
      </c>
      <c r="F9" s="170">
        <f t="shared" ref="F9:F24" si="1">E9*12</f>
        <v>308</v>
      </c>
      <c r="G9" s="95"/>
      <c r="H9" s="95"/>
      <c r="I9" s="95"/>
      <c r="J9" s="95"/>
      <c r="K9" s="95">
        <f>F9*0.3</f>
        <v>92.4</v>
      </c>
      <c r="L9" s="95">
        <f>F9*$L$4</f>
        <v>47.6</v>
      </c>
      <c r="M9" s="95">
        <f t="shared" ref="M9:M24" si="2">F9+G9+H9+I9+J9+K9+L9</f>
        <v>448</v>
      </c>
      <c r="N9" s="111">
        <v>0.42</v>
      </c>
      <c r="O9" s="95">
        <f t="shared" ref="O9:O24" si="3">M9*N9</f>
        <v>188.2</v>
      </c>
      <c r="P9" s="95">
        <f t="shared" ref="P9:P24" si="4">M9+O9</f>
        <v>636.20000000000005</v>
      </c>
      <c r="Q9" s="95">
        <f t="shared" ref="Q9:Q24" si="5">P9*0.8</f>
        <v>509</v>
      </c>
      <c r="R9" s="95">
        <f t="shared" ref="R9:R24" si="6">P9*0.8</f>
        <v>509</v>
      </c>
      <c r="S9" s="95">
        <f t="shared" ref="S9:S24" si="7">(P9+Q9+R9)*0.032</f>
        <v>52.9</v>
      </c>
      <c r="T9" s="95">
        <f t="shared" ref="T9:T24" si="8">P9+Q9+R9+S9</f>
        <v>1707.1</v>
      </c>
      <c r="U9" s="1826">
        <v>1</v>
      </c>
      <c r="V9" s="95">
        <f>T9*$U$9</f>
        <v>1707.1</v>
      </c>
      <c r="W9" s="95">
        <f>AQ9</f>
        <v>424.3</v>
      </c>
      <c r="X9" s="284">
        <v>1</v>
      </c>
      <c r="Y9" s="112">
        <v>30</v>
      </c>
      <c r="Z9" s="113">
        <f t="shared" ref="Z9:Z24" si="9">X9*Y9</f>
        <v>30</v>
      </c>
      <c r="AA9" s="284"/>
      <c r="AB9" s="112">
        <v>15</v>
      </c>
      <c r="AC9" s="113">
        <f t="shared" ref="AC9:AC24" si="10">AA9*AB9</f>
        <v>0</v>
      </c>
      <c r="AD9" s="284">
        <v>1</v>
      </c>
      <c r="AE9" s="112">
        <v>30</v>
      </c>
      <c r="AF9" s="113">
        <f t="shared" ref="AF9:AF24" si="11">AD9*AE9</f>
        <v>30</v>
      </c>
      <c r="AG9" s="113">
        <f t="shared" ref="AG9:AG24" si="12">(Z9+AC9+AF9)*1%*30</f>
        <v>18</v>
      </c>
      <c r="AH9" s="113">
        <f t="shared" ref="AH9:AH24" si="13">Z9+AC9+AF9+AG9</f>
        <v>78</v>
      </c>
      <c r="AI9" s="114">
        <f t="shared" ref="AI9:AI17" si="14">V9/12/C9*1000</f>
        <v>142258.29999999999</v>
      </c>
      <c r="AK9" s="114">
        <f t="shared" ref="AK9:AK24" si="15">V9/C9</f>
        <v>1707.1</v>
      </c>
      <c r="AL9" s="114">
        <f>((979*0.302)+((AK9-979)*0.182))</f>
        <v>428.2</v>
      </c>
      <c r="AM9" s="115">
        <f>AL9/AK9</f>
        <v>0.251</v>
      </c>
      <c r="AN9" s="50">
        <f>1150*0.22+(AK9-1150)*0.1</f>
        <v>308.7</v>
      </c>
      <c r="AO9" s="50">
        <f>865*0.029</f>
        <v>25.1</v>
      </c>
      <c r="AP9" s="50">
        <f>AK9*0.053</f>
        <v>90.5</v>
      </c>
      <c r="AQ9" s="50">
        <f t="shared" ref="AQ9:AQ24" si="16">SUM(AN9:AP9)*C9</f>
        <v>424.3</v>
      </c>
      <c r="AS9" s="99">
        <f t="shared" ref="AS9:AS17" si="17">D9*1.5</f>
        <v>38.509500000000003</v>
      </c>
    </row>
    <row r="10" spans="1:45" x14ac:dyDescent="0.2">
      <c r="A10" s="284">
        <v>2</v>
      </c>
      <c r="B10" s="236" t="s">
        <v>127</v>
      </c>
      <c r="C10" s="284">
        <v>1</v>
      </c>
      <c r="D10" s="237">
        <v>17.971</v>
      </c>
      <c r="E10" s="169">
        <f>C10*D10</f>
        <v>17.97</v>
      </c>
      <c r="F10" s="170">
        <f t="shared" si="1"/>
        <v>215.6</v>
      </c>
      <c r="G10" s="95"/>
      <c r="H10" s="95">
        <v>11.2</v>
      </c>
      <c r="I10" s="95"/>
      <c r="J10" s="95"/>
      <c r="K10" s="95">
        <f>F10*0.3+D10*0.05*6.5</f>
        <v>70.5</v>
      </c>
      <c r="L10" s="95">
        <f t="shared" ref="L10:L23" si="18">F10*$L$4</f>
        <v>33.299999999999997</v>
      </c>
      <c r="M10" s="95">
        <f t="shared" si="2"/>
        <v>330.6</v>
      </c>
      <c r="N10" s="111">
        <v>0.47</v>
      </c>
      <c r="O10" s="95">
        <f t="shared" si="3"/>
        <v>155.4</v>
      </c>
      <c r="P10" s="95">
        <f t="shared" si="4"/>
        <v>486</v>
      </c>
      <c r="Q10" s="95">
        <f t="shared" si="5"/>
        <v>388.8</v>
      </c>
      <c r="R10" s="95">
        <f t="shared" si="6"/>
        <v>388.8</v>
      </c>
      <c r="S10" s="95">
        <f t="shared" si="7"/>
        <v>40.4</v>
      </c>
      <c r="T10" s="95">
        <f t="shared" si="8"/>
        <v>1304</v>
      </c>
      <c r="U10" s="1827"/>
      <c r="V10" s="95">
        <f>T10*$U$9</f>
        <v>1304</v>
      </c>
      <c r="W10" s="95">
        <f>AQ10</f>
        <v>362.6</v>
      </c>
      <c r="X10" s="284">
        <v>1</v>
      </c>
      <c r="Y10" s="112">
        <v>30</v>
      </c>
      <c r="Z10" s="113">
        <f t="shared" si="9"/>
        <v>30</v>
      </c>
      <c r="AA10" s="284"/>
      <c r="AB10" s="112">
        <v>15</v>
      </c>
      <c r="AC10" s="113">
        <f t="shared" si="10"/>
        <v>0</v>
      </c>
      <c r="AD10" s="284"/>
      <c r="AE10" s="112">
        <v>30</v>
      </c>
      <c r="AF10" s="113">
        <f t="shared" si="11"/>
        <v>0</v>
      </c>
      <c r="AG10" s="113">
        <f t="shared" si="12"/>
        <v>9</v>
      </c>
      <c r="AH10" s="113">
        <f t="shared" si="13"/>
        <v>39</v>
      </c>
      <c r="AI10" s="114">
        <f t="shared" si="14"/>
        <v>108666.7</v>
      </c>
      <c r="AK10" s="114">
        <f t="shared" si="15"/>
        <v>1304</v>
      </c>
      <c r="AL10" s="114">
        <f t="shared" ref="AL10:AL24" si="19">((979*0.302)+((AK10-979)*0.182))</f>
        <v>354.8</v>
      </c>
      <c r="AM10" s="115">
        <f>AL10/AK10</f>
        <v>0.27200000000000002</v>
      </c>
      <c r="AN10" s="50">
        <f>1150*0.22+(AK10-1150)*0.1</f>
        <v>268.39999999999998</v>
      </c>
      <c r="AO10" s="50">
        <f>865*0.029</f>
        <v>25.1</v>
      </c>
      <c r="AP10" s="50">
        <f>AK10*0.053</f>
        <v>69.099999999999994</v>
      </c>
      <c r="AQ10" s="50">
        <f t="shared" si="16"/>
        <v>362.6</v>
      </c>
      <c r="AS10" s="99">
        <f t="shared" si="17"/>
        <v>26.956499999999998</v>
      </c>
    </row>
    <row r="11" spans="1:45" x14ac:dyDescent="0.2">
      <c r="A11" s="284">
        <v>3</v>
      </c>
      <c r="B11" s="236" t="s">
        <v>23</v>
      </c>
      <c r="C11" s="238">
        <v>4</v>
      </c>
      <c r="D11" s="237">
        <v>11.061999999999999</v>
      </c>
      <c r="E11" s="111">
        <f t="shared" si="0"/>
        <v>44.25</v>
      </c>
      <c r="F11" s="95">
        <f t="shared" si="1"/>
        <v>531</v>
      </c>
      <c r="G11" s="95"/>
      <c r="H11" s="95">
        <f>7.01+7.789+7.01</f>
        <v>21.8</v>
      </c>
      <c r="I11" s="95"/>
      <c r="J11" s="95"/>
      <c r="K11" s="95">
        <f>F11*0.25*2+F11*0.3+D11*0.05*11.5</f>
        <v>431.2</v>
      </c>
      <c r="L11" s="95">
        <f t="shared" si="18"/>
        <v>82</v>
      </c>
      <c r="M11" s="95">
        <f t="shared" si="2"/>
        <v>1066</v>
      </c>
      <c r="N11" s="111">
        <v>0.43</v>
      </c>
      <c r="O11" s="95">
        <f t="shared" si="3"/>
        <v>458.4</v>
      </c>
      <c r="P11" s="95">
        <f t="shared" si="4"/>
        <v>1524.4</v>
      </c>
      <c r="Q11" s="95">
        <f t="shared" si="5"/>
        <v>1219.5</v>
      </c>
      <c r="R11" s="95">
        <f t="shared" si="6"/>
        <v>1219.5</v>
      </c>
      <c r="S11" s="95">
        <f t="shared" si="7"/>
        <v>126.8</v>
      </c>
      <c r="T11" s="95">
        <f t="shared" si="8"/>
        <v>4090.2</v>
      </c>
      <c r="U11" s="1827"/>
      <c r="V11" s="95">
        <f t="shared" ref="V11:V23" si="20">T11*$U$9</f>
        <v>4090.2</v>
      </c>
      <c r="W11" s="95">
        <f>AQ11</f>
        <v>1217.2</v>
      </c>
      <c r="X11" s="239">
        <v>2</v>
      </c>
      <c r="Y11" s="240">
        <v>30</v>
      </c>
      <c r="Z11" s="241">
        <f t="shared" si="9"/>
        <v>60</v>
      </c>
      <c r="AA11" s="239">
        <v>1</v>
      </c>
      <c r="AB11" s="240">
        <v>15</v>
      </c>
      <c r="AC11" s="241">
        <f t="shared" si="10"/>
        <v>15</v>
      </c>
      <c r="AD11" s="239">
        <v>1</v>
      </c>
      <c r="AE11" s="240">
        <v>30</v>
      </c>
      <c r="AF11" s="241">
        <f t="shared" si="11"/>
        <v>30</v>
      </c>
      <c r="AG11" s="241">
        <f t="shared" si="12"/>
        <v>31.5</v>
      </c>
      <c r="AH11" s="241">
        <f t="shared" si="13"/>
        <v>136.5</v>
      </c>
      <c r="AI11" s="114">
        <f t="shared" si="14"/>
        <v>85212.5</v>
      </c>
      <c r="AK11" s="114">
        <f t="shared" si="15"/>
        <v>1022.6</v>
      </c>
      <c r="AL11" s="114">
        <f t="shared" si="19"/>
        <v>303.60000000000002</v>
      </c>
      <c r="AM11" s="115">
        <v>0.30199999999999999</v>
      </c>
      <c r="AN11" s="50">
        <f t="shared" ref="AN11:AN24" si="21">AK11*0.22</f>
        <v>225</v>
      </c>
      <c r="AO11" s="50">
        <f>865*0.029</f>
        <v>25.1</v>
      </c>
      <c r="AP11" s="50">
        <f>AK11*0.053</f>
        <v>54.2</v>
      </c>
      <c r="AQ11" s="50">
        <f t="shared" si="16"/>
        <v>1217.2</v>
      </c>
      <c r="AS11" s="99">
        <f t="shared" si="17"/>
        <v>16.593</v>
      </c>
    </row>
    <row r="12" spans="1:45" x14ac:dyDescent="0.2">
      <c r="A12" s="284">
        <v>4</v>
      </c>
      <c r="B12" s="236" t="s">
        <v>47</v>
      </c>
      <c r="C12" s="238">
        <v>1</v>
      </c>
      <c r="D12" s="237">
        <v>6.2859999999999996</v>
      </c>
      <c r="E12" s="111">
        <f t="shared" si="0"/>
        <v>6.29</v>
      </c>
      <c r="F12" s="95">
        <f t="shared" si="1"/>
        <v>75.5</v>
      </c>
      <c r="G12" s="95"/>
      <c r="H12" s="95"/>
      <c r="I12" s="95"/>
      <c r="J12" s="95"/>
      <c r="K12" s="95"/>
      <c r="L12" s="95">
        <f t="shared" si="18"/>
        <v>11.7</v>
      </c>
      <c r="M12" s="95">
        <f t="shared" si="2"/>
        <v>87.2</v>
      </c>
      <c r="N12" s="111">
        <v>0.45</v>
      </c>
      <c r="O12" s="95">
        <f t="shared" si="3"/>
        <v>39.200000000000003</v>
      </c>
      <c r="P12" s="95">
        <f t="shared" si="4"/>
        <v>126.4</v>
      </c>
      <c r="Q12" s="95">
        <f t="shared" si="5"/>
        <v>101.1</v>
      </c>
      <c r="R12" s="95">
        <f t="shared" si="6"/>
        <v>101.1</v>
      </c>
      <c r="S12" s="95">
        <f t="shared" si="7"/>
        <v>10.5</v>
      </c>
      <c r="T12" s="95">
        <f t="shared" si="8"/>
        <v>339.1</v>
      </c>
      <c r="U12" s="1827"/>
      <c r="V12" s="95">
        <f t="shared" si="20"/>
        <v>339.1</v>
      </c>
      <c r="W12" s="95">
        <f t="shared" ref="W12:W24" si="22">V12*0.302</f>
        <v>102.4</v>
      </c>
      <c r="X12" s="239"/>
      <c r="Y12" s="240">
        <v>30</v>
      </c>
      <c r="Z12" s="241">
        <f t="shared" si="9"/>
        <v>0</v>
      </c>
      <c r="AA12" s="239"/>
      <c r="AB12" s="240">
        <v>15</v>
      </c>
      <c r="AC12" s="241">
        <f t="shared" si="10"/>
        <v>0</v>
      </c>
      <c r="AD12" s="239"/>
      <c r="AE12" s="240">
        <v>30</v>
      </c>
      <c r="AF12" s="241">
        <f t="shared" si="11"/>
        <v>0</v>
      </c>
      <c r="AG12" s="241">
        <f t="shared" si="12"/>
        <v>0</v>
      </c>
      <c r="AH12" s="241">
        <f t="shared" si="13"/>
        <v>0</v>
      </c>
      <c r="AI12" s="114">
        <f t="shared" si="14"/>
        <v>28258.3</v>
      </c>
      <c r="AK12" s="114">
        <f t="shared" si="15"/>
        <v>339.1</v>
      </c>
      <c r="AL12" s="114">
        <f t="shared" si="19"/>
        <v>179.2</v>
      </c>
      <c r="AM12" s="115">
        <v>0.30199999999999999</v>
      </c>
      <c r="AN12" s="50">
        <f t="shared" si="21"/>
        <v>74.599999999999994</v>
      </c>
      <c r="AO12" s="50"/>
      <c r="AP12" s="50">
        <f t="shared" ref="AP12:AP24" si="23">AK12*0.053</f>
        <v>18</v>
      </c>
      <c r="AQ12" s="50">
        <f t="shared" si="16"/>
        <v>92.6</v>
      </c>
      <c r="AR12" s="22"/>
      <c r="AS12" s="99">
        <f t="shared" si="17"/>
        <v>9.4290000000000003</v>
      </c>
    </row>
    <row r="13" spans="1:45" s="33" customFormat="1" x14ac:dyDescent="0.2">
      <c r="A13" s="284">
        <v>5</v>
      </c>
      <c r="B13" s="52" t="s">
        <v>48</v>
      </c>
      <c r="C13" s="278">
        <v>1</v>
      </c>
      <c r="D13" s="177">
        <v>11.061999999999999</v>
      </c>
      <c r="E13" s="171">
        <f t="shared" si="0"/>
        <v>11.06</v>
      </c>
      <c r="F13" s="154">
        <f t="shared" si="1"/>
        <v>132.69999999999999</v>
      </c>
      <c r="G13" s="154"/>
      <c r="H13" s="154">
        <f>7010.2/1000</f>
        <v>7</v>
      </c>
      <c r="I13" s="154"/>
      <c r="J13" s="154"/>
      <c r="K13" s="154">
        <f>F13*0.4</f>
        <v>53.1</v>
      </c>
      <c r="L13" s="95">
        <f t="shared" si="18"/>
        <v>20.5</v>
      </c>
      <c r="M13" s="154">
        <f t="shared" si="2"/>
        <v>213.3</v>
      </c>
      <c r="N13" s="111">
        <v>0.47</v>
      </c>
      <c r="O13" s="154">
        <f t="shared" si="3"/>
        <v>100.3</v>
      </c>
      <c r="P13" s="154">
        <f t="shared" si="4"/>
        <v>313.60000000000002</v>
      </c>
      <c r="Q13" s="154">
        <f t="shared" si="5"/>
        <v>250.9</v>
      </c>
      <c r="R13" s="154">
        <f t="shared" si="6"/>
        <v>250.9</v>
      </c>
      <c r="S13" s="154">
        <f t="shared" si="7"/>
        <v>26.1</v>
      </c>
      <c r="T13" s="154">
        <f t="shared" si="8"/>
        <v>841.5</v>
      </c>
      <c r="U13" s="1827"/>
      <c r="V13" s="154">
        <f t="shared" si="20"/>
        <v>841.5</v>
      </c>
      <c r="W13" s="95">
        <f t="shared" si="22"/>
        <v>254.1</v>
      </c>
      <c r="X13" s="54"/>
      <c r="Y13" s="24">
        <v>30</v>
      </c>
      <c r="Z13" s="48">
        <f t="shared" si="9"/>
        <v>0</v>
      </c>
      <c r="AA13" s="54"/>
      <c r="AB13" s="24">
        <v>15</v>
      </c>
      <c r="AC13" s="48">
        <f t="shared" si="10"/>
        <v>0</v>
      </c>
      <c r="AD13" s="54"/>
      <c r="AE13" s="24">
        <v>30</v>
      </c>
      <c r="AF13" s="48">
        <f t="shared" si="11"/>
        <v>0</v>
      </c>
      <c r="AG13" s="48">
        <f t="shared" si="12"/>
        <v>0</v>
      </c>
      <c r="AH13" s="48">
        <f t="shared" si="13"/>
        <v>0</v>
      </c>
      <c r="AI13" s="34">
        <f t="shared" si="14"/>
        <v>70125</v>
      </c>
      <c r="AK13" s="34">
        <f t="shared" si="15"/>
        <v>841.5</v>
      </c>
      <c r="AL13" s="34">
        <f t="shared" si="19"/>
        <v>270.60000000000002</v>
      </c>
      <c r="AM13" s="51">
        <v>0.30199999999999999</v>
      </c>
      <c r="AN13" s="50">
        <f t="shared" si="21"/>
        <v>185.1</v>
      </c>
      <c r="AO13" s="50"/>
      <c r="AP13" s="50">
        <f t="shared" si="23"/>
        <v>44.6</v>
      </c>
      <c r="AQ13" s="50">
        <f t="shared" si="16"/>
        <v>229.7</v>
      </c>
      <c r="AR13" s="22"/>
      <c r="AS13" s="22">
        <f t="shared" si="17"/>
        <v>16.593</v>
      </c>
    </row>
    <row r="14" spans="1:45" x14ac:dyDescent="0.2">
      <c r="A14" s="284">
        <v>6</v>
      </c>
      <c r="B14" s="236" t="s">
        <v>49</v>
      </c>
      <c r="C14" s="127">
        <v>1</v>
      </c>
      <c r="D14" s="237">
        <v>8.4730000000000008</v>
      </c>
      <c r="E14" s="111">
        <f t="shared" si="0"/>
        <v>8.4700000000000006</v>
      </c>
      <c r="F14" s="95">
        <f t="shared" si="1"/>
        <v>101.6</v>
      </c>
      <c r="G14" s="95"/>
      <c r="H14" s="95">
        <f>5966.1/1000</f>
        <v>6</v>
      </c>
      <c r="I14" s="95"/>
      <c r="J14" s="95"/>
      <c r="K14" s="95">
        <f>F14*0.4</f>
        <v>40.6</v>
      </c>
      <c r="L14" s="95">
        <f t="shared" si="18"/>
        <v>15.7</v>
      </c>
      <c r="M14" s="95">
        <f t="shared" si="2"/>
        <v>163.9</v>
      </c>
      <c r="N14" s="111">
        <v>0.41</v>
      </c>
      <c r="O14" s="95">
        <f t="shared" si="3"/>
        <v>67.2</v>
      </c>
      <c r="P14" s="95">
        <f t="shared" si="4"/>
        <v>231.1</v>
      </c>
      <c r="Q14" s="95">
        <f t="shared" si="5"/>
        <v>184.9</v>
      </c>
      <c r="R14" s="95">
        <f t="shared" si="6"/>
        <v>184.9</v>
      </c>
      <c r="S14" s="95">
        <f t="shared" si="7"/>
        <v>19.2</v>
      </c>
      <c r="T14" s="95">
        <f t="shared" si="8"/>
        <v>620.1</v>
      </c>
      <c r="U14" s="1827"/>
      <c r="V14" s="95">
        <f>T14*$U$9</f>
        <v>620.1</v>
      </c>
      <c r="W14" s="95">
        <f t="shared" si="22"/>
        <v>187.3</v>
      </c>
      <c r="X14" s="284"/>
      <c r="Y14" s="112">
        <v>30</v>
      </c>
      <c r="Z14" s="113">
        <f t="shared" si="9"/>
        <v>0</v>
      </c>
      <c r="AA14" s="127"/>
      <c r="AB14" s="112">
        <v>15</v>
      </c>
      <c r="AC14" s="113">
        <f t="shared" si="10"/>
        <v>0</v>
      </c>
      <c r="AD14" s="127"/>
      <c r="AE14" s="112">
        <v>30</v>
      </c>
      <c r="AF14" s="113">
        <f t="shared" si="11"/>
        <v>0</v>
      </c>
      <c r="AG14" s="113">
        <f t="shared" si="12"/>
        <v>0</v>
      </c>
      <c r="AH14" s="113">
        <f t="shared" si="13"/>
        <v>0</v>
      </c>
      <c r="AI14" s="114">
        <f t="shared" si="14"/>
        <v>51675</v>
      </c>
      <c r="AK14" s="114">
        <f t="shared" si="15"/>
        <v>620.1</v>
      </c>
      <c r="AL14" s="114">
        <f t="shared" si="19"/>
        <v>230.3</v>
      </c>
      <c r="AM14" s="115">
        <v>0.30199999999999999</v>
      </c>
      <c r="AN14" s="50">
        <f t="shared" si="21"/>
        <v>136.4</v>
      </c>
      <c r="AO14" s="50"/>
      <c r="AP14" s="50">
        <f t="shared" si="23"/>
        <v>32.9</v>
      </c>
      <c r="AQ14" s="50">
        <f t="shared" si="16"/>
        <v>169.3</v>
      </c>
      <c r="AR14" s="22"/>
      <c r="AS14" s="99">
        <f t="shared" si="17"/>
        <v>12.7095</v>
      </c>
    </row>
    <row r="15" spans="1:45" x14ac:dyDescent="0.2">
      <c r="A15" s="284">
        <v>7</v>
      </c>
      <c r="B15" s="236" t="s">
        <v>52</v>
      </c>
      <c r="C15" s="127">
        <v>1</v>
      </c>
      <c r="D15" s="237">
        <v>8.4730000000000008</v>
      </c>
      <c r="E15" s="111">
        <f t="shared" si="0"/>
        <v>8.4700000000000006</v>
      </c>
      <c r="F15" s="95">
        <f t="shared" si="1"/>
        <v>101.6</v>
      </c>
      <c r="G15" s="95"/>
      <c r="H15" s="95">
        <f>5966.1/1000</f>
        <v>6</v>
      </c>
      <c r="I15" s="95"/>
      <c r="J15" s="95"/>
      <c r="K15" s="95">
        <f>F15*0.25</f>
        <v>25.4</v>
      </c>
      <c r="L15" s="95">
        <f t="shared" si="18"/>
        <v>15.7</v>
      </c>
      <c r="M15" s="95">
        <f t="shared" si="2"/>
        <v>148.69999999999999</v>
      </c>
      <c r="N15" s="111">
        <v>0.41</v>
      </c>
      <c r="O15" s="95">
        <f t="shared" si="3"/>
        <v>61</v>
      </c>
      <c r="P15" s="95">
        <f t="shared" si="4"/>
        <v>209.7</v>
      </c>
      <c r="Q15" s="95">
        <f t="shared" si="5"/>
        <v>167.8</v>
      </c>
      <c r="R15" s="95">
        <f t="shared" si="6"/>
        <v>167.8</v>
      </c>
      <c r="S15" s="95">
        <f t="shared" si="7"/>
        <v>17.399999999999999</v>
      </c>
      <c r="T15" s="95">
        <f t="shared" si="8"/>
        <v>562.70000000000005</v>
      </c>
      <c r="U15" s="1827"/>
      <c r="V15" s="95">
        <f t="shared" si="20"/>
        <v>562.70000000000005</v>
      </c>
      <c r="W15" s="95">
        <f t="shared" si="22"/>
        <v>169.9</v>
      </c>
      <c r="X15" s="284"/>
      <c r="Y15" s="112">
        <v>30</v>
      </c>
      <c r="Z15" s="113">
        <f t="shared" si="9"/>
        <v>0</v>
      </c>
      <c r="AA15" s="127"/>
      <c r="AB15" s="112">
        <v>15</v>
      </c>
      <c r="AC15" s="113">
        <f t="shared" si="10"/>
        <v>0</v>
      </c>
      <c r="AD15" s="127"/>
      <c r="AE15" s="112">
        <v>30</v>
      </c>
      <c r="AF15" s="113">
        <f t="shared" si="11"/>
        <v>0</v>
      </c>
      <c r="AG15" s="113">
        <f t="shared" si="12"/>
        <v>0</v>
      </c>
      <c r="AH15" s="113">
        <f t="shared" si="13"/>
        <v>0</v>
      </c>
      <c r="AI15" s="114">
        <f t="shared" si="14"/>
        <v>46891.7</v>
      </c>
      <c r="AK15" s="114">
        <f t="shared" si="15"/>
        <v>562.70000000000005</v>
      </c>
      <c r="AL15" s="114">
        <f t="shared" si="19"/>
        <v>219.9</v>
      </c>
      <c r="AM15" s="115">
        <v>0.30199999999999999</v>
      </c>
      <c r="AN15" s="50">
        <f t="shared" si="21"/>
        <v>123.8</v>
      </c>
      <c r="AO15" s="50"/>
      <c r="AP15" s="50">
        <f t="shared" si="23"/>
        <v>29.8</v>
      </c>
      <c r="AQ15" s="50">
        <f t="shared" si="16"/>
        <v>153.6</v>
      </c>
      <c r="AS15" s="99">
        <f t="shared" si="17"/>
        <v>12.7095</v>
      </c>
    </row>
    <row r="16" spans="1:45" x14ac:dyDescent="0.2">
      <c r="A16" s="284">
        <v>8</v>
      </c>
      <c r="B16" s="236" t="s">
        <v>40</v>
      </c>
      <c r="C16" s="127">
        <v>1</v>
      </c>
      <c r="D16" s="237">
        <v>11.061999999999999</v>
      </c>
      <c r="E16" s="111">
        <f t="shared" si="0"/>
        <v>11.06</v>
      </c>
      <c r="F16" s="95">
        <f t="shared" si="1"/>
        <v>132.69999999999999</v>
      </c>
      <c r="G16" s="95"/>
      <c r="H16" s="95">
        <f>7010.2/1000</f>
        <v>7</v>
      </c>
      <c r="I16" s="95"/>
      <c r="J16" s="95"/>
      <c r="K16" s="95">
        <f>F16*0.25</f>
        <v>33.200000000000003</v>
      </c>
      <c r="L16" s="95">
        <f t="shared" si="18"/>
        <v>20.5</v>
      </c>
      <c r="M16" s="95">
        <f t="shared" si="2"/>
        <v>193.4</v>
      </c>
      <c r="N16" s="111">
        <v>0.43</v>
      </c>
      <c r="O16" s="95">
        <f t="shared" si="3"/>
        <v>83.2</v>
      </c>
      <c r="P16" s="95">
        <f t="shared" si="4"/>
        <v>276.60000000000002</v>
      </c>
      <c r="Q16" s="95">
        <f t="shared" si="5"/>
        <v>221.3</v>
      </c>
      <c r="R16" s="95">
        <f t="shared" si="6"/>
        <v>221.3</v>
      </c>
      <c r="S16" s="95">
        <f t="shared" si="7"/>
        <v>23</v>
      </c>
      <c r="T16" s="95">
        <f t="shared" si="8"/>
        <v>742.2</v>
      </c>
      <c r="U16" s="1827"/>
      <c r="V16" s="95">
        <f t="shared" si="20"/>
        <v>742.2</v>
      </c>
      <c r="W16" s="95">
        <f t="shared" si="22"/>
        <v>224.1</v>
      </c>
      <c r="X16" s="284"/>
      <c r="Y16" s="112">
        <v>30</v>
      </c>
      <c r="Z16" s="113">
        <f t="shared" si="9"/>
        <v>0</v>
      </c>
      <c r="AA16" s="127"/>
      <c r="AB16" s="112">
        <v>15</v>
      </c>
      <c r="AC16" s="113">
        <f t="shared" si="10"/>
        <v>0</v>
      </c>
      <c r="AD16" s="127"/>
      <c r="AE16" s="112">
        <v>30</v>
      </c>
      <c r="AF16" s="113">
        <f t="shared" si="11"/>
        <v>0</v>
      </c>
      <c r="AG16" s="113">
        <f t="shared" si="12"/>
        <v>0</v>
      </c>
      <c r="AH16" s="113">
        <f t="shared" si="13"/>
        <v>0</v>
      </c>
      <c r="AI16" s="114">
        <f t="shared" si="14"/>
        <v>61850</v>
      </c>
      <c r="AK16" s="114">
        <f t="shared" si="15"/>
        <v>742.2</v>
      </c>
      <c r="AL16" s="114">
        <f t="shared" si="19"/>
        <v>252.6</v>
      </c>
      <c r="AM16" s="115">
        <v>0.30199999999999999</v>
      </c>
      <c r="AN16" s="50">
        <f t="shared" si="21"/>
        <v>163.30000000000001</v>
      </c>
      <c r="AO16" s="242"/>
      <c r="AP16" s="50">
        <f t="shared" si="23"/>
        <v>39.299999999999997</v>
      </c>
      <c r="AQ16" s="50">
        <f t="shared" si="16"/>
        <v>202.6</v>
      </c>
      <c r="AS16" s="99">
        <f t="shared" si="17"/>
        <v>16.593</v>
      </c>
    </row>
    <row r="17" spans="1:45" x14ac:dyDescent="0.2">
      <c r="A17" s="284">
        <v>9</v>
      </c>
      <c r="B17" s="236" t="s">
        <v>29</v>
      </c>
      <c r="C17" s="127">
        <v>1</v>
      </c>
      <c r="D17" s="237">
        <v>8.4730000000000008</v>
      </c>
      <c r="E17" s="111">
        <f t="shared" si="0"/>
        <v>8.4700000000000006</v>
      </c>
      <c r="F17" s="95">
        <f t="shared" si="1"/>
        <v>101.6</v>
      </c>
      <c r="G17" s="95"/>
      <c r="H17" s="95">
        <f>5369.5/1000</f>
        <v>5.4</v>
      </c>
      <c r="I17" s="95"/>
      <c r="J17" s="95">
        <f>D17*0.1*3</f>
        <v>2.5</v>
      </c>
      <c r="K17" s="95">
        <f>D17*0.25*12</f>
        <v>25.4</v>
      </c>
      <c r="L17" s="95">
        <f t="shared" si="18"/>
        <v>15.7</v>
      </c>
      <c r="M17" s="95">
        <f t="shared" si="2"/>
        <v>150.6</v>
      </c>
      <c r="N17" s="111">
        <v>0.41</v>
      </c>
      <c r="O17" s="95">
        <f t="shared" si="3"/>
        <v>61.7</v>
      </c>
      <c r="P17" s="95">
        <f t="shared" si="4"/>
        <v>212.3</v>
      </c>
      <c r="Q17" s="95">
        <f t="shared" si="5"/>
        <v>169.8</v>
      </c>
      <c r="R17" s="95">
        <f t="shared" si="6"/>
        <v>169.8</v>
      </c>
      <c r="S17" s="95">
        <f t="shared" si="7"/>
        <v>17.7</v>
      </c>
      <c r="T17" s="95">
        <f t="shared" si="8"/>
        <v>569.6</v>
      </c>
      <c r="U17" s="1827"/>
      <c r="V17" s="95">
        <f t="shared" si="20"/>
        <v>569.6</v>
      </c>
      <c r="W17" s="95">
        <f t="shared" si="22"/>
        <v>172</v>
      </c>
      <c r="X17" s="284">
        <v>1</v>
      </c>
      <c r="Y17" s="112">
        <v>30</v>
      </c>
      <c r="Z17" s="113">
        <f t="shared" si="9"/>
        <v>30</v>
      </c>
      <c r="AA17" s="127"/>
      <c r="AB17" s="112">
        <v>15</v>
      </c>
      <c r="AC17" s="113">
        <f t="shared" si="10"/>
        <v>0</v>
      </c>
      <c r="AD17" s="127"/>
      <c r="AE17" s="112">
        <v>30</v>
      </c>
      <c r="AF17" s="113">
        <f t="shared" si="11"/>
        <v>0</v>
      </c>
      <c r="AG17" s="113">
        <f t="shared" si="12"/>
        <v>9</v>
      </c>
      <c r="AH17" s="113">
        <f t="shared" si="13"/>
        <v>39</v>
      </c>
      <c r="AI17" s="114">
        <f t="shared" si="14"/>
        <v>47466.7</v>
      </c>
      <c r="AK17" s="114">
        <f t="shared" si="15"/>
        <v>569.6</v>
      </c>
      <c r="AL17" s="114">
        <f t="shared" si="19"/>
        <v>221.1</v>
      </c>
      <c r="AM17" s="115">
        <v>0.30199999999999999</v>
      </c>
      <c r="AN17" s="50">
        <f t="shared" si="21"/>
        <v>125.3</v>
      </c>
      <c r="AO17" s="242"/>
      <c r="AP17" s="50">
        <f t="shared" si="23"/>
        <v>30.2</v>
      </c>
      <c r="AQ17" s="50">
        <f t="shared" si="16"/>
        <v>155.5</v>
      </c>
      <c r="AS17" s="99">
        <f t="shared" si="17"/>
        <v>12.7095</v>
      </c>
    </row>
    <row r="18" spans="1:45" ht="25.5" x14ac:dyDescent="0.2">
      <c r="A18" s="284">
        <v>10</v>
      </c>
      <c r="B18" s="236" t="s">
        <v>148</v>
      </c>
      <c r="C18" s="127">
        <v>1</v>
      </c>
      <c r="D18" s="237">
        <v>8.4730000000000008</v>
      </c>
      <c r="E18" s="111">
        <f t="shared" si="0"/>
        <v>8.4700000000000006</v>
      </c>
      <c r="F18" s="95">
        <f t="shared" si="1"/>
        <v>101.6</v>
      </c>
      <c r="G18" s="95"/>
      <c r="H18" s="95"/>
      <c r="I18" s="95"/>
      <c r="J18" s="95"/>
      <c r="K18" s="95">
        <f>F18*0.25+D18*0.05*11</f>
        <v>30.1</v>
      </c>
      <c r="L18" s="95">
        <f t="shared" si="18"/>
        <v>15.7</v>
      </c>
      <c r="M18" s="95">
        <f t="shared" si="2"/>
        <v>147.4</v>
      </c>
      <c r="N18" s="111">
        <v>0.41</v>
      </c>
      <c r="O18" s="95">
        <f t="shared" si="3"/>
        <v>60.4</v>
      </c>
      <c r="P18" s="95">
        <f t="shared" si="4"/>
        <v>207.8</v>
      </c>
      <c r="Q18" s="95">
        <f t="shared" si="5"/>
        <v>166.2</v>
      </c>
      <c r="R18" s="95">
        <f t="shared" si="6"/>
        <v>166.2</v>
      </c>
      <c r="S18" s="95">
        <f t="shared" si="7"/>
        <v>17.3</v>
      </c>
      <c r="T18" s="95">
        <f t="shared" si="8"/>
        <v>557.5</v>
      </c>
      <c r="U18" s="1827"/>
      <c r="V18" s="95">
        <f t="shared" si="20"/>
        <v>557.5</v>
      </c>
      <c r="W18" s="95">
        <f t="shared" si="22"/>
        <v>168.4</v>
      </c>
      <c r="X18" s="284">
        <v>1</v>
      </c>
      <c r="Y18" s="112">
        <v>30</v>
      </c>
      <c r="Z18" s="113">
        <f t="shared" si="9"/>
        <v>30</v>
      </c>
      <c r="AA18" s="127"/>
      <c r="AB18" s="112">
        <v>15</v>
      </c>
      <c r="AC18" s="113">
        <f t="shared" si="10"/>
        <v>0</v>
      </c>
      <c r="AD18" s="127"/>
      <c r="AE18" s="112">
        <v>30</v>
      </c>
      <c r="AF18" s="113">
        <f t="shared" si="11"/>
        <v>0</v>
      </c>
      <c r="AG18" s="113">
        <f t="shared" si="12"/>
        <v>9</v>
      </c>
      <c r="AH18" s="113">
        <f t="shared" si="13"/>
        <v>39</v>
      </c>
      <c r="AI18" s="114"/>
      <c r="AK18" s="114">
        <f t="shared" si="15"/>
        <v>557.5</v>
      </c>
      <c r="AL18" s="114"/>
      <c r="AM18" s="115"/>
      <c r="AN18" s="50">
        <f t="shared" si="21"/>
        <v>122.7</v>
      </c>
      <c r="AO18" s="242"/>
      <c r="AP18" s="50">
        <f t="shared" si="23"/>
        <v>29.5</v>
      </c>
      <c r="AQ18" s="50">
        <f t="shared" si="16"/>
        <v>152.19999999999999</v>
      </c>
    </row>
    <row r="19" spans="1:45" ht="25.5" x14ac:dyDescent="0.2">
      <c r="A19" s="284">
        <v>11</v>
      </c>
      <c r="B19" s="236" t="s">
        <v>130</v>
      </c>
      <c r="C19" s="127">
        <v>1</v>
      </c>
      <c r="D19" s="237">
        <v>8.4730000000000008</v>
      </c>
      <c r="E19" s="111">
        <f t="shared" si="0"/>
        <v>8.4700000000000006</v>
      </c>
      <c r="F19" s="95">
        <f t="shared" si="1"/>
        <v>101.6</v>
      </c>
      <c r="G19" s="95"/>
      <c r="H19" s="95"/>
      <c r="I19" s="95"/>
      <c r="J19" s="95"/>
      <c r="K19" s="95"/>
      <c r="L19" s="95">
        <f t="shared" si="18"/>
        <v>15.7</v>
      </c>
      <c r="M19" s="95">
        <f t="shared" si="2"/>
        <v>117.3</v>
      </c>
      <c r="N19" s="111">
        <v>0.47</v>
      </c>
      <c r="O19" s="95">
        <f t="shared" si="3"/>
        <v>55.1</v>
      </c>
      <c r="P19" s="95">
        <f t="shared" si="4"/>
        <v>172.4</v>
      </c>
      <c r="Q19" s="95">
        <f t="shared" si="5"/>
        <v>137.9</v>
      </c>
      <c r="R19" s="95">
        <f t="shared" si="6"/>
        <v>137.9</v>
      </c>
      <c r="S19" s="95">
        <f t="shared" si="7"/>
        <v>14.3</v>
      </c>
      <c r="T19" s="95">
        <f t="shared" si="8"/>
        <v>462.5</v>
      </c>
      <c r="U19" s="1827"/>
      <c r="V19" s="95">
        <f t="shared" si="20"/>
        <v>462.5</v>
      </c>
      <c r="W19" s="95">
        <f t="shared" si="22"/>
        <v>139.69999999999999</v>
      </c>
      <c r="X19" s="284"/>
      <c r="Y19" s="112">
        <v>30</v>
      </c>
      <c r="Z19" s="113">
        <f t="shared" si="9"/>
        <v>0</v>
      </c>
      <c r="AA19" s="127"/>
      <c r="AB19" s="112">
        <v>15</v>
      </c>
      <c r="AC19" s="113">
        <f t="shared" si="10"/>
        <v>0</v>
      </c>
      <c r="AD19" s="127"/>
      <c r="AE19" s="112">
        <v>30</v>
      </c>
      <c r="AF19" s="113">
        <f t="shared" si="11"/>
        <v>0</v>
      </c>
      <c r="AG19" s="113">
        <f t="shared" si="12"/>
        <v>0</v>
      </c>
      <c r="AH19" s="113">
        <f t="shared" si="13"/>
        <v>0</v>
      </c>
      <c r="AI19" s="114"/>
      <c r="AK19" s="114">
        <f t="shared" si="15"/>
        <v>462.5</v>
      </c>
      <c r="AL19" s="114"/>
      <c r="AM19" s="115"/>
      <c r="AN19" s="50">
        <f t="shared" si="21"/>
        <v>101.8</v>
      </c>
      <c r="AO19" s="242"/>
      <c r="AP19" s="50">
        <f t="shared" si="23"/>
        <v>24.5</v>
      </c>
      <c r="AQ19" s="50">
        <f t="shared" si="16"/>
        <v>126.3</v>
      </c>
    </row>
    <row r="20" spans="1:45" ht="25.5" x14ac:dyDescent="0.2">
      <c r="A20" s="284">
        <v>12</v>
      </c>
      <c r="B20" s="236" t="s">
        <v>149</v>
      </c>
      <c r="C20" s="127">
        <v>1</v>
      </c>
      <c r="D20" s="237">
        <v>11.061999999999999</v>
      </c>
      <c r="E20" s="111">
        <f t="shared" si="0"/>
        <v>11.06</v>
      </c>
      <c r="F20" s="95">
        <f t="shared" si="1"/>
        <v>132.69999999999999</v>
      </c>
      <c r="G20" s="95"/>
      <c r="H20" s="95"/>
      <c r="I20" s="95"/>
      <c r="J20" s="95"/>
      <c r="K20" s="95"/>
      <c r="L20" s="95">
        <f t="shared" si="18"/>
        <v>20.5</v>
      </c>
      <c r="M20" s="95">
        <f t="shared" si="2"/>
        <v>153.19999999999999</v>
      </c>
      <c r="N20" s="111">
        <v>0.43</v>
      </c>
      <c r="O20" s="95">
        <f t="shared" si="3"/>
        <v>65.900000000000006</v>
      </c>
      <c r="P20" s="95">
        <f t="shared" si="4"/>
        <v>219.1</v>
      </c>
      <c r="Q20" s="95">
        <f t="shared" si="5"/>
        <v>175.3</v>
      </c>
      <c r="R20" s="95">
        <f t="shared" si="6"/>
        <v>175.3</v>
      </c>
      <c r="S20" s="95">
        <f t="shared" si="7"/>
        <v>18.2</v>
      </c>
      <c r="T20" s="95">
        <f t="shared" si="8"/>
        <v>587.9</v>
      </c>
      <c r="U20" s="1827"/>
      <c r="V20" s="95">
        <f t="shared" si="20"/>
        <v>587.9</v>
      </c>
      <c r="W20" s="95">
        <f t="shared" si="22"/>
        <v>177.5</v>
      </c>
      <c r="X20" s="284"/>
      <c r="Y20" s="112">
        <v>30</v>
      </c>
      <c r="Z20" s="113">
        <f t="shared" si="9"/>
        <v>0</v>
      </c>
      <c r="AA20" s="127"/>
      <c r="AB20" s="112">
        <v>15</v>
      </c>
      <c r="AC20" s="113">
        <f t="shared" si="10"/>
        <v>0</v>
      </c>
      <c r="AD20" s="127"/>
      <c r="AE20" s="112">
        <v>30</v>
      </c>
      <c r="AF20" s="113">
        <f t="shared" si="11"/>
        <v>0</v>
      </c>
      <c r="AG20" s="113">
        <f t="shared" si="12"/>
        <v>0</v>
      </c>
      <c r="AH20" s="113">
        <f t="shared" si="13"/>
        <v>0</v>
      </c>
      <c r="AI20" s="114"/>
      <c r="AK20" s="114">
        <f t="shared" si="15"/>
        <v>587.9</v>
      </c>
      <c r="AL20" s="114"/>
      <c r="AM20" s="115"/>
      <c r="AN20" s="50">
        <f t="shared" si="21"/>
        <v>129.30000000000001</v>
      </c>
      <c r="AO20" s="242"/>
      <c r="AP20" s="50">
        <f t="shared" si="23"/>
        <v>31.2</v>
      </c>
      <c r="AQ20" s="50">
        <f t="shared" si="16"/>
        <v>160.5</v>
      </c>
    </row>
    <row r="21" spans="1:45" x14ac:dyDescent="0.2">
      <c r="A21" s="284">
        <v>13</v>
      </c>
      <c r="B21" s="243" t="s">
        <v>42</v>
      </c>
      <c r="C21" s="127">
        <v>1</v>
      </c>
      <c r="D21" s="237">
        <v>11.061999999999999</v>
      </c>
      <c r="E21" s="111">
        <f t="shared" si="0"/>
        <v>11.06</v>
      </c>
      <c r="F21" s="95">
        <f t="shared" si="1"/>
        <v>132.69999999999999</v>
      </c>
      <c r="G21" s="95"/>
      <c r="H21" s="95">
        <f>7789.1/1000</f>
        <v>7.8</v>
      </c>
      <c r="I21" s="95"/>
      <c r="J21" s="95"/>
      <c r="K21" s="95">
        <f>F21*0.3+D21*0.05*2</f>
        <v>40.9</v>
      </c>
      <c r="L21" s="95">
        <f t="shared" si="18"/>
        <v>20.5</v>
      </c>
      <c r="M21" s="95">
        <f t="shared" si="2"/>
        <v>201.9</v>
      </c>
      <c r="N21" s="111">
        <v>0.43</v>
      </c>
      <c r="O21" s="95">
        <f t="shared" si="3"/>
        <v>86.8</v>
      </c>
      <c r="P21" s="95">
        <f t="shared" si="4"/>
        <v>288.7</v>
      </c>
      <c r="Q21" s="95">
        <f t="shared" si="5"/>
        <v>231</v>
      </c>
      <c r="R21" s="95">
        <f t="shared" si="6"/>
        <v>231</v>
      </c>
      <c r="S21" s="95">
        <f t="shared" si="7"/>
        <v>24</v>
      </c>
      <c r="T21" s="95">
        <f t="shared" si="8"/>
        <v>774.7</v>
      </c>
      <c r="U21" s="1827"/>
      <c r="V21" s="95">
        <f t="shared" si="20"/>
        <v>774.7</v>
      </c>
      <c r="W21" s="95">
        <f t="shared" si="22"/>
        <v>234</v>
      </c>
      <c r="X21" s="284"/>
      <c r="Y21" s="112">
        <v>30</v>
      </c>
      <c r="Z21" s="113">
        <f t="shared" si="9"/>
        <v>0</v>
      </c>
      <c r="AA21" s="127"/>
      <c r="AB21" s="112">
        <v>15</v>
      </c>
      <c r="AC21" s="113">
        <f t="shared" si="10"/>
        <v>0</v>
      </c>
      <c r="AD21" s="127"/>
      <c r="AE21" s="112">
        <v>30</v>
      </c>
      <c r="AF21" s="113">
        <f t="shared" si="11"/>
        <v>0</v>
      </c>
      <c r="AG21" s="113">
        <f t="shared" si="12"/>
        <v>0</v>
      </c>
      <c r="AH21" s="113">
        <f t="shared" si="13"/>
        <v>0</v>
      </c>
      <c r="AI21" s="114">
        <f>V21/12/C21*1000</f>
        <v>64558.3</v>
      </c>
      <c r="AK21" s="114">
        <f t="shared" si="15"/>
        <v>774.7</v>
      </c>
      <c r="AL21" s="114">
        <f t="shared" si="19"/>
        <v>258.5</v>
      </c>
      <c r="AM21" s="115">
        <v>0.30199999999999999</v>
      </c>
      <c r="AN21" s="50">
        <f t="shared" si="21"/>
        <v>170.4</v>
      </c>
      <c r="AO21" s="244"/>
      <c r="AP21" s="50">
        <f t="shared" si="23"/>
        <v>41.1</v>
      </c>
      <c r="AQ21" s="50">
        <f t="shared" si="16"/>
        <v>211.5</v>
      </c>
      <c r="AS21" s="99">
        <f>D21*1.5</f>
        <v>16.593</v>
      </c>
    </row>
    <row r="22" spans="1:45" x14ac:dyDescent="0.2">
      <c r="A22" s="284">
        <v>14</v>
      </c>
      <c r="B22" s="236" t="s">
        <v>33</v>
      </c>
      <c r="C22" s="127">
        <v>1</v>
      </c>
      <c r="D22" s="237">
        <v>8.4730000000000008</v>
      </c>
      <c r="E22" s="111">
        <f t="shared" si="0"/>
        <v>8.4700000000000006</v>
      </c>
      <c r="F22" s="95">
        <f t="shared" si="1"/>
        <v>101.6</v>
      </c>
      <c r="G22" s="95">
        <f>18010.1/1000</f>
        <v>18</v>
      </c>
      <c r="H22" s="95">
        <f>4474.6/1000</f>
        <v>4.5</v>
      </c>
      <c r="I22" s="95"/>
      <c r="J22" s="95"/>
      <c r="K22" s="95">
        <f>F22*0.25</f>
        <v>25.4</v>
      </c>
      <c r="L22" s="95">
        <f t="shared" si="18"/>
        <v>15.7</v>
      </c>
      <c r="M22" s="95">
        <f t="shared" si="2"/>
        <v>165.2</v>
      </c>
      <c r="N22" s="111">
        <v>0.41</v>
      </c>
      <c r="O22" s="95">
        <f t="shared" si="3"/>
        <v>67.7</v>
      </c>
      <c r="P22" s="95">
        <f t="shared" si="4"/>
        <v>232.9</v>
      </c>
      <c r="Q22" s="95">
        <f t="shared" si="5"/>
        <v>186.3</v>
      </c>
      <c r="R22" s="95">
        <f t="shared" si="6"/>
        <v>186.3</v>
      </c>
      <c r="S22" s="95">
        <f t="shared" si="7"/>
        <v>19.399999999999999</v>
      </c>
      <c r="T22" s="95">
        <f t="shared" si="8"/>
        <v>624.9</v>
      </c>
      <c r="U22" s="1827"/>
      <c r="V22" s="95">
        <f t="shared" si="20"/>
        <v>624.9</v>
      </c>
      <c r="W22" s="95">
        <f t="shared" si="22"/>
        <v>188.7</v>
      </c>
      <c r="X22" s="238"/>
      <c r="Y22" s="240">
        <v>30</v>
      </c>
      <c r="Z22" s="241">
        <f t="shared" si="9"/>
        <v>0</v>
      </c>
      <c r="AA22" s="238"/>
      <c r="AB22" s="240">
        <v>15</v>
      </c>
      <c r="AC22" s="241">
        <f t="shared" si="10"/>
        <v>0</v>
      </c>
      <c r="AD22" s="238"/>
      <c r="AE22" s="240">
        <v>30</v>
      </c>
      <c r="AF22" s="241">
        <f t="shared" si="11"/>
        <v>0</v>
      </c>
      <c r="AG22" s="241">
        <f t="shared" si="12"/>
        <v>0</v>
      </c>
      <c r="AH22" s="241">
        <f t="shared" si="13"/>
        <v>0</v>
      </c>
      <c r="AI22" s="114">
        <f>V22/12/C22*1000</f>
        <v>52075</v>
      </c>
      <c r="AK22" s="114">
        <f t="shared" si="15"/>
        <v>624.9</v>
      </c>
      <c r="AL22" s="114">
        <f t="shared" si="19"/>
        <v>231.2</v>
      </c>
      <c r="AM22" s="115">
        <v>0.30199999999999999</v>
      </c>
      <c r="AN22" s="50">
        <f t="shared" si="21"/>
        <v>137.5</v>
      </c>
      <c r="AO22" s="244"/>
      <c r="AP22" s="50">
        <f t="shared" si="23"/>
        <v>33.1</v>
      </c>
      <c r="AQ22" s="50">
        <f t="shared" si="16"/>
        <v>170.6</v>
      </c>
      <c r="AR22" s="245"/>
      <c r="AS22" s="99">
        <f>D22*1.5</f>
        <v>12.7095</v>
      </c>
    </row>
    <row r="23" spans="1:45" s="245" customFormat="1" x14ac:dyDescent="0.2">
      <c r="A23" s="284">
        <v>15</v>
      </c>
      <c r="B23" s="236" t="s">
        <v>58</v>
      </c>
      <c r="C23" s="246">
        <v>1</v>
      </c>
      <c r="D23" s="247">
        <v>11.061999999999999</v>
      </c>
      <c r="E23" s="111">
        <f t="shared" si="0"/>
        <v>11.06</v>
      </c>
      <c r="F23" s="95">
        <f t="shared" si="1"/>
        <v>132.69999999999999</v>
      </c>
      <c r="G23" s="248"/>
      <c r="H23" s="248"/>
      <c r="I23" s="248"/>
      <c r="J23" s="248"/>
      <c r="K23" s="248"/>
      <c r="L23" s="95">
        <f t="shared" si="18"/>
        <v>20.5</v>
      </c>
      <c r="M23" s="95">
        <f t="shared" si="2"/>
        <v>153.19999999999999</v>
      </c>
      <c r="N23" s="111">
        <v>0.43</v>
      </c>
      <c r="O23" s="95">
        <f t="shared" si="3"/>
        <v>65.900000000000006</v>
      </c>
      <c r="P23" s="95">
        <f t="shared" si="4"/>
        <v>219.1</v>
      </c>
      <c r="Q23" s="95">
        <f t="shared" si="5"/>
        <v>175.3</v>
      </c>
      <c r="R23" s="95">
        <f t="shared" si="6"/>
        <v>175.3</v>
      </c>
      <c r="S23" s="95">
        <f t="shared" si="7"/>
        <v>18.2</v>
      </c>
      <c r="T23" s="95">
        <f t="shared" si="8"/>
        <v>587.9</v>
      </c>
      <c r="U23" s="1827"/>
      <c r="V23" s="95">
        <f t="shared" si="20"/>
        <v>587.9</v>
      </c>
      <c r="W23" s="95">
        <f t="shared" si="22"/>
        <v>177.5</v>
      </c>
      <c r="X23" s="246"/>
      <c r="Y23" s="240">
        <v>30</v>
      </c>
      <c r="Z23" s="241">
        <f t="shared" si="9"/>
        <v>0</v>
      </c>
      <c r="AA23" s="246"/>
      <c r="AB23" s="240">
        <v>15</v>
      </c>
      <c r="AC23" s="241">
        <f t="shared" si="10"/>
        <v>0</v>
      </c>
      <c r="AD23" s="246"/>
      <c r="AE23" s="240">
        <v>30</v>
      </c>
      <c r="AF23" s="241">
        <f t="shared" si="11"/>
        <v>0</v>
      </c>
      <c r="AG23" s="241">
        <f t="shared" si="12"/>
        <v>0</v>
      </c>
      <c r="AH23" s="241">
        <f t="shared" si="13"/>
        <v>0</v>
      </c>
      <c r="AI23" s="114"/>
      <c r="AK23" s="114">
        <f t="shared" si="15"/>
        <v>587.9</v>
      </c>
      <c r="AL23" s="114"/>
      <c r="AM23" s="115"/>
      <c r="AN23" s="50">
        <f t="shared" si="21"/>
        <v>129.30000000000001</v>
      </c>
      <c r="AO23" s="211"/>
      <c r="AP23" s="50">
        <f t="shared" si="23"/>
        <v>31.2</v>
      </c>
      <c r="AQ23" s="50">
        <f t="shared" si="16"/>
        <v>160.5</v>
      </c>
      <c r="AR23" s="99"/>
      <c r="AS23" s="99"/>
    </row>
    <row r="24" spans="1:45" s="252" customFormat="1" ht="25.5" x14ac:dyDescent="0.2">
      <c r="A24" s="284">
        <v>16</v>
      </c>
      <c r="B24" s="236" t="s">
        <v>102</v>
      </c>
      <c r="C24" s="238">
        <v>1</v>
      </c>
      <c r="D24" s="237">
        <v>4.3769999999999998</v>
      </c>
      <c r="E24" s="249">
        <f t="shared" si="0"/>
        <v>4.38</v>
      </c>
      <c r="F24" s="170">
        <f t="shared" si="1"/>
        <v>52.6</v>
      </c>
      <c r="G24" s="248"/>
      <c r="H24" s="248"/>
      <c r="I24" s="248"/>
      <c r="J24" s="248"/>
      <c r="K24" s="248"/>
      <c r="L24" s="95">
        <v>35.200000000000003</v>
      </c>
      <c r="M24" s="248">
        <f t="shared" si="2"/>
        <v>87.8</v>
      </c>
      <c r="N24" s="111">
        <v>0.49</v>
      </c>
      <c r="O24" s="248">
        <f t="shared" si="3"/>
        <v>43</v>
      </c>
      <c r="P24" s="248">
        <f t="shared" si="4"/>
        <v>130.80000000000001</v>
      </c>
      <c r="Q24" s="248">
        <f t="shared" si="5"/>
        <v>104.6</v>
      </c>
      <c r="R24" s="95">
        <f t="shared" si="6"/>
        <v>104.6</v>
      </c>
      <c r="S24" s="248">
        <f t="shared" si="7"/>
        <v>10.9</v>
      </c>
      <c r="T24" s="248">
        <f t="shared" si="8"/>
        <v>350.9</v>
      </c>
      <c r="U24" s="1828"/>
      <c r="V24" s="250">
        <f>T24*$U$9-0.3</f>
        <v>350.6</v>
      </c>
      <c r="W24" s="95">
        <f t="shared" si="22"/>
        <v>105.9</v>
      </c>
      <c r="X24" s="251">
        <v>1</v>
      </c>
      <c r="Y24" s="112">
        <v>30</v>
      </c>
      <c r="Z24" s="113">
        <f t="shared" si="9"/>
        <v>30</v>
      </c>
      <c r="AA24" s="251"/>
      <c r="AB24" s="112">
        <v>15</v>
      </c>
      <c r="AC24" s="113">
        <f t="shared" si="10"/>
        <v>0</v>
      </c>
      <c r="AD24" s="251"/>
      <c r="AE24" s="112">
        <v>30</v>
      </c>
      <c r="AF24" s="113">
        <f t="shared" si="11"/>
        <v>0</v>
      </c>
      <c r="AG24" s="113">
        <f t="shared" si="12"/>
        <v>9</v>
      </c>
      <c r="AH24" s="113">
        <f t="shared" si="13"/>
        <v>39</v>
      </c>
      <c r="AI24" s="114">
        <f>V24/12/C24*1000</f>
        <v>29216.7</v>
      </c>
      <c r="AK24" s="114">
        <f t="shared" si="15"/>
        <v>350.6</v>
      </c>
      <c r="AL24" s="114">
        <f t="shared" si="19"/>
        <v>181.3</v>
      </c>
      <c r="AM24" s="115">
        <v>0.30199999999999999</v>
      </c>
      <c r="AN24" s="50">
        <f t="shared" si="21"/>
        <v>77.099999999999994</v>
      </c>
      <c r="AO24" s="211"/>
      <c r="AP24" s="50">
        <f t="shared" si="23"/>
        <v>18.600000000000001</v>
      </c>
      <c r="AQ24" s="50">
        <f t="shared" si="16"/>
        <v>95.7</v>
      </c>
      <c r="AR24" s="99"/>
      <c r="AS24" s="99">
        <f>D24*1.5</f>
        <v>6.5655000000000001</v>
      </c>
    </row>
    <row r="25" spans="1:45" s="98" customFormat="1" ht="20.25" customHeight="1" x14ac:dyDescent="0.2">
      <c r="A25" s="1825" t="s">
        <v>8</v>
      </c>
      <c r="B25" s="1825"/>
      <c r="C25" s="253">
        <f t="shared" ref="C25:M25" si="24">SUM(C9:C24)</f>
        <v>19</v>
      </c>
      <c r="D25" s="254">
        <f t="shared" si="24"/>
        <v>171.5</v>
      </c>
      <c r="E25" s="254">
        <f t="shared" si="24"/>
        <v>204.7</v>
      </c>
      <c r="F25" s="254">
        <f t="shared" si="24"/>
        <v>2455.8000000000002</v>
      </c>
      <c r="G25" s="254">
        <f t="shared" si="24"/>
        <v>18</v>
      </c>
      <c r="H25" s="254">
        <f t="shared" si="24"/>
        <v>76.7</v>
      </c>
      <c r="I25" s="254">
        <f t="shared" si="24"/>
        <v>0</v>
      </c>
      <c r="J25" s="254">
        <f t="shared" si="24"/>
        <v>2.5</v>
      </c>
      <c r="K25" s="254">
        <f t="shared" si="24"/>
        <v>868.2</v>
      </c>
      <c r="L25" s="254">
        <f t="shared" si="24"/>
        <v>406.5</v>
      </c>
      <c r="M25" s="254">
        <f t="shared" si="24"/>
        <v>3827.7</v>
      </c>
      <c r="N25" s="254"/>
      <c r="O25" s="254">
        <f t="shared" ref="O25:AH25" si="25">SUM(O9:O24)</f>
        <v>1659.4</v>
      </c>
      <c r="P25" s="254">
        <f t="shared" si="25"/>
        <v>5487.1</v>
      </c>
      <c r="Q25" s="254">
        <f t="shared" si="25"/>
        <v>4389.7</v>
      </c>
      <c r="R25" s="254">
        <f t="shared" si="25"/>
        <v>4389.7</v>
      </c>
      <c r="S25" s="254">
        <f t="shared" si="25"/>
        <v>456.3</v>
      </c>
      <c r="T25" s="254">
        <f t="shared" si="25"/>
        <v>14722.8</v>
      </c>
      <c r="U25" s="254">
        <f t="shared" si="25"/>
        <v>1</v>
      </c>
      <c r="V25" s="254">
        <f t="shared" si="25"/>
        <v>14722.5</v>
      </c>
      <c r="W25" s="254">
        <f t="shared" si="25"/>
        <v>4305.6000000000004</v>
      </c>
      <c r="X25" s="254">
        <f t="shared" si="25"/>
        <v>7</v>
      </c>
      <c r="Y25" s="254">
        <f t="shared" si="25"/>
        <v>480</v>
      </c>
      <c r="Z25" s="254">
        <f t="shared" si="25"/>
        <v>210</v>
      </c>
      <c r="AA25" s="254">
        <f t="shared" si="25"/>
        <v>1</v>
      </c>
      <c r="AB25" s="254">
        <f t="shared" si="25"/>
        <v>240</v>
      </c>
      <c r="AC25" s="254">
        <f t="shared" si="25"/>
        <v>15</v>
      </c>
      <c r="AD25" s="254">
        <f t="shared" si="25"/>
        <v>2</v>
      </c>
      <c r="AE25" s="254">
        <f t="shared" si="25"/>
        <v>480</v>
      </c>
      <c r="AF25" s="254">
        <f t="shared" si="25"/>
        <v>60</v>
      </c>
      <c r="AG25" s="254">
        <f t="shared" si="25"/>
        <v>85.5</v>
      </c>
      <c r="AH25" s="254">
        <f t="shared" si="25"/>
        <v>370.5</v>
      </c>
      <c r="AI25" s="114"/>
      <c r="AN25" s="211"/>
      <c r="AO25" s="211"/>
      <c r="AP25" s="211"/>
      <c r="AQ25" s="211"/>
      <c r="AR25" s="99"/>
      <c r="AS25" s="99"/>
    </row>
    <row r="26" spans="1:45" x14ac:dyDescent="0.2">
      <c r="G26" s="131"/>
      <c r="H26" s="131"/>
      <c r="I26" s="131"/>
      <c r="J26" s="131"/>
      <c r="K26" s="131"/>
      <c r="L26" s="131"/>
      <c r="M26" s="131"/>
      <c r="N26" s="131"/>
      <c r="O26" s="131"/>
      <c r="P26" s="131"/>
      <c r="Q26" s="131"/>
      <c r="R26" s="131"/>
      <c r="S26" s="131"/>
      <c r="T26" s="131"/>
      <c r="V26" s="114"/>
      <c r="W26" s="66"/>
      <c r="X26" s="131"/>
      <c r="AA26" s="131"/>
      <c r="AD26" s="131"/>
      <c r="AG26" s="131"/>
      <c r="AH26" s="131"/>
      <c r="AO26" s="50"/>
      <c r="AP26" s="50"/>
      <c r="AQ26" s="50"/>
    </row>
    <row r="27" spans="1:45" x14ac:dyDescent="0.2">
      <c r="B27" s="255"/>
      <c r="C27" s="256"/>
      <c r="D27" s="256"/>
      <c r="E27" s="257"/>
      <c r="F27" s="257"/>
      <c r="G27" s="257"/>
      <c r="H27" s="257"/>
      <c r="I27" s="133"/>
      <c r="J27" s="131"/>
      <c r="K27" s="131"/>
      <c r="L27" s="131"/>
      <c r="M27" s="131"/>
      <c r="N27" s="131"/>
      <c r="O27" s="131"/>
      <c r="P27" s="131"/>
      <c r="Q27" s="131"/>
      <c r="R27" s="131"/>
      <c r="S27" s="131"/>
      <c r="T27" s="131"/>
      <c r="V27" s="114"/>
      <c r="W27" s="114"/>
      <c r="X27" s="131"/>
      <c r="AA27" s="131"/>
      <c r="AD27" s="131"/>
      <c r="AE27" s="131"/>
    </row>
    <row r="28" spans="1:45" s="75" customFormat="1" x14ac:dyDescent="0.2">
      <c r="A28" s="70"/>
      <c r="B28" s="70"/>
      <c r="C28" s="71"/>
      <c r="D28" s="72"/>
      <c r="E28" s="72"/>
      <c r="F28" s="72"/>
      <c r="G28" s="72"/>
      <c r="H28" s="73"/>
      <c r="I28" s="73"/>
      <c r="J28" s="27"/>
      <c r="K28" s="27"/>
      <c r="L28" s="27"/>
      <c r="M28" s="27"/>
      <c r="N28" s="74"/>
      <c r="O28" s="27"/>
      <c r="P28" s="27"/>
      <c r="Q28" s="27"/>
      <c r="R28" s="27"/>
      <c r="S28" s="27"/>
      <c r="T28" s="27"/>
      <c r="U28" s="27"/>
      <c r="V28" s="27"/>
      <c r="W28" s="27"/>
      <c r="X28" s="27"/>
      <c r="Y28" s="27"/>
      <c r="Z28" s="27"/>
      <c r="AA28" s="27"/>
      <c r="AB28" s="27"/>
      <c r="AC28" s="27"/>
      <c r="AD28" s="27"/>
      <c r="AE28" s="27"/>
      <c r="AF28" s="27"/>
      <c r="AG28" s="27"/>
      <c r="AH28" s="27"/>
      <c r="AI28" s="27"/>
      <c r="AJ28" s="76"/>
      <c r="AN28" s="76"/>
      <c r="AO28" s="76"/>
      <c r="AP28" s="76"/>
      <c r="AQ28" s="76"/>
      <c r="AR28" s="76"/>
    </row>
    <row r="29" spans="1:45" s="75" customFormat="1" ht="59.25" customHeight="1" x14ac:dyDescent="0.2">
      <c r="A29" s="70"/>
      <c r="B29" s="70"/>
      <c r="C29" s="71"/>
      <c r="D29" s="77"/>
      <c r="E29" s="77"/>
      <c r="F29" s="27"/>
      <c r="G29" s="1438" t="s">
        <v>140</v>
      </c>
      <c r="H29" s="1438"/>
      <c r="I29" s="1438" t="s">
        <v>145</v>
      </c>
      <c r="J29" s="1438"/>
      <c r="K29" s="1438" t="s">
        <v>128</v>
      </c>
      <c r="L29" s="1438"/>
      <c r="Q29" s="27"/>
      <c r="R29" s="27"/>
      <c r="S29" s="27"/>
      <c r="T29" s="27"/>
      <c r="U29" s="27"/>
      <c r="V29" s="27"/>
      <c r="W29" s="27"/>
      <c r="X29" s="27"/>
      <c r="Y29" s="27"/>
      <c r="Z29" s="27"/>
      <c r="AA29" s="27"/>
      <c r="AB29" s="27"/>
      <c r="AC29" s="27"/>
      <c r="AD29" s="27"/>
      <c r="AE29" s="27"/>
      <c r="AF29" s="27"/>
      <c r="AG29" s="27"/>
      <c r="AH29" s="27"/>
      <c r="AI29" s="27"/>
      <c r="AJ29" s="76"/>
      <c r="AN29" s="76"/>
      <c r="AO29" s="76"/>
      <c r="AP29" s="76"/>
      <c r="AQ29" s="76"/>
      <c r="AR29" s="76"/>
    </row>
    <row r="30" spans="1:45" s="75" customFormat="1" x14ac:dyDescent="0.2">
      <c r="A30" s="70"/>
      <c r="B30" s="70"/>
      <c r="C30" s="71"/>
      <c r="D30" s="77"/>
      <c r="E30" s="77"/>
      <c r="F30" s="27"/>
      <c r="G30" s="279">
        <v>991</v>
      </c>
      <c r="H30" s="279">
        <v>992</v>
      </c>
      <c r="I30" s="279">
        <v>991</v>
      </c>
      <c r="J30" s="279">
        <v>992</v>
      </c>
      <c r="K30" s="279">
        <v>991</v>
      </c>
      <c r="L30" s="279">
        <v>992</v>
      </c>
      <c r="Q30" s="27"/>
      <c r="R30" s="27"/>
      <c r="S30" s="27"/>
      <c r="T30" s="27"/>
      <c r="U30" s="27"/>
      <c r="V30" s="27"/>
      <c r="W30" s="27"/>
      <c r="X30" s="27"/>
      <c r="Y30" s="27"/>
      <c r="Z30" s="27"/>
      <c r="AA30" s="27"/>
      <c r="AB30" s="27"/>
      <c r="AC30" s="27"/>
      <c r="AD30" s="27"/>
      <c r="AE30" s="27"/>
      <c r="AF30" s="27"/>
      <c r="AG30" s="27"/>
      <c r="AH30" s="27"/>
      <c r="AI30" s="27"/>
      <c r="AJ30" s="76"/>
      <c r="AN30" s="76"/>
      <c r="AO30" s="76"/>
      <c r="AP30" s="76"/>
      <c r="AQ30" s="76"/>
      <c r="AR30" s="76"/>
    </row>
    <row r="31" spans="1:45" s="75" customFormat="1" x14ac:dyDescent="0.2">
      <c r="A31" s="70"/>
      <c r="B31" s="70"/>
      <c r="C31" s="71"/>
      <c r="D31" s="77"/>
      <c r="E31" s="77"/>
      <c r="F31" s="27"/>
      <c r="G31" s="29">
        <v>14722.5</v>
      </c>
      <c r="H31" s="29">
        <v>4245.1000000000004</v>
      </c>
      <c r="I31" s="29">
        <f>V25</f>
        <v>14722.5</v>
      </c>
      <c r="J31" s="29">
        <f>W25</f>
        <v>4305.6000000000004</v>
      </c>
      <c r="K31" s="29">
        <f>G31-I31</f>
        <v>0</v>
      </c>
      <c r="L31" s="29">
        <f>H31-J31</f>
        <v>-60.5</v>
      </c>
      <c r="Q31" s="27"/>
      <c r="R31" s="27"/>
      <c r="S31" s="27"/>
      <c r="T31" s="27"/>
      <c r="U31" s="27"/>
      <c r="V31" s="27"/>
      <c r="W31" s="27"/>
      <c r="X31" s="27"/>
      <c r="Y31" s="27"/>
      <c r="Z31" s="27"/>
      <c r="AA31" s="27"/>
      <c r="AB31" s="27"/>
      <c r="AC31" s="27"/>
      <c r="AD31" s="27"/>
      <c r="AE31" s="27"/>
      <c r="AF31" s="27"/>
      <c r="AG31" s="27"/>
      <c r="AH31" s="27"/>
      <c r="AI31" s="27"/>
      <c r="AJ31" s="76"/>
      <c r="AN31" s="76"/>
      <c r="AO31" s="76"/>
      <c r="AP31" s="76"/>
      <c r="AQ31" s="76"/>
      <c r="AR31" s="76"/>
    </row>
    <row r="32" spans="1:45" s="75" customFormat="1" x14ac:dyDescent="0.2">
      <c r="A32" s="70"/>
      <c r="B32" s="70"/>
      <c r="C32" s="71"/>
      <c r="D32" s="77"/>
      <c r="E32" s="77"/>
      <c r="F32" s="27"/>
      <c r="G32" s="27"/>
      <c r="H32" s="80"/>
      <c r="I32" s="27"/>
      <c r="J32" s="80"/>
      <c r="K32" s="27"/>
      <c r="L32" s="27"/>
      <c r="M32" s="27"/>
      <c r="N32" s="74"/>
      <c r="O32" s="27"/>
      <c r="P32" s="27"/>
      <c r="Q32" s="27"/>
      <c r="R32" s="27"/>
      <c r="S32" s="27"/>
      <c r="T32" s="27"/>
      <c r="U32" s="27"/>
      <c r="V32" s="27"/>
      <c r="W32" s="27"/>
      <c r="X32" s="27"/>
      <c r="Y32" s="27"/>
      <c r="Z32" s="27"/>
      <c r="AA32" s="27"/>
      <c r="AB32" s="27"/>
      <c r="AC32" s="27"/>
      <c r="AD32" s="27"/>
      <c r="AE32" s="27"/>
      <c r="AF32" s="27"/>
      <c r="AG32" s="27"/>
      <c r="AH32" s="27"/>
      <c r="AI32" s="27"/>
      <c r="AJ32" s="76"/>
      <c r="AN32" s="76"/>
      <c r="AO32" s="76"/>
      <c r="AP32" s="76"/>
      <c r="AQ32" s="76"/>
      <c r="AR32" s="76"/>
    </row>
    <row r="33" spans="1:44" s="75" customFormat="1" x14ac:dyDescent="0.2">
      <c r="A33" s="70"/>
      <c r="B33" s="70"/>
      <c r="C33" s="71"/>
      <c r="D33" s="77"/>
      <c r="E33" s="77"/>
      <c r="F33" s="27"/>
      <c r="G33" s="27"/>
      <c r="H33" s="80"/>
      <c r="I33" s="27"/>
      <c r="J33" s="80"/>
      <c r="K33" s="27"/>
      <c r="L33" s="27"/>
      <c r="M33" s="27"/>
      <c r="N33" s="74"/>
      <c r="O33" s="27"/>
      <c r="P33" s="27"/>
      <c r="Q33" s="27"/>
      <c r="R33" s="27"/>
      <c r="S33" s="27"/>
      <c r="T33" s="27"/>
      <c r="U33" s="27"/>
      <c r="V33" s="27"/>
      <c r="W33" s="27"/>
      <c r="X33" s="27"/>
      <c r="Y33" s="27"/>
      <c r="Z33" s="27"/>
      <c r="AA33" s="27"/>
      <c r="AB33" s="27"/>
      <c r="AC33" s="27"/>
      <c r="AD33" s="27"/>
      <c r="AE33" s="27"/>
      <c r="AF33" s="27"/>
      <c r="AG33" s="27"/>
      <c r="AH33" s="27"/>
      <c r="AI33" s="27"/>
      <c r="AJ33" s="76"/>
      <c r="AN33" s="76"/>
      <c r="AO33" s="76"/>
      <c r="AP33" s="76"/>
      <c r="AQ33" s="76"/>
      <c r="AR33" s="76"/>
    </row>
    <row r="34" spans="1:44" s="75" customFormat="1" x14ac:dyDescent="0.2">
      <c r="A34" s="70"/>
      <c r="B34" s="70"/>
      <c r="C34" s="71"/>
      <c r="D34" s="77"/>
      <c r="E34" s="77"/>
      <c r="F34" s="27"/>
      <c r="G34" s="27"/>
      <c r="H34" s="80"/>
      <c r="I34" s="27"/>
      <c r="J34" s="80"/>
      <c r="K34" s="27"/>
      <c r="L34" s="27"/>
      <c r="M34" s="27"/>
      <c r="N34" s="74"/>
      <c r="O34" s="27"/>
      <c r="P34" s="27"/>
      <c r="Q34" s="27"/>
      <c r="R34" s="27"/>
      <c r="S34" s="27"/>
      <c r="T34" s="27"/>
      <c r="U34" s="27"/>
      <c r="V34" s="27"/>
      <c r="W34" s="27"/>
      <c r="X34" s="27"/>
      <c r="Y34" s="27"/>
      <c r="Z34" s="27"/>
      <c r="AA34" s="27"/>
      <c r="AB34" s="27"/>
      <c r="AC34" s="27"/>
      <c r="AD34" s="27"/>
      <c r="AE34" s="27"/>
      <c r="AF34" s="27"/>
      <c r="AG34" s="27"/>
      <c r="AH34" s="27"/>
      <c r="AI34" s="27"/>
      <c r="AJ34" s="76"/>
      <c r="AN34" s="76"/>
      <c r="AO34" s="76"/>
      <c r="AP34" s="76"/>
      <c r="AQ34" s="76"/>
      <c r="AR34" s="76"/>
    </row>
    <row r="35" spans="1:44" s="75" customFormat="1" x14ac:dyDescent="0.2">
      <c r="A35" s="70"/>
      <c r="B35" s="70"/>
      <c r="C35" s="71"/>
      <c r="D35" s="77"/>
      <c r="E35" s="77"/>
      <c r="F35" s="27"/>
      <c r="G35" s="27"/>
      <c r="H35" s="80"/>
      <c r="I35" s="27"/>
      <c r="J35" s="80"/>
      <c r="K35" s="27"/>
      <c r="L35" s="27"/>
      <c r="M35" s="27"/>
      <c r="N35" s="74"/>
      <c r="O35" s="27"/>
      <c r="P35" s="27"/>
      <c r="Q35" s="27"/>
      <c r="R35" s="27"/>
      <c r="S35" s="27"/>
      <c r="T35" s="27"/>
      <c r="U35" s="27"/>
      <c r="V35" s="27"/>
      <c r="W35" s="27"/>
      <c r="X35" s="27"/>
      <c r="Y35" s="27"/>
      <c r="Z35" s="27"/>
      <c r="AA35" s="27"/>
      <c r="AB35" s="27"/>
      <c r="AC35" s="27"/>
      <c r="AD35" s="27"/>
      <c r="AE35" s="27"/>
      <c r="AF35" s="27"/>
      <c r="AG35" s="27"/>
      <c r="AH35" s="27"/>
      <c r="AI35" s="27"/>
      <c r="AJ35" s="76"/>
      <c r="AN35" s="76"/>
      <c r="AO35" s="76"/>
      <c r="AP35" s="76"/>
      <c r="AQ35" s="76"/>
      <c r="AR35" s="76"/>
    </row>
    <row r="36" spans="1:44" s="282" customFormat="1" ht="20.25" x14ac:dyDescent="0.2">
      <c r="A36" s="81"/>
      <c r="B36" s="82" t="s">
        <v>138</v>
      </c>
      <c r="C36" s="83"/>
      <c r="D36" s="84"/>
      <c r="E36" s="84"/>
      <c r="F36" s="85"/>
      <c r="G36" s="85"/>
      <c r="H36" s="86"/>
      <c r="I36" s="86"/>
      <c r="J36" s="85"/>
      <c r="K36" s="30" t="s">
        <v>166</v>
      </c>
      <c r="L36" s="85"/>
      <c r="M36" s="85"/>
      <c r="N36" s="87"/>
      <c r="O36" s="85"/>
      <c r="P36" s="85"/>
      <c r="Q36" s="85"/>
      <c r="R36" s="85"/>
      <c r="S36" s="85"/>
      <c r="T36" s="85"/>
      <c r="U36" s="85"/>
      <c r="V36" s="85"/>
      <c r="W36" s="85"/>
      <c r="X36" s="85"/>
      <c r="Y36" s="85"/>
      <c r="Z36" s="85"/>
      <c r="AA36" s="85"/>
      <c r="AB36" s="85"/>
      <c r="AC36" s="85"/>
      <c r="AD36" s="85"/>
      <c r="AE36" s="85"/>
      <c r="AF36" s="85"/>
      <c r="AG36" s="85"/>
      <c r="AH36" s="85"/>
      <c r="AI36" s="85"/>
      <c r="AK36" s="88"/>
      <c r="AL36" s="88"/>
      <c r="AM36" s="88"/>
      <c r="AN36" s="88"/>
      <c r="AO36" s="88"/>
    </row>
    <row r="37" spans="1:44" s="143" customFormat="1" x14ac:dyDescent="0.2">
      <c r="A37" s="136"/>
      <c r="B37" s="136"/>
      <c r="C37" s="137"/>
      <c r="D37" s="144"/>
      <c r="E37" s="144"/>
      <c r="F37" s="140"/>
      <c r="G37" s="140"/>
      <c r="H37" s="139"/>
      <c r="I37" s="139"/>
      <c r="J37" s="140"/>
      <c r="K37" s="140"/>
      <c r="L37" s="140"/>
      <c r="M37" s="140"/>
      <c r="N37" s="141"/>
      <c r="O37" s="140"/>
      <c r="P37" s="140"/>
      <c r="Q37" s="140"/>
      <c r="R37" s="140"/>
      <c r="S37" s="140"/>
      <c r="T37" s="140"/>
      <c r="U37" s="140"/>
      <c r="V37" s="140"/>
      <c r="W37" s="140"/>
      <c r="X37" s="140"/>
      <c r="Y37" s="140"/>
      <c r="Z37" s="140"/>
      <c r="AA37" s="140"/>
      <c r="AB37" s="140"/>
      <c r="AC37" s="140"/>
      <c r="AD37" s="140"/>
      <c r="AE37" s="140"/>
      <c r="AF37" s="142"/>
      <c r="AK37" s="142"/>
      <c r="AL37" s="142"/>
      <c r="AM37" s="142"/>
      <c r="AN37" s="76"/>
      <c r="AO37" s="76"/>
      <c r="AP37" s="76"/>
      <c r="AQ37" s="76"/>
      <c r="AR37" s="99"/>
    </row>
    <row r="38" spans="1:44" s="143" customFormat="1" x14ac:dyDescent="0.2">
      <c r="A38" s="136"/>
      <c r="B38" s="136"/>
      <c r="C38" s="137"/>
      <c r="D38" s="144"/>
      <c r="E38" s="144"/>
      <c r="F38" s="140"/>
      <c r="G38" s="140"/>
      <c r="H38" s="139"/>
      <c r="I38" s="139"/>
      <c r="J38" s="140"/>
      <c r="K38" s="140"/>
      <c r="L38" s="140"/>
      <c r="M38" s="140"/>
      <c r="N38" s="202"/>
      <c r="O38" s="203"/>
      <c r="P38" s="140"/>
      <c r="Q38" s="140"/>
      <c r="R38" s="140"/>
      <c r="S38" s="140"/>
      <c r="T38" s="140"/>
      <c r="U38" s="140"/>
      <c r="V38" s="140"/>
      <c r="W38" s="140"/>
      <c r="X38" s="140"/>
      <c r="Y38" s="140"/>
      <c r="Z38" s="140"/>
      <c r="AA38" s="140"/>
      <c r="AB38" s="140"/>
      <c r="AC38" s="140"/>
      <c r="AD38" s="140"/>
      <c r="AE38" s="140"/>
      <c r="AF38" s="142"/>
      <c r="AK38" s="142"/>
      <c r="AL38" s="142"/>
      <c r="AM38" s="142"/>
      <c r="AN38" s="76"/>
      <c r="AO38" s="76"/>
      <c r="AP38" s="76"/>
      <c r="AQ38" s="76"/>
      <c r="AR38" s="252"/>
    </row>
    <row r="39" spans="1:44" s="143" customFormat="1" ht="20.25" customHeight="1" x14ac:dyDescent="0.2">
      <c r="A39" s="145" t="s">
        <v>96</v>
      </c>
      <c r="B39" s="145"/>
      <c r="C39" s="146"/>
      <c r="D39" s="146"/>
      <c r="E39" s="146"/>
      <c r="F39" s="146"/>
      <c r="G39" s="146"/>
      <c r="H39" s="146"/>
      <c r="I39" s="146"/>
      <c r="J39" s="146"/>
      <c r="K39" s="146"/>
      <c r="L39" s="147"/>
      <c r="M39" s="147"/>
      <c r="N39" s="202"/>
      <c r="O39" s="203"/>
      <c r="P39" s="147"/>
      <c r="Q39" s="147"/>
      <c r="R39" s="147"/>
      <c r="S39" s="147"/>
      <c r="T39" s="147"/>
      <c r="U39" s="147"/>
      <c r="V39" s="147"/>
      <c r="W39" s="147"/>
      <c r="X39" s="147"/>
      <c r="Y39" s="147"/>
      <c r="Z39" s="147"/>
      <c r="AA39" s="147"/>
      <c r="AB39" s="147"/>
      <c r="AC39" s="147"/>
      <c r="AD39" s="147"/>
      <c r="AE39" s="147"/>
      <c r="AF39" s="142"/>
      <c r="AK39" s="142"/>
      <c r="AL39" s="142"/>
      <c r="AM39" s="142"/>
      <c r="AN39" s="76"/>
      <c r="AO39" s="76"/>
      <c r="AP39" s="76"/>
      <c r="AQ39" s="76"/>
      <c r="AR39" s="99"/>
    </row>
    <row r="40" spans="1:44" s="143" customFormat="1" ht="20.25" customHeight="1" x14ac:dyDescent="0.2">
      <c r="A40" s="145" t="s">
        <v>139</v>
      </c>
      <c r="B40" s="149"/>
      <c r="C40" s="150"/>
      <c r="D40" s="150"/>
      <c r="E40" s="151"/>
      <c r="F40" s="151"/>
      <c r="G40" s="151"/>
      <c r="H40" s="151"/>
      <c r="I40" s="151"/>
      <c r="J40" s="151"/>
      <c r="K40" s="151"/>
      <c r="L40" s="147"/>
      <c r="M40" s="147"/>
      <c r="N40" s="202"/>
      <c r="O40" s="203"/>
      <c r="P40" s="147"/>
      <c r="Q40" s="147"/>
      <c r="R40" s="147"/>
      <c r="S40" s="147"/>
      <c r="T40" s="147"/>
      <c r="U40" s="147"/>
      <c r="V40" s="147"/>
      <c r="W40" s="147"/>
      <c r="X40" s="147"/>
      <c r="Y40" s="147"/>
      <c r="Z40" s="147"/>
      <c r="AA40" s="147"/>
      <c r="AB40" s="147"/>
      <c r="AC40" s="147"/>
      <c r="AD40" s="147"/>
      <c r="AE40" s="147"/>
      <c r="AF40" s="142"/>
      <c r="AK40" s="142"/>
      <c r="AL40" s="142"/>
      <c r="AM40" s="142"/>
      <c r="AN40" s="76"/>
      <c r="AO40" s="76"/>
      <c r="AP40" s="76"/>
      <c r="AQ40" s="76"/>
      <c r="AR40" s="252"/>
    </row>
    <row r="41" spans="1:44" x14ac:dyDescent="0.2">
      <c r="A41" s="99"/>
      <c r="I41" s="153"/>
      <c r="J41" s="153"/>
      <c r="W41" s="131"/>
      <c r="X41" s="131"/>
      <c r="AA41" s="131"/>
      <c r="AD41" s="131"/>
      <c r="AE41" s="131"/>
      <c r="AN41" s="76"/>
      <c r="AO41" s="76"/>
      <c r="AP41" s="76"/>
      <c r="AQ41" s="76"/>
      <c r="AR41" s="98"/>
    </row>
    <row r="42" spans="1:44" ht="16.5" x14ac:dyDescent="0.2">
      <c r="A42" s="258"/>
      <c r="W42" s="131"/>
      <c r="X42" s="131"/>
      <c r="AA42" s="131"/>
      <c r="AD42" s="131"/>
      <c r="AE42" s="131"/>
    </row>
    <row r="43" spans="1:44" x14ac:dyDescent="0.2">
      <c r="AG43" s="114"/>
    </row>
    <row r="45" spans="1:44" x14ac:dyDescent="0.2">
      <c r="E45" s="115"/>
    </row>
    <row r="46" spans="1:44" x14ac:dyDescent="0.2">
      <c r="E46" s="115"/>
    </row>
    <row r="47" spans="1:44" x14ac:dyDescent="0.2">
      <c r="E47" s="115"/>
      <c r="K47" s="153"/>
    </row>
    <row r="48" spans="1:44" x14ac:dyDescent="0.2">
      <c r="A48" s="99"/>
      <c r="E48" s="115"/>
    </row>
    <row r="49" spans="1:45" x14ac:dyDescent="0.2">
      <c r="A49" s="99"/>
      <c r="E49" s="115"/>
    </row>
    <row r="50" spans="1:45" x14ac:dyDescent="0.2">
      <c r="A50" s="99"/>
      <c r="E50" s="115"/>
    </row>
    <row r="51" spans="1:45" x14ac:dyDescent="0.2">
      <c r="A51" s="99"/>
      <c r="E51" s="115"/>
    </row>
    <row r="52" spans="1:45" x14ac:dyDescent="0.2">
      <c r="A52" s="99"/>
      <c r="E52" s="115"/>
    </row>
    <row r="53" spans="1:45" x14ac:dyDescent="0.2">
      <c r="A53" s="99"/>
      <c r="E53" s="115"/>
    </row>
    <row r="54" spans="1:45" x14ac:dyDescent="0.2">
      <c r="A54" s="99"/>
      <c r="E54" s="115"/>
    </row>
    <row r="55" spans="1:45" x14ac:dyDescent="0.2">
      <c r="A55" s="99"/>
      <c r="E55" s="115"/>
    </row>
    <row r="56" spans="1:45" x14ac:dyDescent="0.2">
      <c r="A56" s="99"/>
      <c r="E56" s="115"/>
    </row>
    <row r="57" spans="1:45" x14ac:dyDescent="0.2">
      <c r="A57" s="99"/>
      <c r="E57" s="115"/>
    </row>
    <row r="58" spans="1:45" x14ac:dyDescent="0.2">
      <c r="A58" s="99"/>
      <c r="E58" s="115"/>
    </row>
    <row r="59" spans="1:45" x14ac:dyDescent="0.2">
      <c r="A59" s="99"/>
      <c r="E59" s="115"/>
    </row>
    <row r="60" spans="1:45" s="211" customFormat="1" x14ac:dyDescent="0.2">
      <c r="A60" s="99"/>
      <c r="B60" s="99"/>
      <c r="C60" s="99"/>
      <c r="D60" s="99"/>
      <c r="E60" s="115"/>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99"/>
      <c r="AR60" s="99"/>
      <c r="AS60" s="99"/>
    </row>
    <row r="61" spans="1:45" s="211" customFormat="1" x14ac:dyDescent="0.2">
      <c r="A61" s="99"/>
      <c r="B61" s="99"/>
      <c r="C61" s="99"/>
      <c r="D61" s="99"/>
      <c r="E61" s="115"/>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R61" s="99"/>
      <c r="AS61" s="99"/>
    </row>
    <row r="62" spans="1:45" s="211" customFormat="1" x14ac:dyDescent="0.2">
      <c r="A62" s="99"/>
      <c r="B62" s="99"/>
      <c r="C62" s="99"/>
      <c r="D62" s="99"/>
      <c r="E62" s="115"/>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R62" s="99"/>
      <c r="AS62" s="99"/>
    </row>
    <row r="63" spans="1:45" s="211" customFormat="1" x14ac:dyDescent="0.2">
      <c r="A63" s="99"/>
      <c r="B63" s="99"/>
      <c r="C63" s="99"/>
      <c r="D63" s="99"/>
      <c r="E63" s="115"/>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R63" s="99"/>
      <c r="AS63" s="99"/>
    </row>
    <row r="64" spans="1:45" s="211" customFormat="1" x14ac:dyDescent="0.2">
      <c r="A64" s="99"/>
      <c r="B64" s="99"/>
      <c r="C64" s="99"/>
      <c r="D64" s="99"/>
      <c r="E64" s="115"/>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R64" s="99"/>
      <c r="AS64" s="99"/>
    </row>
    <row r="65" spans="1:45" s="211" customFormat="1" x14ac:dyDescent="0.2">
      <c r="A65" s="99"/>
      <c r="B65" s="99"/>
      <c r="C65" s="99"/>
      <c r="D65" s="99"/>
      <c r="E65" s="115"/>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R65" s="99"/>
      <c r="AS65" s="99"/>
    </row>
    <row r="66" spans="1:45" s="211" customFormat="1" x14ac:dyDescent="0.2">
      <c r="A66" s="99"/>
      <c r="B66" s="99"/>
      <c r="C66" s="99"/>
      <c r="D66" s="99"/>
      <c r="E66" s="115"/>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99"/>
      <c r="AR66" s="99"/>
      <c r="AS66" s="99"/>
    </row>
  </sheetData>
  <autoFilter ref="A8:AS25"/>
  <mergeCells count="37">
    <mergeCell ref="G29:H29"/>
    <mergeCell ref="I29:J29"/>
    <mergeCell ref="K29:L29"/>
    <mergeCell ref="AA6:AC6"/>
    <mergeCell ref="J6:J7"/>
    <mergeCell ref="K6:K7"/>
    <mergeCell ref="AH6:AH7"/>
    <mergeCell ref="U9:U24"/>
    <mergeCell ref="A25:B25"/>
    <mergeCell ref="S6:S7"/>
    <mergeCell ref="T6:T7"/>
    <mergeCell ref="U6:U7"/>
    <mergeCell ref="V6:V7"/>
    <mergeCell ref="W6:W7"/>
    <mergeCell ref="X6:Z6"/>
    <mergeCell ref="L6:L7"/>
    <mergeCell ref="F6:F7"/>
    <mergeCell ref="G6:G7"/>
    <mergeCell ref="H6:H7"/>
    <mergeCell ref="I6:I7"/>
    <mergeCell ref="R6:R7"/>
    <mergeCell ref="AE1:AH1"/>
    <mergeCell ref="A2:AH2"/>
    <mergeCell ref="A3:AH3"/>
    <mergeCell ref="A5:A7"/>
    <mergeCell ref="B5:B7"/>
    <mergeCell ref="C5:C7"/>
    <mergeCell ref="D5:W5"/>
    <mergeCell ref="X5:AH5"/>
    <mergeCell ref="D6:D7"/>
    <mergeCell ref="E6:E7"/>
    <mergeCell ref="AG6:AG7"/>
    <mergeCell ref="M6:M7"/>
    <mergeCell ref="N6:O6"/>
    <mergeCell ref="P6:P7"/>
    <mergeCell ref="Q6:Q7"/>
    <mergeCell ref="AD6:AF6"/>
  </mergeCells>
  <printOptions horizontalCentered="1"/>
  <pageMargins left="0" right="0" top="0" bottom="0" header="0.31496062992125984" footer="0.31496062992125984"/>
  <pageSetup paperSize="9" scale="39" orientation="landscape"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AS68"/>
  <sheetViews>
    <sheetView view="pageBreakPreview" zoomScale="80" zoomScaleNormal="70" zoomScaleSheetLayoutView="80" workbookViewId="0">
      <pane xSplit="3" ySplit="8" topLeftCell="D21"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5" x14ac:dyDescent="0.2"/>
  <cols>
    <col min="1" max="1" width="10.33203125" style="99" customWidth="1"/>
    <col min="2" max="2" width="30.83203125" style="99" customWidth="1"/>
    <col min="3" max="22" width="13.5" style="99" customWidth="1"/>
    <col min="23" max="23" width="12" style="99" customWidth="1"/>
    <col min="24" max="24" width="11.5" style="99" customWidth="1"/>
    <col min="25" max="25" width="12.33203125" style="99" customWidth="1"/>
    <col min="26" max="26" width="9.6640625" style="99" customWidth="1"/>
    <col min="27" max="32" width="8.5" style="99" customWidth="1"/>
    <col min="33" max="33" width="9.33203125" style="99" customWidth="1"/>
    <col min="34" max="34" width="10.6640625" style="99" customWidth="1"/>
    <col min="35" max="35" width="13.5" style="99" customWidth="1"/>
    <col min="36" max="36" width="12.6640625" style="99" customWidth="1"/>
    <col min="37" max="37" width="13" style="99" bestFit="1" customWidth="1"/>
    <col min="38" max="38" width="0" style="99" hidden="1" customWidth="1"/>
    <col min="39" max="39" width="13" style="99" hidden="1" customWidth="1"/>
    <col min="40" max="42" width="9.33203125" style="211"/>
    <col min="43" max="43" width="11.33203125" style="211" bestFit="1" customWidth="1"/>
    <col min="44" max="16384" width="9.33203125" style="99"/>
  </cols>
  <sheetData>
    <row r="1" spans="1:45" ht="22.5" customHeight="1" x14ac:dyDescent="0.2">
      <c r="AE1" s="1439"/>
      <c r="AF1" s="1439"/>
      <c r="AG1" s="1439"/>
      <c r="AH1" s="1439"/>
    </row>
    <row r="2" spans="1:45" ht="24" customHeight="1" x14ac:dyDescent="0.2">
      <c r="A2" s="1440" t="s">
        <v>164</v>
      </c>
      <c r="B2" s="1440"/>
      <c r="C2" s="1440"/>
      <c r="D2" s="1440"/>
      <c r="E2" s="1440"/>
      <c r="F2" s="1440"/>
      <c r="G2" s="1440"/>
      <c r="H2" s="1440"/>
      <c r="I2" s="1440"/>
      <c r="J2" s="1440"/>
      <c r="K2" s="1440"/>
      <c r="L2" s="1440"/>
      <c r="M2" s="1440"/>
      <c r="N2" s="1440"/>
      <c r="O2" s="1440"/>
      <c r="P2" s="1440"/>
      <c r="Q2" s="1440"/>
      <c r="R2" s="1440"/>
      <c r="S2" s="1440"/>
      <c r="T2" s="1440"/>
      <c r="U2" s="1440"/>
      <c r="V2" s="1440"/>
      <c r="W2" s="1440"/>
      <c r="X2" s="1440"/>
      <c r="Y2" s="1440"/>
      <c r="Z2" s="1440"/>
      <c r="AA2" s="1440"/>
      <c r="AB2" s="1440"/>
      <c r="AC2" s="1440"/>
      <c r="AD2" s="1440"/>
      <c r="AE2" s="1440"/>
      <c r="AF2" s="1440"/>
      <c r="AG2" s="1440"/>
      <c r="AH2" s="1440"/>
      <c r="AI2" s="235"/>
    </row>
    <row r="3" spans="1:45" ht="24.75" customHeight="1" x14ac:dyDescent="0.2">
      <c r="A3" s="1441"/>
      <c r="B3" s="1441"/>
      <c r="C3" s="1441"/>
      <c r="D3" s="1441"/>
      <c r="E3" s="1441"/>
      <c r="F3" s="1441"/>
      <c r="G3" s="1441"/>
      <c r="H3" s="1441"/>
      <c r="I3" s="1441"/>
      <c r="J3" s="1441"/>
      <c r="K3" s="1441"/>
      <c r="L3" s="1441"/>
      <c r="M3" s="1441"/>
      <c r="N3" s="1441"/>
      <c r="O3" s="1441"/>
      <c r="P3" s="1441"/>
      <c r="Q3" s="1441"/>
      <c r="R3" s="1441"/>
      <c r="S3" s="1441"/>
      <c r="T3" s="1441"/>
      <c r="U3" s="1441"/>
      <c r="V3" s="1441"/>
      <c r="W3" s="1441"/>
      <c r="X3" s="1441"/>
      <c r="Y3" s="1441"/>
      <c r="Z3" s="1441"/>
      <c r="AA3" s="1441"/>
      <c r="AB3" s="1441"/>
      <c r="AC3" s="1441"/>
      <c r="AD3" s="1441"/>
      <c r="AE3" s="1441"/>
      <c r="AF3" s="1441"/>
      <c r="AG3" s="1441"/>
      <c r="AH3" s="1441"/>
      <c r="AI3" s="287"/>
    </row>
    <row r="4" spans="1:45" x14ac:dyDescent="0.2">
      <c r="L4" s="38">
        <v>0.27208500000000002</v>
      </c>
      <c r="M4" s="38"/>
    </row>
    <row r="5" spans="1:45" ht="38.25" customHeight="1" x14ac:dyDescent="0.2">
      <c r="A5" s="1442" t="s">
        <v>78</v>
      </c>
      <c r="B5" s="1442" t="s">
        <v>77</v>
      </c>
      <c r="C5" s="1443" t="s">
        <v>0</v>
      </c>
      <c r="D5" s="1443" t="s">
        <v>3</v>
      </c>
      <c r="E5" s="1443"/>
      <c r="F5" s="1443"/>
      <c r="G5" s="1443"/>
      <c r="H5" s="1443"/>
      <c r="I5" s="1443"/>
      <c r="J5" s="1443"/>
      <c r="K5" s="1443"/>
      <c r="L5" s="1443"/>
      <c r="M5" s="1443"/>
      <c r="N5" s="1443"/>
      <c r="O5" s="1443"/>
      <c r="P5" s="1443"/>
      <c r="Q5" s="1443"/>
      <c r="R5" s="1443"/>
      <c r="S5" s="1443"/>
      <c r="T5" s="1443"/>
      <c r="U5" s="1443"/>
      <c r="V5" s="1443"/>
      <c r="W5" s="1443"/>
      <c r="X5" s="1443" t="s">
        <v>4</v>
      </c>
      <c r="Y5" s="1443"/>
      <c r="Z5" s="1443"/>
      <c r="AA5" s="1443"/>
      <c r="AB5" s="1443"/>
      <c r="AC5" s="1443"/>
      <c r="AD5" s="1443"/>
      <c r="AE5" s="1443"/>
      <c r="AF5" s="1443"/>
      <c r="AG5" s="1443"/>
      <c r="AH5" s="1443"/>
    </row>
    <row r="6" spans="1:45" ht="60" customHeight="1" x14ac:dyDescent="0.2">
      <c r="A6" s="1442"/>
      <c r="B6" s="1442"/>
      <c r="C6" s="1443"/>
      <c r="D6" s="1444" t="s">
        <v>68</v>
      </c>
      <c r="E6" s="1444" t="s">
        <v>69</v>
      </c>
      <c r="F6" s="1444" t="s">
        <v>89</v>
      </c>
      <c r="G6" s="1444" t="s">
        <v>1</v>
      </c>
      <c r="H6" s="1444" t="s">
        <v>2</v>
      </c>
      <c r="I6" s="1444" t="s">
        <v>70</v>
      </c>
      <c r="J6" s="1444" t="s">
        <v>61</v>
      </c>
      <c r="K6" s="1444" t="s">
        <v>27</v>
      </c>
      <c r="L6" s="1446" t="s">
        <v>65</v>
      </c>
      <c r="M6" s="1446" t="s">
        <v>86</v>
      </c>
      <c r="N6" s="1447" t="s">
        <v>90</v>
      </c>
      <c r="O6" s="1447"/>
      <c r="P6" s="1447" t="s">
        <v>88</v>
      </c>
      <c r="Q6" s="1446" t="s">
        <v>82</v>
      </c>
      <c r="R6" s="1444" t="s">
        <v>83</v>
      </c>
      <c r="S6" s="1446" t="s">
        <v>87</v>
      </c>
      <c r="T6" s="1444" t="s">
        <v>84</v>
      </c>
      <c r="U6" s="1444" t="s">
        <v>9</v>
      </c>
      <c r="V6" s="1444" t="s">
        <v>7</v>
      </c>
      <c r="W6" s="1444" t="s">
        <v>85</v>
      </c>
      <c r="X6" s="1443" t="s">
        <v>10</v>
      </c>
      <c r="Y6" s="1443"/>
      <c r="Z6" s="1443"/>
      <c r="AA6" s="1443" t="s">
        <v>11</v>
      </c>
      <c r="AB6" s="1443"/>
      <c r="AC6" s="1443"/>
      <c r="AD6" s="1443" t="s">
        <v>12</v>
      </c>
      <c r="AE6" s="1443"/>
      <c r="AF6" s="1443"/>
      <c r="AG6" s="1443" t="s">
        <v>13</v>
      </c>
      <c r="AH6" s="1443" t="s">
        <v>73</v>
      </c>
    </row>
    <row r="7" spans="1:45" ht="97.5" customHeight="1" x14ac:dyDescent="0.2">
      <c r="A7" s="1442"/>
      <c r="B7" s="1442"/>
      <c r="C7" s="1443"/>
      <c r="D7" s="1444"/>
      <c r="E7" s="1444"/>
      <c r="F7" s="1444"/>
      <c r="G7" s="1444"/>
      <c r="H7" s="1444"/>
      <c r="I7" s="1444"/>
      <c r="J7" s="1444"/>
      <c r="K7" s="1444"/>
      <c r="L7" s="1446" t="s">
        <v>66</v>
      </c>
      <c r="M7" s="1446"/>
      <c r="N7" s="286" t="s">
        <v>80</v>
      </c>
      <c r="O7" s="286" t="s">
        <v>81</v>
      </c>
      <c r="P7" s="1447"/>
      <c r="Q7" s="1446"/>
      <c r="R7" s="1444"/>
      <c r="S7" s="1446" t="s">
        <v>67</v>
      </c>
      <c r="T7" s="1444"/>
      <c r="U7" s="1444"/>
      <c r="V7" s="1444"/>
      <c r="W7" s="1444"/>
      <c r="X7" s="285" t="s">
        <v>5</v>
      </c>
      <c r="Y7" s="285" t="s">
        <v>6</v>
      </c>
      <c r="Z7" s="285" t="s">
        <v>74</v>
      </c>
      <c r="AA7" s="285" t="s">
        <v>5</v>
      </c>
      <c r="AB7" s="285" t="s">
        <v>6</v>
      </c>
      <c r="AC7" s="285" t="s">
        <v>75</v>
      </c>
      <c r="AD7" s="285" t="s">
        <v>5</v>
      </c>
      <c r="AE7" s="285" t="s">
        <v>6</v>
      </c>
      <c r="AF7" s="285" t="s">
        <v>76</v>
      </c>
      <c r="AG7" s="1443"/>
      <c r="AH7" s="1443"/>
      <c r="AK7" s="99" t="s">
        <v>64</v>
      </c>
      <c r="AL7" s="99" t="s">
        <v>62</v>
      </c>
      <c r="AM7" s="99" t="s">
        <v>63</v>
      </c>
    </row>
    <row r="8" spans="1:45" ht="18" customHeight="1" x14ac:dyDescent="0.2">
      <c r="A8" s="284">
        <v>1</v>
      </c>
      <c r="B8" s="284">
        <v>2</v>
      </c>
      <c r="C8" s="284">
        <v>3</v>
      </c>
      <c r="D8" s="284">
        <v>4</v>
      </c>
      <c r="E8" s="284">
        <v>5</v>
      </c>
      <c r="F8" s="284">
        <v>6</v>
      </c>
      <c r="G8" s="284">
        <v>7</v>
      </c>
      <c r="H8" s="284">
        <v>8</v>
      </c>
      <c r="I8" s="284">
        <v>9</v>
      </c>
      <c r="J8" s="284">
        <v>10</v>
      </c>
      <c r="K8" s="284">
        <v>11</v>
      </c>
      <c r="L8" s="284">
        <v>12</v>
      </c>
      <c r="M8" s="284">
        <v>13</v>
      </c>
      <c r="N8" s="284">
        <v>14</v>
      </c>
      <c r="O8" s="284">
        <v>15</v>
      </c>
      <c r="P8" s="284">
        <v>16</v>
      </c>
      <c r="Q8" s="284">
        <v>17</v>
      </c>
      <c r="R8" s="284">
        <v>18</v>
      </c>
      <c r="S8" s="284">
        <v>19</v>
      </c>
      <c r="T8" s="284">
        <v>20</v>
      </c>
      <c r="U8" s="284">
        <v>21</v>
      </c>
      <c r="V8" s="284">
        <v>22</v>
      </c>
      <c r="W8" s="284">
        <v>23</v>
      </c>
      <c r="X8" s="284">
        <v>24</v>
      </c>
      <c r="Y8" s="284">
        <v>25</v>
      </c>
      <c r="Z8" s="284">
        <v>26</v>
      </c>
      <c r="AA8" s="284">
        <v>27</v>
      </c>
      <c r="AB8" s="284">
        <v>28</v>
      </c>
      <c r="AC8" s="284">
        <v>29</v>
      </c>
      <c r="AD8" s="284">
        <v>30</v>
      </c>
      <c r="AE8" s="284">
        <v>31</v>
      </c>
      <c r="AF8" s="284">
        <v>32</v>
      </c>
      <c r="AG8" s="284">
        <v>33</v>
      </c>
      <c r="AH8" s="284">
        <v>34</v>
      </c>
      <c r="AN8" s="212" t="s">
        <v>116</v>
      </c>
      <c r="AO8" s="212" t="s">
        <v>117</v>
      </c>
      <c r="AP8" s="212" t="s">
        <v>118</v>
      </c>
      <c r="AQ8" s="212" t="s">
        <v>119</v>
      </c>
    </row>
    <row r="9" spans="1:45" ht="16.5" customHeight="1" x14ac:dyDescent="0.2">
      <c r="A9" s="284">
        <v>1</v>
      </c>
      <c r="B9" s="236" t="s">
        <v>14</v>
      </c>
      <c r="C9" s="259">
        <v>1</v>
      </c>
      <c r="D9" s="237">
        <v>25.873000000000001</v>
      </c>
      <c r="E9" s="260">
        <f t="shared" ref="E9:E27" si="0">C9*D9</f>
        <v>25.87</v>
      </c>
      <c r="F9" s="185">
        <f t="shared" ref="F9:F27" si="1">E9*12</f>
        <v>310.39999999999998</v>
      </c>
      <c r="G9" s="95"/>
      <c r="H9" s="95"/>
      <c r="I9" s="95"/>
      <c r="J9" s="95"/>
      <c r="K9" s="95"/>
      <c r="L9" s="95">
        <f>F9*$L$4</f>
        <v>84.5</v>
      </c>
      <c r="M9" s="95">
        <f t="shared" ref="M9:M27" si="2">F9+G9+H9+I9+J9+K9+L9</f>
        <v>394.9</v>
      </c>
      <c r="N9" s="111">
        <v>0.47</v>
      </c>
      <c r="O9" s="95">
        <f t="shared" ref="O9:O27" si="3">M9*N9</f>
        <v>185.6</v>
      </c>
      <c r="P9" s="95">
        <f t="shared" ref="P9:P27" si="4">M9+O9</f>
        <v>580.5</v>
      </c>
      <c r="Q9" s="95">
        <f t="shared" ref="Q9:Q27" si="5">P9*0.8</f>
        <v>464.4</v>
      </c>
      <c r="R9" s="95">
        <f t="shared" ref="R9:R27" si="6">P9*0.8</f>
        <v>464.4</v>
      </c>
      <c r="S9" s="95">
        <f t="shared" ref="S9:S27" si="7">(P9+Q9+R9)*0.032</f>
        <v>48.3</v>
      </c>
      <c r="T9" s="95">
        <f t="shared" ref="T9:T27" si="8">P9+Q9+R9+S9</f>
        <v>1557.6</v>
      </c>
      <c r="U9" s="1826">
        <v>1</v>
      </c>
      <c r="V9" s="95">
        <f t="shared" ref="V9:V26" si="9">T9*$U$9</f>
        <v>1557.6</v>
      </c>
      <c r="W9" s="95">
        <f>AQ9</f>
        <v>401.5</v>
      </c>
      <c r="X9" s="284">
        <v>1</v>
      </c>
      <c r="Y9" s="112">
        <v>30</v>
      </c>
      <c r="Z9" s="113">
        <f t="shared" ref="Z9:Z27" si="10">X9*Y9</f>
        <v>30</v>
      </c>
      <c r="AA9" s="284"/>
      <c r="AB9" s="112">
        <v>15</v>
      </c>
      <c r="AC9" s="113">
        <f t="shared" ref="AC9:AC27" si="11">AA9*AB9</f>
        <v>0</v>
      </c>
      <c r="AD9" s="284"/>
      <c r="AE9" s="112">
        <v>30</v>
      </c>
      <c r="AF9" s="113">
        <f t="shared" ref="AF9:AF27" si="12">AD9*AE9</f>
        <v>0</v>
      </c>
      <c r="AG9" s="113">
        <f t="shared" ref="AG9:AG27" si="13">(Z9+AC9+AF9)*1%*30</f>
        <v>9</v>
      </c>
      <c r="AH9" s="113">
        <f t="shared" ref="AH9:AH27" si="14">Z9+AC9+AF9+AG9</f>
        <v>39</v>
      </c>
      <c r="AI9" s="131">
        <f t="shared" ref="AI9:AI23" si="15">V9/12/C9*1000</f>
        <v>129800</v>
      </c>
      <c r="AK9" s="114">
        <f t="shared" ref="AK9:AK23" si="16">V9/C9</f>
        <v>1557.6</v>
      </c>
      <c r="AL9" s="114">
        <f>((979*0.302)+((AK9-979)*0.182))</f>
        <v>401</v>
      </c>
      <c r="AM9" s="115">
        <f>AL9/AK9</f>
        <v>0.25700000000000001</v>
      </c>
      <c r="AN9" s="50">
        <f>1150*0.22+(AK9-1150)*0.1</f>
        <v>293.8</v>
      </c>
      <c r="AO9" s="50">
        <f>865*0.029</f>
        <v>25.1</v>
      </c>
      <c r="AP9" s="50">
        <f>AK9*0.053</f>
        <v>82.6</v>
      </c>
      <c r="AQ9" s="50">
        <f>SUM(AN9:AP9)*C9</f>
        <v>401.5</v>
      </c>
      <c r="AS9" s="99">
        <f t="shared" ref="AS9:AS27" si="17">D9*1.5</f>
        <v>38.8095</v>
      </c>
    </row>
    <row r="10" spans="1:45" x14ac:dyDescent="0.2">
      <c r="A10" s="284">
        <v>2</v>
      </c>
      <c r="B10" s="236" t="s">
        <v>127</v>
      </c>
      <c r="C10" s="259">
        <v>2</v>
      </c>
      <c r="D10" s="237">
        <v>18.111000000000001</v>
      </c>
      <c r="E10" s="260">
        <f t="shared" si="0"/>
        <v>36.22</v>
      </c>
      <c r="F10" s="185">
        <f t="shared" si="1"/>
        <v>434.6</v>
      </c>
      <c r="G10" s="95"/>
      <c r="H10" s="95">
        <f>7.062+7.945</f>
        <v>15</v>
      </c>
      <c r="I10" s="95"/>
      <c r="J10" s="95"/>
      <c r="K10" s="95">
        <f>(D10*0.4+D10*0.2)*12</f>
        <v>130.4</v>
      </c>
      <c r="L10" s="95">
        <f t="shared" ref="L10:L25" si="18">F10*$L$4</f>
        <v>118.2</v>
      </c>
      <c r="M10" s="95">
        <f t="shared" si="2"/>
        <v>698.2</v>
      </c>
      <c r="N10" s="111">
        <v>0.47</v>
      </c>
      <c r="O10" s="95">
        <f t="shared" si="3"/>
        <v>328.2</v>
      </c>
      <c r="P10" s="95">
        <f t="shared" si="4"/>
        <v>1026.4000000000001</v>
      </c>
      <c r="Q10" s="95">
        <f t="shared" si="5"/>
        <v>821.1</v>
      </c>
      <c r="R10" s="95">
        <f t="shared" si="6"/>
        <v>821.1</v>
      </c>
      <c r="S10" s="95">
        <f t="shared" si="7"/>
        <v>85.4</v>
      </c>
      <c r="T10" s="95">
        <f t="shared" si="8"/>
        <v>2754</v>
      </c>
      <c r="U10" s="1827"/>
      <c r="V10" s="95">
        <f t="shared" si="9"/>
        <v>2754</v>
      </c>
      <c r="W10" s="95">
        <f>AQ10</f>
        <v>747.6</v>
      </c>
      <c r="X10" s="284"/>
      <c r="Y10" s="112">
        <v>30</v>
      </c>
      <c r="Z10" s="113">
        <f t="shared" si="10"/>
        <v>0</v>
      </c>
      <c r="AA10" s="284"/>
      <c r="AB10" s="112">
        <v>15</v>
      </c>
      <c r="AC10" s="113">
        <f t="shared" si="11"/>
        <v>0</v>
      </c>
      <c r="AD10" s="284"/>
      <c r="AE10" s="112">
        <v>30</v>
      </c>
      <c r="AF10" s="113">
        <f t="shared" si="12"/>
        <v>0</v>
      </c>
      <c r="AG10" s="113">
        <f t="shared" si="13"/>
        <v>0</v>
      </c>
      <c r="AH10" s="113">
        <f t="shared" si="14"/>
        <v>0</v>
      </c>
      <c r="AI10" s="131">
        <f t="shared" si="15"/>
        <v>114750</v>
      </c>
      <c r="AK10" s="114">
        <f t="shared" si="16"/>
        <v>1377</v>
      </c>
      <c r="AL10" s="114">
        <f t="shared" ref="AL10:AL27" si="19">((979*0.302)+((AK10-979)*0.182))</f>
        <v>368.1</v>
      </c>
      <c r="AM10" s="115">
        <f>AL10/AK10</f>
        <v>0.26700000000000002</v>
      </c>
      <c r="AN10" s="50">
        <f>1150*0.22+(AK10-1150)*0.1</f>
        <v>275.7</v>
      </c>
      <c r="AO10" s="50">
        <f>865*0.029</f>
        <v>25.1</v>
      </c>
      <c r="AP10" s="50">
        <f>AK10*0.053</f>
        <v>73</v>
      </c>
      <c r="AQ10" s="50">
        <f>SUM(AN10:AP10)*C10</f>
        <v>747.6</v>
      </c>
      <c r="AS10" s="99">
        <f t="shared" si="17"/>
        <v>27.166499999999999</v>
      </c>
    </row>
    <row r="11" spans="1:45" ht="15.75" customHeight="1" x14ac:dyDescent="0.2">
      <c r="A11" s="284">
        <v>3</v>
      </c>
      <c r="B11" s="261" t="s">
        <v>23</v>
      </c>
      <c r="C11" s="262">
        <v>4</v>
      </c>
      <c r="D11" s="237">
        <v>11.061999999999999</v>
      </c>
      <c r="E11" s="111">
        <f t="shared" si="0"/>
        <v>44.25</v>
      </c>
      <c r="F11" s="95">
        <f t="shared" si="1"/>
        <v>531</v>
      </c>
      <c r="G11" s="95"/>
      <c r="H11" s="95">
        <f>2.757+7.01+7.01+7.789</f>
        <v>24.6</v>
      </c>
      <c r="I11" s="95"/>
      <c r="J11" s="95"/>
      <c r="K11" s="95">
        <f>(D11*0.4*3+D11*0.25)*12</f>
        <v>192.5</v>
      </c>
      <c r="L11" s="95">
        <f t="shared" si="18"/>
        <v>144.5</v>
      </c>
      <c r="M11" s="95">
        <f t="shared" si="2"/>
        <v>892.6</v>
      </c>
      <c r="N11" s="111">
        <v>0.43</v>
      </c>
      <c r="O11" s="95">
        <f t="shared" si="3"/>
        <v>383.8</v>
      </c>
      <c r="P11" s="95">
        <f t="shared" si="4"/>
        <v>1276.4000000000001</v>
      </c>
      <c r="Q11" s="95">
        <f t="shared" si="5"/>
        <v>1021.1</v>
      </c>
      <c r="R11" s="95">
        <f t="shared" si="6"/>
        <v>1021.1</v>
      </c>
      <c r="S11" s="95">
        <f t="shared" si="7"/>
        <v>106.2</v>
      </c>
      <c r="T11" s="95">
        <f t="shared" si="8"/>
        <v>3424.8</v>
      </c>
      <c r="U11" s="1827"/>
      <c r="V11" s="95">
        <f>T11*$U$9</f>
        <v>3424.8</v>
      </c>
      <c r="W11" s="95">
        <f>V11*0.302</f>
        <v>1034.3</v>
      </c>
      <c r="X11" s="239">
        <v>2</v>
      </c>
      <c r="Y11" s="240">
        <v>30</v>
      </c>
      <c r="Z11" s="241">
        <f t="shared" si="10"/>
        <v>60</v>
      </c>
      <c r="AA11" s="239"/>
      <c r="AB11" s="240">
        <v>15</v>
      </c>
      <c r="AC11" s="241">
        <f t="shared" si="11"/>
        <v>0</v>
      </c>
      <c r="AD11" s="239">
        <v>2</v>
      </c>
      <c r="AE11" s="240">
        <v>30</v>
      </c>
      <c r="AF11" s="241">
        <f t="shared" si="12"/>
        <v>60</v>
      </c>
      <c r="AG11" s="241">
        <f t="shared" si="13"/>
        <v>36</v>
      </c>
      <c r="AH11" s="241">
        <f t="shared" si="14"/>
        <v>156</v>
      </c>
      <c r="AI11" s="131">
        <f t="shared" si="15"/>
        <v>71350</v>
      </c>
      <c r="AK11" s="114">
        <f t="shared" si="16"/>
        <v>856.2</v>
      </c>
      <c r="AL11" s="114">
        <f t="shared" si="19"/>
        <v>273.3</v>
      </c>
      <c r="AM11" s="115">
        <v>0.30199999999999999</v>
      </c>
      <c r="AN11" s="50"/>
      <c r="AO11" s="50"/>
      <c r="AP11" s="50"/>
      <c r="AQ11" s="50"/>
      <c r="AS11" s="99">
        <f t="shared" si="17"/>
        <v>16.593</v>
      </c>
    </row>
    <row r="12" spans="1:45" x14ac:dyDescent="0.2">
      <c r="A12" s="284">
        <v>4</v>
      </c>
      <c r="B12" s="261" t="s">
        <v>47</v>
      </c>
      <c r="C12" s="262">
        <v>1</v>
      </c>
      <c r="D12" s="237">
        <v>6.2859999999999996</v>
      </c>
      <c r="E12" s="111">
        <f t="shared" si="0"/>
        <v>6.29</v>
      </c>
      <c r="F12" s="95">
        <f t="shared" si="1"/>
        <v>75.5</v>
      </c>
      <c r="G12" s="95"/>
      <c r="H12" s="95">
        <f>3064.3/1000</f>
        <v>3.1</v>
      </c>
      <c r="I12" s="95"/>
      <c r="J12" s="95"/>
      <c r="K12" s="95">
        <f>F12*0.25</f>
        <v>18.899999999999999</v>
      </c>
      <c r="L12" s="95">
        <f t="shared" si="18"/>
        <v>20.5</v>
      </c>
      <c r="M12" s="95">
        <f t="shared" si="2"/>
        <v>118</v>
      </c>
      <c r="N12" s="111">
        <v>0.45</v>
      </c>
      <c r="O12" s="95">
        <f t="shared" si="3"/>
        <v>53.1</v>
      </c>
      <c r="P12" s="95">
        <f t="shared" si="4"/>
        <v>171.1</v>
      </c>
      <c r="Q12" s="95">
        <f t="shared" si="5"/>
        <v>136.9</v>
      </c>
      <c r="R12" s="95">
        <f t="shared" si="6"/>
        <v>136.9</v>
      </c>
      <c r="S12" s="95">
        <f t="shared" si="7"/>
        <v>14.2</v>
      </c>
      <c r="T12" s="95">
        <f t="shared" si="8"/>
        <v>459.1</v>
      </c>
      <c r="U12" s="1827"/>
      <c r="V12" s="95">
        <f t="shared" si="9"/>
        <v>459.1</v>
      </c>
      <c r="W12" s="95">
        <f t="shared" ref="W12:W27" si="20">V12*0.302</f>
        <v>138.6</v>
      </c>
      <c r="X12" s="239">
        <v>1</v>
      </c>
      <c r="Y12" s="240">
        <v>30</v>
      </c>
      <c r="Z12" s="241">
        <f t="shared" si="10"/>
        <v>30</v>
      </c>
      <c r="AA12" s="239"/>
      <c r="AB12" s="240">
        <v>15</v>
      </c>
      <c r="AC12" s="241">
        <f t="shared" si="11"/>
        <v>0</v>
      </c>
      <c r="AD12" s="239"/>
      <c r="AE12" s="240">
        <v>30</v>
      </c>
      <c r="AF12" s="241">
        <f t="shared" si="12"/>
        <v>0</v>
      </c>
      <c r="AG12" s="241">
        <f t="shared" si="13"/>
        <v>9</v>
      </c>
      <c r="AH12" s="241">
        <f t="shared" si="14"/>
        <v>39</v>
      </c>
      <c r="AI12" s="131">
        <f t="shared" si="15"/>
        <v>38258.33</v>
      </c>
      <c r="AK12" s="114">
        <f t="shared" si="16"/>
        <v>459.1</v>
      </c>
      <c r="AL12" s="114">
        <f t="shared" si="19"/>
        <v>201</v>
      </c>
      <c r="AM12" s="115">
        <v>0.30199999999999999</v>
      </c>
      <c r="AO12" s="50"/>
      <c r="AP12" s="50"/>
      <c r="AQ12" s="50"/>
      <c r="AS12" s="99">
        <f t="shared" si="17"/>
        <v>9.4290000000000003</v>
      </c>
    </row>
    <row r="13" spans="1:45" x14ac:dyDescent="0.2">
      <c r="A13" s="284">
        <v>5</v>
      </c>
      <c r="B13" s="236" t="s">
        <v>15</v>
      </c>
      <c r="C13" s="262">
        <v>1</v>
      </c>
      <c r="D13" s="237">
        <v>11.061999999999999</v>
      </c>
      <c r="E13" s="111">
        <f t="shared" si="0"/>
        <v>11.06</v>
      </c>
      <c r="F13" s="95">
        <f t="shared" si="1"/>
        <v>132.69999999999999</v>
      </c>
      <c r="G13" s="95"/>
      <c r="H13" s="95"/>
      <c r="I13" s="95"/>
      <c r="J13" s="95"/>
      <c r="K13" s="95">
        <f>D11*0.25*4.6+D11*0.3*7.4</f>
        <v>37.299999999999997</v>
      </c>
      <c r="L13" s="95">
        <f t="shared" si="18"/>
        <v>36.1</v>
      </c>
      <c r="M13" s="95">
        <f t="shared" si="2"/>
        <v>206.1</v>
      </c>
      <c r="N13" s="111">
        <v>0.43</v>
      </c>
      <c r="O13" s="95">
        <f t="shared" si="3"/>
        <v>88.6</v>
      </c>
      <c r="P13" s="95">
        <f t="shared" si="4"/>
        <v>294.7</v>
      </c>
      <c r="Q13" s="95">
        <f t="shared" si="5"/>
        <v>235.8</v>
      </c>
      <c r="R13" s="95">
        <f t="shared" si="6"/>
        <v>235.8</v>
      </c>
      <c r="S13" s="95">
        <f t="shared" si="7"/>
        <v>24.5</v>
      </c>
      <c r="T13" s="95">
        <f t="shared" si="8"/>
        <v>790.8</v>
      </c>
      <c r="U13" s="1827"/>
      <c r="V13" s="95">
        <f t="shared" si="9"/>
        <v>790.8</v>
      </c>
      <c r="W13" s="95">
        <f t="shared" si="20"/>
        <v>238.8</v>
      </c>
      <c r="X13" s="239"/>
      <c r="Y13" s="240">
        <v>30</v>
      </c>
      <c r="Z13" s="241">
        <f t="shared" si="10"/>
        <v>0</v>
      </c>
      <c r="AA13" s="239"/>
      <c r="AB13" s="240">
        <v>15</v>
      </c>
      <c r="AC13" s="241">
        <f t="shared" si="11"/>
        <v>0</v>
      </c>
      <c r="AD13" s="239"/>
      <c r="AE13" s="240">
        <v>30</v>
      </c>
      <c r="AF13" s="241">
        <f t="shared" si="12"/>
        <v>0</v>
      </c>
      <c r="AG13" s="241">
        <f t="shared" si="13"/>
        <v>0</v>
      </c>
      <c r="AH13" s="241">
        <f t="shared" si="14"/>
        <v>0</v>
      </c>
      <c r="AI13" s="131">
        <f t="shared" si="15"/>
        <v>65900</v>
      </c>
      <c r="AK13" s="114">
        <f t="shared" si="16"/>
        <v>790.8</v>
      </c>
      <c r="AL13" s="114">
        <f t="shared" si="19"/>
        <v>261.39999999999998</v>
      </c>
      <c r="AM13" s="115">
        <v>0.30199999999999999</v>
      </c>
      <c r="AN13" s="50"/>
      <c r="AO13" s="50"/>
      <c r="AP13" s="50"/>
      <c r="AQ13" s="50"/>
      <c r="AS13" s="99">
        <f t="shared" si="17"/>
        <v>16.593</v>
      </c>
    </row>
    <row r="14" spans="1:45" s="245" customFormat="1" x14ac:dyDescent="0.2">
      <c r="A14" s="284">
        <v>6</v>
      </c>
      <c r="B14" s="261" t="s">
        <v>48</v>
      </c>
      <c r="C14" s="262">
        <v>1</v>
      </c>
      <c r="D14" s="237">
        <v>11.061999999999999</v>
      </c>
      <c r="E14" s="249">
        <f t="shared" si="0"/>
        <v>11.06</v>
      </c>
      <c r="F14" s="248">
        <f t="shared" si="1"/>
        <v>132.69999999999999</v>
      </c>
      <c r="G14" s="248"/>
      <c r="H14" s="248">
        <v>7</v>
      </c>
      <c r="I14" s="248"/>
      <c r="J14" s="248"/>
      <c r="K14" s="248">
        <f>F14*0.4</f>
        <v>53.1</v>
      </c>
      <c r="L14" s="95">
        <f t="shared" si="18"/>
        <v>36.1</v>
      </c>
      <c r="M14" s="248">
        <f t="shared" si="2"/>
        <v>228.9</v>
      </c>
      <c r="N14" s="111">
        <v>0.47</v>
      </c>
      <c r="O14" s="248">
        <f t="shared" si="3"/>
        <v>107.6</v>
      </c>
      <c r="P14" s="248">
        <f t="shared" si="4"/>
        <v>336.5</v>
      </c>
      <c r="Q14" s="248">
        <f t="shared" si="5"/>
        <v>269.2</v>
      </c>
      <c r="R14" s="248">
        <f t="shared" si="6"/>
        <v>269.2</v>
      </c>
      <c r="S14" s="248">
        <f t="shared" si="7"/>
        <v>28</v>
      </c>
      <c r="T14" s="248">
        <f t="shared" si="8"/>
        <v>902.9</v>
      </c>
      <c r="U14" s="1827"/>
      <c r="V14" s="248">
        <f t="shared" si="9"/>
        <v>902.9</v>
      </c>
      <c r="W14" s="95">
        <f>AQ14</f>
        <v>271.60000000000002</v>
      </c>
      <c r="X14" s="239"/>
      <c r="Y14" s="240">
        <v>30</v>
      </c>
      <c r="Z14" s="241">
        <f t="shared" si="10"/>
        <v>0</v>
      </c>
      <c r="AA14" s="239"/>
      <c r="AB14" s="240">
        <v>15</v>
      </c>
      <c r="AC14" s="241">
        <f t="shared" si="11"/>
        <v>0</v>
      </c>
      <c r="AD14" s="239"/>
      <c r="AE14" s="240">
        <v>30</v>
      </c>
      <c r="AF14" s="241">
        <f t="shared" si="12"/>
        <v>0</v>
      </c>
      <c r="AG14" s="241">
        <f t="shared" si="13"/>
        <v>0</v>
      </c>
      <c r="AH14" s="241">
        <f t="shared" si="14"/>
        <v>0</v>
      </c>
      <c r="AI14" s="131">
        <f t="shared" si="15"/>
        <v>75241.67</v>
      </c>
      <c r="AK14" s="114">
        <f t="shared" si="16"/>
        <v>902.9</v>
      </c>
      <c r="AL14" s="114">
        <f t="shared" si="19"/>
        <v>281.8</v>
      </c>
      <c r="AM14" s="115">
        <v>0.30199999999999999</v>
      </c>
      <c r="AN14" s="50">
        <f>AK14*0.22</f>
        <v>198.6</v>
      </c>
      <c r="AO14" s="50">
        <f>865*0.029</f>
        <v>25.1</v>
      </c>
      <c r="AP14" s="50">
        <f>AK14*0.053</f>
        <v>47.9</v>
      </c>
      <c r="AQ14" s="50">
        <f>SUM(AN14:AP14)*C14</f>
        <v>271.60000000000002</v>
      </c>
      <c r="AS14" s="99">
        <f t="shared" si="17"/>
        <v>16.593</v>
      </c>
    </row>
    <row r="15" spans="1:45" x14ac:dyDescent="0.2">
      <c r="A15" s="284">
        <v>7</v>
      </c>
      <c r="B15" s="236" t="s">
        <v>49</v>
      </c>
      <c r="C15" s="259">
        <v>1</v>
      </c>
      <c r="D15" s="237">
        <v>8.4730000000000008</v>
      </c>
      <c r="E15" s="111">
        <f t="shared" si="0"/>
        <v>8.4700000000000006</v>
      </c>
      <c r="F15" s="95">
        <f t="shared" si="1"/>
        <v>101.6</v>
      </c>
      <c r="G15" s="95"/>
      <c r="H15" s="95">
        <v>6</v>
      </c>
      <c r="I15" s="95"/>
      <c r="J15" s="95"/>
      <c r="K15" s="95">
        <f>F15*0.2</f>
        <v>20.3</v>
      </c>
      <c r="L15" s="95">
        <f t="shared" si="18"/>
        <v>27.6</v>
      </c>
      <c r="M15" s="95">
        <f t="shared" si="2"/>
        <v>155.5</v>
      </c>
      <c r="N15" s="111">
        <v>0.41</v>
      </c>
      <c r="O15" s="95">
        <f t="shared" si="3"/>
        <v>63.8</v>
      </c>
      <c r="P15" s="95">
        <f t="shared" si="4"/>
        <v>219.3</v>
      </c>
      <c r="Q15" s="95">
        <f t="shared" si="5"/>
        <v>175.4</v>
      </c>
      <c r="R15" s="95">
        <f t="shared" si="6"/>
        <v>175.4</v>
      </c>
      <c r="S15" s="95">
        <f t="shared" si="7"/>
        <v>18.2</v>
      </c>
      <c r="T15" s="95">
        <f t="shared" si="8"/>
        <v>588.29999999999995</v>
      </c>
      <c r="U15" s="1827"/>
      <c r="V15" s="95">
        <f t="shared" si="9"/>
        <v>588.29999999999995</v>
      </c>
      <c r="W15" s="95">
        <f t="shared" si="20"/>
        <v>177.7</v>
      </c>
      <c r="X15" s="284"/>
      <c r="Y15" s="112">
        <v>30</v>
      </c>
      <c r="Z15" s="113">
        <f t="shared" si="10"/>
        <v>0</v>
      </c>
      <c r="AA15" s="127"/>
      <c r="AB15" s="112">
        <v>15</v>
      </c>
      <c r="AC15" s="113">
        <f t="shared" si="11"/>
        <v>0</v>
      </c>
      <c r="AD15" s="127"/>
      <c r="AE15" s="112">
        <v>30</v>
      </c>
      <c r="AF15" s="113">
        <f t="shared" si="12"/>
        <v>0</v>
      </c>
      <c r="AG15" s="113">
        <f t="shared" si="13"/>
        <v>0</v>
      </c>
      <c r="AH15" s="113">
        <f t="shared" si="14"/>
        <v>0</v>
      </c>
      <c r="AI15" s="131">
        <f t="shared" si="15"/>
        <v>49025</v>
      </c>
      <c r="AK15" s="114">
        <f t="shared" si="16"/>
        <v>588.29999999999995</v>
      </c>
      <c r="AL15" s="114">
        <f t="shared" si="19"/>
        <v>224.6</v>
      </c>
      <c r="AM15" s="115">
        <v>0.30199999999999999</v>
      </c>
      <c r="AO15" s="50"/>
      <c r="AP15" s="50"/>
      <c r="AQ15" s="50"/>
      <c r="AS15" s="99">
        <f t="shared" si="17"/>
        <v>12.7095</v>
      </c>
    </row>
    <row r="16" spans="1:45" x14ac:dyDescent="0.2">
      <c r="A16" s="284">
        <v>8</v>
      </c>
      <c r="B16" s="236" t="s">
        <v>59</v>
      </c>
      <c r="C16" s="259">
        <v>1</v>
      </c>
      <c r="D16" s="237">
        <v>8.4730000000000008</v>
      </c>
      <c r="E16" s="111">
        <f t="shared" si="0"/>
        <v>8.4700000000000006</v>
      </c>
      <c r="F16" s="95">
        <f t="shared" si="1"/>
        <v>101.6</v>
      </c>
      <c r="G16" s="95"/>
      <c r="H16" s="95">
        <v>5.4</v>
      </c>
      <c r="I16" s="95"/>
      <c r="J16" s="95"/>
      <c r="K16" s="95">
        <f>F16*0.4</f>
        <v>40.6</v>
      </c>
      <c r="L16" s="95">
        <f t="shared" si="18"/>
        <v>27.6</v>
      </c>
      <c r="M16" s="95">
        <f t="shared" si="2"/>
        <v>175.2</v>
      </c>
      <c r="N16" s="111">
        <v>0.41</v>
      </c>
      <c r="O16" s="95">
        <f t="shared" si="3"/>
        <v>71.8</v>
      </c>
      <c r="P16" s="95">
        <f t="shared" si="4"/>
        <v>247</v>
      </c>
      <c r="Q16" s="95">
        <f t="shared" si="5"/>
        <v>197.6</v>
      </c>
      <c r="R16" s="95">
        <f t="shared" si="6"/>
        <v>197.6</v>
      </c>
      <c r="S16" s="95">
        <f t="shared" si="7"/>
        <v>20.6</v>
      </c>
      <c r="T16" s="95">
        <f t="shared" si="8"/>
        <v>662.8</v>
      </c>
      <c r="U16" s="1827"/>
      <c r="V16" s="95">
        <f t="shared" si="9"/>
        <v>662.8</v>
      </c>
      <c r="W16" s="95">
        <f t="shared" si="20"/>
        <v>200.2</v>
      </c>
      <c r="X16" s="284"/>
      <c r="Y16" s="112">
        <v>30</v>
      </c>
      <c r="Z16" s="113">
        <f t="shared" si="10"/>
        <v>0</v>
      </c>
      <c r="AA16" s="127"/>
      <c r="AB16" s="112">
        <v>15</v>
      </c>
      <c r="AC16" s="113">
        <f t="shared" si="11"/>
        <v>0</v>
      </c>
      <c r="AD16" s="127"/>
      <c r="AE16" s="112">
        <v>30</v>
      </c>
      <c r="AF16" s="113">
        <f t="shared" si="12"/>
        <v>0</v>
      </c>
      <c r="AG16" s="113">
        <f t="shared" si="13"/>
        <v>0</v>
      </c>
      <c r="AH16" s="113">
        <f t="shared" si="14"/>
        <v>0</v>
      </c>
      <c r="AI16" s="131">
        <f t="shared" si="15"/>
        <v>55233.33</v>
      </c>
      <c r="AK16" s="114">
        <f t="shared" si="16"/>
        <v>662.8</v>
      </c>
      <c r="AL16" s="114">
        <f t="shared" si="19"/>
        <v>238.1</v>
      </c>
      <c r="AM16" s="115">
        <v>0.30199999999999999</v>
      </c>
      <c r="AN16" s="50"/>
      <c r="AO16" s="50"/>
      <c r="AP16" s="50"/>
      <c r="AQ16" s="50"/>
      <c r="AS16" s="99">
        <f t="shared" si="17"/>
        <v>12.7095</v>
      </c>
    </row>
    <row r="17" spans="1:45" x14ac:dyDescent="0.2">
      <c r="A17" s="284">
        <v>9</v>
      </c>
      <c r="B17" s="261" t="s">
        <v>40</v>
      </c>
      <c r="C17" s="259">
        <v>1</v>
      </c>
      <c r="D17" s="237">
        <v>11.061999999999999</v>
      </c>
      <c r="E17" s="111">
        <f t="shared" si="0"/>
        <v>11.06</v>
      </c>
      <c r="F17" s="95">
        <f t="shared" si="1"/>
        <v>132.69999999999999</v>
      </c>
      <c r="G17" s="95"/>
      <c r="H17" s="95">
        <f>5392.4/1000</f>
        <v>5.4</v>
      </c>
      <c r="I17" s="95"/>
      <c r="J17" s="95"/>
      <c r="K17" s="95"/>
      <c r="L17" s="95">
        <f t="shared" si="18"/>
        <v>36.1</v>
      </c>
      <c r="M17" s="95">
        <f t="shared" si="2"/>
        <v>174.2</v>
      </c>
      <c r="N17" s="111">
        <v>0.43</v>
      </c>
      <c r="O17" s="95">
        <f t="shared" si="3"/>
        <v>74.900000000000006</v>
      </c>
      <c r="P17" s="95">
        <f t="shared" si="4"/>
        <v>249.1</v>
      </c>
      <c r="Q17" s="95">
        <f t="shared" si="5"/>
        <v>199.3</v>
      </c>
      <c r="R17" s="95">
        <f t="shared" si="6"/>
        <v>199.3</v>
      </c>
      <c r="S17" s="95">
        <f t="shared" si="7"/>
        <v>20.7</v>
      </c>
      <c r="T17" s="95">
        <f t="shared" si="8"/>
        <v>668.4</v>
      </c>
      <c r="U17" s="1827"/>
      <c r="V17" s="95">
        <f t="shared" si="9"/>
        <v>668.4</v>
      </c>
      <c r="W17" s="95">
        <f t="shared" si="20"/>
        <v>201.9</v>
      </c>
      <c r="X17" s="284"/>
      <c r="Y17" s="112">
        <v>30</v>
      </c>
      <c r="Z17" s="113">
        <f t="shared" si="10"/>
        <v>0</v>
      </c>
      <c r="AA17" s="127"/>
      <c r="AB17" s="112">
        <v>15</v>
      </c>
      <c r="AC17" s="113">
        <f t="shared" si="11"/>
        <v>0</v>
      </c>
      <c r="AD17" s="127"/>
      <c r="AE17" s="112">
        <v>30</v>
      </c>
      <c r="AF17" s="113">
        <f t="shared" si="12"/>
        <v>0</v>
      </c>
      <c r="AG17" s="113">
        <f t="shared" si="13"/>
        <v>0</v>
      </c>
      <c r="AH17" s="113">
        <f t="shared" si="14"/>
        <v>0</v>
      </c>
      <c r="AI17" s="131">
        <f t="shared" si="15"/>
        <v>55700</v>
      </c>
      <c r="AK17" s="114">
        <f t="shared" si="16"/>
        <v>668.4</v>
      </c>
      <c r="AL17" s="114">
        <f t="shared" si="19"/>
        <v>239.1</v>
      </c>
      <c r="AM17" s="115">
        <v>0.30199999999999999</v>
      </c>
      <c r="AN17" s="50"/>
      <c r="AO17" s="50"/>
      <c r="AP17" s="50"/>
      <c r="AQ17" s="50"/>
      <c r="AS17" s="99">
        <f t="shared" si="17"/>
        <v>16.593</v>
      </c>
    </row>
    <row r="18" spans="1:45" x14ac:dyDescent="0.2">
      <c r="A18" s="284">
        <v>10</v>
      </c>
      <c r="B18" s="261" t="s">
        <v>29</v>
      </c>
      <c r="C18" s="259">
        <v>2</v>
      </c>
      <c r="D18" s="237">
        <v>8.4730000000000008</v>
      </c>
      <c r="E18" s="111">
        <f t="shared" si="0"/>
        <v>16.95</v>
      </c>
      <c r="F18" s="95">
        <f t="shared" si="1"/>
        <v>203.4</v>
      </c>
      <c r="G18" s="95"/>
      <c r="H18" s="95">
        <f>2065.2/1000</f>
        <v>2.1</v>
      </c>
      <c r="I18" s="95"/>
      <c r="J18" s="95"/>
      <c r="K18" s="95">
        <f>(D18*0.25+D18*0.3)*12</f>
        <v>55.9</v>
      </c>
      <c r="L18" s="95">
        <f t="shared" si="18"/>
        <v>55.3</v>
      </c>
      <c r="M18" s="95">
        <f t="shared" si="2"/>
        <v>316.7</v>
      </c>
      <c r="N18" s="111">
        <v>0.41</v>
      </c>
      <c r="O18" s="95">
        <f t="shared" si="3"/>
        <v>129.80000000000001</v>
      </c>
      <c r="P18" s="95">
        <f t="shared" si="4"/>
        <v>446.5</v>
      </c>
      <c r="Q18" s="95">
        <f t="shared" si="5"/>
        <v>357.2</v>
      </c>
      <c r="R18" s="95">
        <f t="shared" si="6"/>
        <v>357.2</v>
      </c>
      <c r="S18" s="95">
        <f t="shared" si="7"/>
        <v>37.1</v>
      </c>
      <c r="T18" s="95">
        <f t="shared" si="8"/>
        <v>1198</v>
      </c>
      <c r="U18" s="1827"/>
      <c r="V18" s="95">
        <f t="shared" si="9"/>
        <v>1198</v>
      </c>
      <c r="W18" s="95">
        <f t="shared" si="20"/>
        <v>361.8</v>
      </c>
      <c r="X18" s="284"/>
      <c r="Y18" s="112">
        <v>30</v>
      </c>
      <c r="Z18" s="113">
        <f t="shared" si="10"/>
        <v>0</v>
      </c>
      <c r="AA18" s="127"/>
      <c r="AB18" s="112">
        <v>15</v>
      </c>
      <c r="AC18" s="113">
        <f t="shared" si="11"/>
        <v>0</v>
      </c>
      <c r="AD18" s="127"/>
      <c r="AE18" s="112">
        <v>30</v>
      </c>
      <c r="AF18" s="113">
        <f t="shared" si="12"/>
        <v>0</v>
      </c>
      <c r="AG18" s="113">
        <f t="shared" si="13"/>
        <v>0</v>
      </c>
      <c r="AH18" s="113">
        <f t="shared" si="14"/>
        <v>0</v>
      </c>
      <c r="AI18" s="131">
        <f t="shared" si="15"/>
        <v>49916.67</v>
      </c>
      <c r="AK18" s="114">
        <f t="shared" si="16"/>
        <v>599</v>
      </c>
      <c r="AL18" s="114">
        <f t="shared" si="19"/>
        <v>226.5</v>
      </c>
      <c r="AM18" s="115">
        <v>0.30199999999999999</v>
      </c>
      <c r="AN18" s="263"/>
      <c r="AO18" s="263"/>
      <c r="AP18" s="263"/>
      <c r="AS18" s="99">
        <f t="shared" si="17"/>
        <v>12.7095</v>
      </c>
    </row>
    <row r="19" spans="1:45" x14ac:dyDescent="0.2">
      <c r="A19" s="284">
        <v>11</v>
      </c>
      <c r="B19" s="261" t="s">
        <v>58</v>
      </c>
      <c r="C19" s="259">
        <v>1</v>
      </c>
      <c r="D19" s="237">
        <v>11.061999999999999</v>
      </c>
      <c r="E19" s="111">
        <f t="shared" si="0"/>
        <v>11.06</v>
      </c>
      <c r="F19" s="95">
        <f t="shared" si="1"/>
        <v>132.69999999999999</v>
      </c>
      <c r="G19" s="95"/>
      <c r="H19" s="95">
        <f>5392.4/1000</f>
        <v>5.4</v>
      </c>
      <c r="I19" s="95"/>
      <c r="J19" s="95"/>
      <c r="K19" s="95">
        <f>F19*0.4</f>
        <v>53.1</v>
      </c>
      <c r="L19" s="95">
        <f t="shared" si="18"/>
        <v>36.1</v>
      </c>
      <c r="M19" s="95">
        <f t="shared" si="2"/>
        <v>227.3</v>
      </c>
      <c r="N19" s="111">
        <v>0.43</v>
      </c>
      <c r="O19" s="95">
        <f t="shared" si="3"/>
        <v>97.7</v>
      </c>
      <c r="P19" s="95">
        <f t="shared" si="4"/>
        <v>325</v>
      </c>
      <c r="Q19" s="95">
        <f t="shared" si="5"/>
        <v>260</v>
      </c>
      <c r="R19" s="95">
        <f t="shared" si="6"/>
        <v>260</v>
      </c>
      <c r="S19" s="95">
        <f t="shared" si="7"/>
        <v>27</v>
      </c>
      <c r="T19" s="95">
        <f t="shared" si="8"/>
        <v>872</v>
      </c>
      <c r="U19" s="1827"/>
      <c r="V19" s="95">
        <f t="shared" si="9"/>
        <v>872</v>
      </c>
      <c r="W19" s="95">
        <f t="shared" si="20"/>
        <v>263.3</v>
      </c>
      <c r="X19" s="284"/>
      <c r="Y19" s="112">
        <v>30</v>
      </c>
      <c r="Z19" s="113">
        <f t="shared" si="10"/>
        <v>0</v>
      </c>
      <c r="AA19" s="127"/>
      <c r="AB19" s="112">
        <v>15</v>
      </c>
      <c r="AC19" s="113">
        <f t="shared" si="11"/>
        <v>0</v>
      </c>
      <c r="AD19" s="127"/>
      <c r="AE19" s="112">
        <v>30</v>
      </c>
      <c r="AF19" s="113">
        <f t="shared" si="12"/>
        <v>0</v>
      </c>
      <c r="AG19" s="113">
        <f t="shared" si="13"/>
        <v>0</v>
      </c>
      <c r="AH19" s="113">
        <f t="shared" si="14"/>
        <v>0</v>
      </c>
      <c r="AI19" s="131">
        <f t="shared" si="15"/>
        <v>72666.67</v>
      </c>
      <c r="AK19" s="114">
        <f t="shared" si="16"/>
        <v>872</v>
      </c>
      <c r="AL19" s="114">
        <f t="shared" si="19"/>
        <v>276.2</v>
      </c>
      <c r="AM19" s="115">
        <v>0.30199999999999999</v>
      </c>
      <c r="AN19" s="50"/>
      <c r="AO19" s="50"/>
      <c r="AP19" s="50"/>
      <c r="AQ19" s="50"/>
      <c r="AS19" s="99">
        <f t="shared" si="17"/>
        <v>16.593</v>
      </c>
    </row>
    <row r="20" spans="1:45" x14ac:dyDescent="0.2">
      <c r="A20" s="284">
        <v>12</v>
      </c>
      <c r="B20" s="236" t="s">
        <v>42</v>
      </c>
      <c r="C20" s="259">
        <v>1</v>
      </c>
      <c r="D20" s="237">
        <v>11.061999999999999</v>
      </c>
      <c r="E20" s="111">
        <f t="shared" si="0"/>
        <v>11.06</v>
      </c>
      <c r="F20" s="95">
        <f t="shared" si="1"/>
        <v>132.69999999999999</v>
      </c>
      <c r="G20" s="95"/>
      <c r="H20" s="95">
        <v>7.8</v>
      </c>
      <c r="I20" s="95"/>
      <c r="J20" s="95"/>
      <c r="K20" s="95">
        <f>F20*0.2</f>
        <v>26.5</v>
      </c>
      <c r="L20" s="95">
        <f t="shared" si="18"/>
        <v>36.1</v>
      </c>
      <c r="M20" s="95">
        <f t="shared" si="2"/>
        <v>203.1</v>
      </c>
      <c r="N20" s="111">
        <v>0.43</v>
      </c>
      <c r="O20" s="95">
        <f t="shared" si="3"/>
        <v>87.3</v>
      </c>
      <c r="P20" s="95">
        <f t="shared" si="4"/>
        <v>290.39999999999998</v>
      </c>
      <c r="Q20" s="95">
        <f t="shared" si="5"/>
        <v>232.3</v>
      </c>
      <c r="R20" s="95">
        <f t="shared" si="6"/>
        <v>232.3</v>
      </c>
      <c r="S20" s="95">
        <f t="shared" si="7"/>
        <v>24.2</v>
      </c>
      <c r="T20" s="95">
        <f t="shared" si="8"/>
        <v>779.2</v>
      </c>
      <c r="U20" s="1827"/>
      <c r="V20" s="95">
        <f t="shared" si="9"/>
        <v>779.2</v>
      </c>
      <c r="W20" s="95">
        <f t="shared" si="20"/>
        <v>235.3</v>
      </c>
      <c r="X20" s="284"/>
      <c r="Y20" s="112">
        <v>30</v>
      </c>
      <c r="Z20" s="113">
        <f t="shared" si="10"/>
        <v>0</v>
      </c>
      <c r="AA20" s="127"/>
      <c r="AB20" s="112">
        <v>15</v>
      </c>
      <c r="AC20" s="113">
        <f t="shared" si="11"/>
        <v>0</v>
      </c>
      <c r="AD20" s="127"/>
      <c r="AE20" s="112">
        <v>30</v>
      </c>
      <c r="AF20" s="113">
        <f t="shared" si="12"/>
        <v>0</v>
      </c>
      <c r="AG20" s="113">
        <f t="shared" si="13"/>
        <v>0</v>
      </c>
      <c r="AH20" s="113">
        <f t="shared" si="14"/>
        <v>0</v>
      </c>
      <c r="AI20" s="131">
        <f t="shared" si="15"/>
        <v>64933.33</v>
      </c>
      <c r="AK20" s="114">
        <f t="shared" si="16"/>
        <v>779.2</v>
      </c>
      <c r="AL20" s="114">
        <f t="shared" si="19"/>
        <v>259.3</v>
      </c>
      <c r="AM20" s="115">
        <v>0.30199999999999999</v>
      </c>
      <c r="AN20" s="50"/>
      <c r="AO20" s="50"/>
      <c r="AP20" s="50"/>
      <c r="AQ20" s="50"/>
      <c r="AS20" s="99">
        <f t="shared" si="17"/>
        <v>16.593</v>
      </c>
    </row>
    <row r="21" spans="1:45" s="22" customFormat="1" ht="25.5" x14ac:dyDescent="0.2">
      <c r="A21" s="284">
        <v>13</v>
      </c>
      <c r="B21" s="52" t="s">
        <v>132</v>
      </c>
      <c r="C21" s="167">
        <v>1</v>
      </c>
      <c r="D21" s="177">
        <v>8.4730000000000008</v>
      </c>
      <c r="E21" s="171">
        <f t="shared" si="0"/>
        <v>8.4700000000000006</v>
      </c>
      <c r="F21" s="154">
        <f>E21*12</f>
        <v>101.6</v>
      </c>
      <c r="G21" s="154"/>
      <c r="H21" s="154">
        <f>4130.4/1000</f>
        <v>4.0999999999999996</v>
      </c>
      <c r="I21" s="154"/>
      <c r="J21" s="154"/>
      <c r="K21" s="154"/>
      <c r="L21" s="154">
        <f t="shared" si="18"/>
        <v>27.6</v>
      </c>
      <c r="M21" s="154">
        <f t="shared" si="2"/>
        <v>133.30000000000001</v>
      </c>
      <c r="N21" s="171">
        <v>0.47</v>
      </c>
      <c r="O21" s="154">
        <f t="shared" si="3"/>
        <v>62.7</v>
      </c>
      <c r="P21" s="154">
        <f t="shared" si="4"/>
        <v>196</v>
      </c>
      <c r="Q21" s="154">
        <f t="shared" si="5"/>
        <v>156.80000000000001</v>
      </c>
      <c r="R21" s="154">
        <f t="shared" si="6"/>
        <v>156.80000000000001</v>
      </c>
      <c r="S21" s="154">
        <f t="shared" si="7"/>
        <v>16.3</v>
      </c>
      <c r="T21" s="154">
        <f t="shared" si="8"/>
        <v>525.9</v>
      </c>
      <c r="U21" s="1827"/>
      <c r="V21" s="154">
        <f>T21*$U$9</f>
        <v>525.9</v>
      </c>
      <c r="W21" s="95">
        <f t="shared" si="20"/>
        <v>158.80000000000001</v>
      </c>
      <c r="X21" s="278"/>
      <c r="Y21" s="24">
        <v>30</v>
      </c>
      <c r="Z21" s="48">
        <f t="shared" si="10"/>
        <v>0</v>
      </c>
      <c r="AA21" s="54"/>
      <c r="AB21" s="24">
        <v>15</v>
      </c>
      <c r="AC21" s="48">
        <f t="shared" si="11"/>
        <v>0</v>
      </c>
      <c r="AD21" s="54"/>
      <c r="AE21" s="24">
        <v>30</v>
      </c>
      <c r="AF21" s="48">
        <f t="shared" si="12"/>
        <v>0</v>
      </c>
      <c r="AG21" s="48">
        <f t="shared" si="13"/>
        <v>0</v>
      </c>
      <c r="AH21" s="48">
        <f t="shared" si="14"/>
        <v>0</v>
      </c>
      <c r="AI21" s="39">
        <f t="shared" si="15"/>
        <v>43825</v>
      </c>
      <c r="AK21" s="34">
        <f t="shared" si="16"/>
        <v>525.9</v>
      </c>
      <c r="AL21" s="34">
        <f t="shared" si="19"/>
        <v>213.2</v>
      </c>
      <c r="AM21" s="51">
        <v>0.30199999999999999</v>
      </c>
      <c r="AN21" s="211"/>
      <c r="AO21" s="211"/>
      <c r="AP21" s="211"/>
      <c r="AQ21" s="211"/>
      <c r="AS21" s="22">
        <f t="shared" si="17"/>
        <v>12.7095</v>
      </c>
    </row>
    <row r="22" spans="1:45" x14ac:dyDescent="0.2">
      <c r="A22" s="284">
        <v>14</v>
      </c>
      <c r="B22" s="261" t="s">
        <v>44</v>
      </c>
      <c r="C22" s="259">
        <v>1</v>
      </c>
      <c r="D22" s="237">
        <v>11.061999999999999</v>
      </c>
      <c r="E22" s="111">
        <f t="shared" si="0"/>
        <v>11.06</v>
      </c>
      <c r="F22" s="95">
        <f t="shared" si="1"/>
        <v>132.69999999999999</v>
      </c>
      <c r="G22" s="95"/>
      <c r="H22" s="95">
        <v>7</v>
      </c>
      <c r="I22" s="95"/>
      <c r="J22" s="95"/>
      <c r="K22" s="95">
        <f>F22*0.4</f>
        <v>53.1</v>
      </c>
      <c r="L22" s="95">
        <f t="shared" si="18"/>
        <v>36.1</v>
      </c>
      <c r="M22" s="95">
        <f t="shared" si="2"/>
        <v>228.9</v>
      </c>
      <c r="N22" s="111">
        <v>0.43</v>
      </c>
      <c r="O22" s="95">
        <f t="shared" si="3"/>
        <v>98.4</v>
      </c>
      <c r="P22" s="95">
        <f t="shared" si="4"/>
        <v>327.3</v>
      </c>
      <c r="Q22" s="95">
        <f t="shared" si="5"/>
        <v>261.8</v>
      </c>
      <c r="R22" s="95">
        <f t="shared" si="6"/>
        <v>261.8</v>
      </c>
      <c r="S22" s="95">
        <f t="shared" si="7"/>
        <v>27.2</v>
      </c>
      <c r="T22" s="95">
        <f t="shared" si="8"/>
        <v>878.1</v>
      </c>
      <c r="U22" s="1827"/>
      <c r="V22" s="95">
        <f t="shared" si="9"/>
        <v>878.1</v>
      </c>
      <c r="W22" s="95">
        <f t="shared" si="20"/>
        <v>265.2</v>
      </c>
      <c r="X22" s="284">
        <v>1</v>
      </c>
      <c r="Y22" s="112">
        <v>30</v>
      </c>
      <c r="Z22" s="113">
        <f t="shared" si="10"/>
        <v>30</v>
      </c>
      <c r="AA22" s="127">
        <v>1</v>
      </c>
      <c r="AB22" s="112">
        <v>15</v>
      </c>
      <c r="AC22" s="113">
        <f t="shared" si="11"/>
        <v>15</v>
      </c>
      <c r="AD22" s="127"/>
      <c r="AE22" s="112">
        <v>30</v>
      </c>
      <c r="AF22" s="113">
        <f t="shared" si="12"/>
        <v>0</v>
      </c>
      <c r="AG22" s="113">
        <f t="shared" si="13"/>
        <v>13.5</v>
      </c>
      <c r="AH22" s="113">
        <f t="shared" si="14"/>
        <v>58.5</v>
      </c>
      <c r="AI22" s="131">
        <f t="shared" si="15"/>
        <v>73175</v>
      </c>
      <c r="AK22" s="114">
        <f t="shared" si="16"/>
        <v>878.1</v>
      </c>
      <c r="AL22" s="114">
        <f t="shared" si="19"/>
        <v>277.3</v>
      </c>
      <c r="AM22" s="115">
        <v>0.30199999999999999</v>
      </c>
      <c r="AN22" s="50"/>
      <c r="AO22" s="50"/>
      <c r="AP22" s="50"/>
      <c r="AQ22" s="50"/>
      <c r="AS22" s="99">
        <f t="shared" si="17"/>
        <v>16.593</v>
      </c>
    </row>
    <row r="23" spans="1:45" x14ac:dyDescent="0.2">
      <c r="A23" s="284">
        <v>15</v>
      </c>
      <c r="B23" s="236" t="s">
        <v>33</v>
      </c>
      <c r="C23" s="174">
        <v>1</v>
      </c>
      <c r="D23" s="237">
        <v>8.4730000000000008</v>
      </c>
      <c r="E23" s="111">
        <f t="shared" si="0"/>
        <v>8.4700000000000006</v>
      </c>
      <c r="F23" s="95">
        <f t="shared" si="1"/>
        <v>101.6</v>
      </c>
      <c r="G23" s="95">
        <f>4015.6/1000</f>
        <v>4</v>
      </c>
      <c r="H23" s="95">
        <f>5782.5/1000</f>
        <v>5.8</v>
      </c>
      <c r="I23" s="95"/>
      <c r="J23" s="95"/>
      <c r="K23" s="95">
        <f>D23*0.2*7.6+D23*0.25*4.4</f>
        <v>22.2</v>
      </c>
      <c r="L23" s="95">
        <f t="shared" si="18"/>
        <v>27.6</v>
      </c>
      <c r="M23" s="95">
        <f t="shared" si="2"/>
        <v>161.19999999999999</v>
      </c>
      <c r="N23" s="111">
        <v>0.41</v>
      </c>
      <c r="O23" s="95">
        <f t="shared" si="3"/>
        <v>66.099999999999994</v>
      </c>
      <c r="P23" s="95">
        <f t="shared" si="4"/>
        <v>227.3</v>
      </c>
      <c r="Q23" s="95">
        <f t="shared" si="5"/>
        <v>181.8</v>
      </c>
      <c r="R23" s="95">
        <f t="shared" si="6"/>
        <v>181.8</v>
      </c>
      <c r="S23" s="95">
        <f t="shared" si="7"/>
        <v>18.899999999999999</v>
      </c>
      <c r="T23" s="95">
        <f t="shared" si="8"/>
        <v>609.79999999999995</v>
      </c>
      <c r="U23" s="1827"/>
      <c r="V23" s="95">
        <f t="shared" si="9"/>
        <v>609.79999999999995</v>
      </c>
      <c r="W23" s="95">
        <f t="shared" si="20"/>
        <v>184.2</v>
      </c>
      <c r="X23" s="238">
        <v>1</v>
      </c>
      <c r="Y23" s="240">
        <v>30</v>
      </c>
      <c r="Z23" s="241">
        <f t="shared" si="10"/>
        <v>30</v>
      </c>
      <c r="AA23" s="238"/>
      <c r="AB23" s="240">
        <v>15</v>
      </c>
      <c r="AC23" s="241">
        <f t="shared" si="11"/>
        <v>0</v>
      </c>
      <c r="AD23" s="238">
        <v>1</v>
      </c>
      <c r="AE23" s="240">
        <v>30</v>
      </c>
      <c r="AF23" s="241">
        <f t="shared" si="12"/>
        <v>30</v>
      </c>
      <c r="AG23" s="241">
        <f t="shared" si="13"/>
        <v>18</v>
      </c>
      <c r="AH23" s="241">
        <f t="shared" si="14"/>
        <v>78</v>
      </c>
      <c r="AI23" s="131">
        <f t="shared" si="15"/>
        <v>50816.67</v>
      </c>
      <c r="AK23" s="114">
        <f t="shared" si="16"/>
        <v>609.79999999999995</v>
      </c>
      <c r="AL23" s="114">
        <f t="shared" si="19"/>
        <v>228.5</v>
      </c>
      <c r="AM23" s="115">
        <v>0.30199999999999999</v>
      </c>
      <c r="AN23" s="263"/>
      <c r="AO23" s="263"/>
      <c r="AP23" s="263"/>
      <c r="AS23" s="99">
        <f t="shared" si="17"/>
        <v>12.7095</v>
      </c>
    </row>
    <row r="24" spans="1:45" ht="25.5" x14ac:dyDescent="0.2">
      <c r="A24" s="284">
        <v>16</v>
      </c>
      <c r="B24" s="236" t="s">
        <v>102</v>
      </c>
      <c r="C24" s="174">
        <v>0.5</v>
      </c>
      <c r="D24" s="237">
        <v>4.3769999999999998</v>
      </c>
      <c r="E24" s="111">
        <f t="shared" si="0"/>
        <v>2.19</v>
      </c>
      <c r="F24" s="95">
        <f t="shared" si="1"/>
        <v>26.3</v>
      </c>
      <c r="G24" s="95"/>
      <c r="H24" s="95"/>
      <c r="I24" s="95"/>
      <c r="J24" s="95"/>
      <c r="K24" s="95"/>
      <c r="L24" s="95">
        <f t="shared" si="18"/>
        <v>7.2</v>
      </c>
      <c r="M24" s="95">
        <f t="shared" si="2"/>
        <v>33.5</v>
      </c>
      <c r="N24" s="111">
        <v>0.49</v>
      </c>
      <c r="O24" s="95">
        <f t="shared" si="3"/>
        <v>16.399999999999999</v>
      </c>
      <c r="P24" s="95">
        <f t="shared" si="4"/>
        <v>49.9</v>
      </c>
      <c r="Q24" s="95">
        <f t="shared" si="5"/>
        <v>39.9</v>
      </c>
      <c r="R24" s="95">
        <f t="shared" si="6"/>
        <v>39.9</v>
      </c>
      <c r="S24" s="95">
        <f t="shared" si="7"/>
        <v>4.2</v>
      </c>
      <c r="T24" s="95">
        <f t="shared" si="8"/>
        <v>133.9</v>
      </c>
      <c r="U24" s="1827"/>
      <c r="V24" s="95">
        <f t="shared" si="9"/>
        <v>133.9</v>
      </c>
      <c r="W24" s="95">
        <f t="shared" si="20"/>
        <v>40.4</v>
      </c>
      <c r="X24" s="238"/>
      <c r="Y24" s="240"/>
      <c r="Z24" s="241"/>
      <c r="AA24" s="238"/>
      <c r="AB24" s="240"/>
      <c r="AC24" s="241"/>
      <c r="AD24" s="238"/>
      <c r="AE24" s="240"/>
      <c r="AF24" s="241"/>
      <c r="AG24" s="241"/>
      <c r="AH24" s="241"/>
      <c r="AI24" s="131"/>
      <c r="AK24" s="114"/>
      <c r="AL24" s="114"/>
      <c r="AM24" s="115"/>
      <c r="AN24" s="263"/>
      <c r="AO24" s="263"/>
      <c r="AP24" s="263"/>
      <c r="AS24" s="99">
        <f t="shared" si="17"/>
        <v>6.5655000000000001</v>
      </c>
    </row>
    <row r="25" spans="1:45" x14ac:dyDescent="0.2">
      <c r="A25" s="284">
        <v>17</v>
      </c>
      <c r="B25" s="236" t="s">
        <v>136</v>
      </c>
      <c r="C25" s="174">
        <v>0.5</v>
      </c>
      <c r="D25" s="237">
        <v>4.3769999999999998</v>
      </c>
      <c r="E25" s="111">
        <f t="shared" si="0"/>
        <v>2.19</v>
      </c>
      <c r="F25" s="95">
        <f t="shared" si="1"/>
        <v>26.3</v>
      </c>
      <c r="G25" s="95"/>
      <c r="H25" s="95"/>
      <c r="I25" s="95"/>
      <c r="J25" s="95"/>
      <c r="K25" s="95"/>
      <c r="L25" s="95">
        <f t="shared" si="18"/>
        <v>7.2</v>
      </c>
      <c r="M25" s="95">
        <f t="shared" si="2"/>
        <v>33.5</v>
      </c>
      <c r="N25" s="111">
        <v>0.49</v>
      </c>
      <c r="O25" s="95">
        <f t="shared" si="3"/>
        <v>16.399999999999999</v>
      </c>
      <c r="P25" s="95">
        <f t="shared" si="4"/>
        <v>49.9</v>
      </c>
      <c r="Q25" s="95">
        <f t="shared" si="5"/>
        <v>39.9</v>
      </c>
      <c r="R25" s="95">
        <f t="shared" si="6"/>
        <v>39.9</v>
      </c>
      <c r="S25" s="95">
        <f t="shared" si="7"/>
        <v>4.2</v>
      </c>
      <c r="T25" s="95">
        <f t="shared" si="8"/>
        <v>133.9</v>
      </c>
      <c r="U25" s="1827"/>
      <c r="V25" s="95">
        <f t="shared" si="9"/>
        <v>133.9</v>
      </c>
      <c r="W25" s="95">
        <f t="shared" si="20"/>
        <v>40.4</v>
      </c>
      <c r="X25" s="238"/>
      <c r="Y25" s="240"/>
      <c r="Z25" s="241"/>
      <c r="AA25" s="238"/>
      <c r="AB25" s="240"/>
      <c r="AC25" s="241"/>
      <c r="AD25" s="238"/>
      <c r="AE25" s="240"/>
      <c r="AF25" s="241"/>
      <c r="AG25" s="241"/>
      <c r="AH25" s="241"/>
      <c r="AI25" s="131"/>
      <c r="AK25" s="114"/>
      <c r="AL25" s="114"/>
      <c r="AM25" s="115"/>
      <c r="AN25" s="263"/>
      <c r="AO25" s="263"/>
      <c r="AP25" s="263"/>
      <c r="AS25" s="99">
        <f t="shared" si="17"/>
        <v>6.5655000000000001</v>
      </c>
    </row>
    <row r="26" spans="1:45" s="245" customFormat="1" x14ac:dyDescent="0.2">
      <c r="A26" s="284">
        <v>18</v>
      </c>
      <c r="B26" s="236" t="s">
        <v>60</v>
      </c>
      <c r="C26" s="262">
        <v>2</v>
      </c>
      <c r="D26" s="247">
        <v>4.3769999999999998</v>
      </c>
      <c r="E26" s="249">
        <f t="shared" si="0"/>
        <v>8.75</v>
      </c>
      <c r="F26" s="248">
        <f t="shared" si="1"/>
        <v>105</v>
      </c>
      <c r="G26" s="248">
        <f>12446.4/1000</f>
        <v>12.4</v>
      </c>
      <c r="H26" s="248">
        <f>5974.3/1000</f>
        <v>6</v>
      </c>
      <c r="I26" s="248"/>
      <c r="J26" s="248"/>
      <c r="K26" s="248"/>
      <c r="L26" s="95">
        <v>59</v>
      </c>
      <c r="M26" s="248">
        <f t="shared" si="2"/>
        <v>182.4</v>
      </c>
      <c r="N26" s="111">
        <v>0.49</v>
      </c>
      <c r="O26" s="248">
        <f t="shared" si="3"/>
        <v>89.4</v>
      </c>
      <c r="P26" s="248">
        <f t="shared" si="4"/>
        <v>271.8</v>
      </c>
      <c r="Q26" s="248">
        <f t="shared" si="5"/>
        <v>217.4</v>
      </c>
      <c r="R26" s="248">
        <f t="shared" si="6"/>
        <v>217.4</v>
      </c>
      <c r="S26" s="248">
        <f t="shared" si="7"/>
        <v>22.6</v>
      </c>
      <c r="T26" s="248">
        <f t="shared" si="8"/>
        <v>729.2</v>
      </c>
      <c r="U26" s="1827"/>
      <c r="V26" s="248">
        <f t="shared" si="9"/>
        <v>729.2</v>
      </c>
      <c r="W26" s="95">
        <f t="shared" si="20"/>
        <v>220.2</v>
      </c>
      <c r="X26" s="246">
        <v>1</v>
      </c>
      <c r="Y26" s="240">
        <v>30</v>
      </c>
      <c r="Z26" s="241">
        <f t="shared" si="10"/>
        <v>30</v>
      </c>
      <c r="AA26" s="246"/>
      <c r="AB26" s="240">
        <v>15</v>
      </c>
      <c r="AC26" s="241">
        <f t="shared" si="11"/>
        <v>0</v>
      </c>
      <c r="AD26" s="246"/>
      <c r="AE26" s="240">
        <v>30</v>
      </c>
      <c r="AF26" s="241">
        <f t="shared" si="12"/>
        <v>0</v>
      </c>
      <c r="AG26" s="241">
        <f t="shared" si="13"/>
        <v>9</v>
      </c>
      <c r="AH26" s="241">
        <f t="shared" si="14"/>
        <v>39</v>
      </c>
      <c r="AI26" s="131">
        <f>V26/12/C26*1000</f>
        <v>30383.33</v>
      </c>
      <c r="AK26" s="114">
        <f>V26/C26</f>
        <v>364.6</v>
      </c>
      <c r="AL26" s="114">
        <f t="shared" si="19"/>
        <v>183.8</v>
      </c>
      <c r="AM26" s="115">
        <v>0.30199999999999999</v>
      </c>
      <c r="AN26" s="211"/>
      <c r="AO26" s="211"/>
      <c r="AP26" s="211"/>
      <c r="AQ26" s="211"/>
      <c r="AS26" s="99">
        <f t="shared" si="17"/>
        <v>6.5655000000000001</v>
      </c>
    </row>
    <row r="27" spans="1:45" x14ac:dyDescent="0.2">
      <c r="A27" s="284">
        <v>19</v>
      </c>
      <c r="B27" s="261" t="s">
        <v>94</v>
      </c>
      <c r="C27" s="264">
        <v>2</v>
      </c>
      <c r="D27" s="237">
        <v>4.3769999999999998</v>
      </c>
      <c r="E27" s="111">
        <f t="shared" si="0"/>
        <v>8.75</v>
      </c>
      <c r="F27" s="95">
        <f t="shared" si="1"/>
        <v>105</v>
      </c>
      <c r="G27" s="95">
        <f>2074.4/1000</f>
        <v>2.1</v>
      </c>
      <c r="H27" s="95">
        <f>5.974</f>
        <v>6</v>
      </c>
      <c r="I27" s="95"/>
      <c r="J27" s="95"/>
      <c r="K27" s="95"/>
      <c r="L27" s="95">
        <v>70.8</v>
      </c>
      <c r="M27" s="95">
        <f t="shared" si="2"/>
        <v>183.9</v>
      </c>
      <c r="N27" s="111">
        <v>0.47</v>
      </c>
      <c r="O27" s="95">
        <f t="shared" si="3"/>
        <v>86.4</v>
      </c>
      <c r="P27" s="95">
        <f t="shared" si="4"/>
        <v>270.3</v>
      </c>
      <c r="Q27" s="95">
        <f t="shared" si="5"/>
        <v>216.2</v>
      </c>
      <c r="R27" s="95">
        <f t="shared" si="6"/>
        <v>216.2</v>
      </c>
      <c r="S27" s="95">
        <f t="shared" si="7"/>
        <v>22.5</v>
      </c>
      <c r="T27" s="95">
        <f t="shared" si="8"/>
        <v>725.2</v>
      </c>
      <c r="U27" s="1827"/>
      <c r="V27" s="95">
        <f>T27*$U$9+0.1</f>
        <v>725.3</v>
      </c>
      <c r="W27" s="95">
        <f t="shared" si="20"/>
        <v>219</v>
      </c>
      <c r="X27" s="284">
        <v>1</v>
      </c>
      <c r="Y27" s="112">
        <v>30</v>
      </c>
      <c r="Z27" s="113">
        <f t="shared" si="10"/>
        <v>30</v>
      </c>
      <c r="AA27" s="284"/>
      <c r="AB27" s="112">
        <v>15</v>
      </c>
      <c r="AC27" s="113">
        <f t="shared" si="11"/>
        <v>0</v>
      </c>
      <c r="AD27" s="284"/>
      <c r="AE27" s="112">
        <v>30</v>
      </c>
      <c r="AF27" s="113">
        <f t="shared" si="12"/>
        <v>0</v>
      </c>
      <c r="AG27" s="113">
        <f t="shared" si="13"/>
        <v>9</v>
      </c>
      <c r="AH27" s="113">
        <f t="shared" si="14"/>
        <v>39</v>
      </c>
      <c r="AI27" s="131">
        <f>V27/12/C27*1000</f>
        <v>30220.83</v>
      </c>
      <c r="AK27" s="114">
        <f>V27/C27</f>
        <v>362.7</v>
      </c>
      <c r="AL27" s="114">
        <f t="shared" si="19"/>
        <v>183.5</v>
      </c>
      <c r="AM27" s="115">
        <v>0.30199999999999999</v>
      </c>
      <c r="AS27" s="99">
        <f t="shared" si="17"/>
        <v>6.5655000000000001</v>
      </c>
    </row>
    <row r="28" spans="1:45" s="98" customFormat="1" ht="20.25" customHeight="1" x14ac:dyDescent="0.2">
      <c r="A28" s="1829" t="s">
        <v>8</v>
      </c>
      <c r="B28" s="1829"/>
      <c r="C28" s="265">
        <f>SUM(C9:C27)</f>
        <v>25</v>
      </c>
      <c r="D28" s="266">
        <f t="shared" ref="D28:T28" si="21">SUM(D9:D27)</f>
        <v>187.6</v>
      </c>
      <c r="E28" s="266">
        <f t="shared" si="21"/>
        <v>251.7</v>
      </c>
      <c r="F28" s="266">
        <f t="shared" si="21"/>
        <v>3020.1</v>
      </c>
      <c r="G28" s="266">
        <f t="shared" si="21"/>
        <v>18.5</v>
      </c>
      <c r="H28" s="266">
        <f t="shared" si="21"/>
        <v>110.7</v>
      </c>
      <c r="I28" s="266">
        <f t="shared" si="21"/>
        <v>0</v>
      </c>
      <c r="J28" s="266">
        <f t="shared" si="21"/>
        <v>0</v>
      </c>
      <c r="K28" s="266">
        <f t="shared" si="21"/>
        <v>703.9</v>
      </c>
      <c r="L28" s="266">
        <f t="shared" si="21"/>
        <v>894.2</v>
      </c>
      <c r="M28" s="266">
        <f t="shared" si="21"/>
        <v>4747.3999999999996</v>
      </c>
      <c r="N28" s="266">
        <f t="shared" si="21"/>
        <v>8.5</v>
      </c>
      <c r="O28" s="266">
        <f t="shared" si="21"/>
        <v>2108</v>
      </c>
      <c r="P28" s="266">
        <f t="shared" si="21"/>
        <v>6855.4</v>
      </c>
      <c r="Q28" s="266">
        <f t="shared" si="21"/>
        <v>5484.1</v>
      </c>
      <c r="R28" s="266">
        <f t="shared" si="21"/>
        <v>5484.1</v>
      </c>
      <c r="S28" s="266">
        <f t="shared" si="21"/>
        <v>570.29999999999995</v>
      </c>
      <c r="T28" s="266">
        <f t="shared" si="21"/>
        <v>18393.900000000001</v>
      </c>
      <c r="U28" s="266"/>
      <c r="V28" s="266">
        <f t="shared" ref="V28:AH28" si="22">SUM(V9:V27)</f>
        <v>18394</v>
      </c>
      <c r="W28" s="266">
        <f>SUM(W9:W27)</f>
        <v>5400.8</v>
      </c>
      <c r="X28" s="266">
        <f t="shared" si="22"/>
        <v>8</v>
      </c>
      <c r="Y28" s="266">
        <f t="shared" si="22"/>
        <v>510</v>
      </c>
      <c r="Z28" s="266">
        <f t="shared" si="22"/>
        <v>240</v>
      </c>
      <c r="AA28" s="266">
        <f t="shared" si="22"/>
        <v>1</v>
      </c>
      <c r="AB28" s="266">
        <f t="shared" si="22"/>
        <v>255</v>
      </c>
      <c r="AC28" s="266">
        <f t="shared" si="22"/>
        <v>15</v>
      </c>
      <c r="AD28" s="266">
        <f t="shared" si="22"/>
        <v>3</v>
      </c>
      <c r="AE28" s="266">
        <f t="shared" si="22"/>
        <v>510</v>
      </c>
      <c r="AF28" s="266">
        <f t="shared" si="22"/>
        <v>90</v>
      </c>
      <c r="AG28" s="266">
        <f t="shared" si="22"/>
        <v>103.5</v>
      </c>
      <c r="AH28" s="266">
        <f t="shared" si="22"/>
        <v>448.5</v>
      </c>
      <c r="AI28" s="131"/>
      <c r="AK28" s="114"/>
      <c r="AL28" s="114"/>
      <c r="AM28" s="115"/>
      <c r="AN28" s="211"/>
      <c r="AO28" s="211"/>
      <c r="AP28" s="211"/>
      <c r="AQ28" s="211"/>
      <c r="AS28" s="99"/>
    </row>
    <row r="29" spans="1:45" s="98" customFormat="1" ht="20.25" customHeight="1" x14ac:dyDescent="0.2">
      <c r="A29" s="267"/>
      <c r="B29" s="268"/>
      <c r="C29" s="269"/>
      <c r="D29" s="270"/>
      <c r="E29" s="270"/>
      <c r="F29" s="270"/>
      <c r="G29" s="270"/>
      <c r="H29" s="270"/>
      <c r="I29" s="270"/>
      <c r="J29" s="270"/>
      <c r="K29" s="270"/>
      <c r="L29" s="270"/>
      <c r="M29" s="270"/>
      <c r="N29" s="270"/>
      <c r="O29" s="270"/>
      <c r="P29" s="270"/>
      <c r="Q29" s="270"/>
      <c r="R29" s="270"/>
      <c r="S29" s="270"/>
      <c r="T29" s="270"/>
      <c r="U29" s="270"/>
      <c r="V29" s="270"/>
      <c r="W29" s="66"/>
      <c r="X29" s="270"/>
      <c r="Y29" s="270"/>
      <c r="Z29" s="270"/>
      <c r="AA29" s="270"/>
      <c r="AB29" s="270"/>
      <c r="AC29" s="270"/>
      <c r="AD29" s="270"/>
      <c r="AE29" s="270"/>
      <c r="AF29" s="270"/>
      <c r="AG29" s="270"/>
      <c r="AH29" s="270"/>
      <c r="AI29" s="131"/>
      <c r="AK29" s="114"/>
      <c r="AL29" s="114"/>
      <c r="AM29" s="115"/>
      <c r="AN29" s="211"/>
      <c r="AO29" s="211"/>
      <c r="AP29" s="211"/>
      <c r="AQ29" s="211"/>
    </row>
    <row r="30" spans="1:45" s="75" customFormat="1" x14ac:dyDescent="0.2">
      <c r="A30" s="70"/>
      <c r="B30" s="70"/>
      <c r="C30" s="71"/>
      <c r="D30" s="271"/>
      <c r="E30" s="72"/>
      <c r="F30" s="72"/>
      <c r="G30" s="72"/>
      <c r="H30" s="73"/>
      <c r="I30" s="73"/>
      <c r="J30" s="27"/>
      <c r="K30" s="27"/>
      <c r="L30" s="27"/>
      <c r="M30" s="27"/>
      <c r="N30" s="74"/>
      <c r="O30" s="27"/>
      <c r="P30" s="27"/>
      <c r="Q30" s="27"/>
      <c r="R30" s="27"/>
      <c r="S30" s="27"/>
      <c r="T30" s="27"/>
      <c r="U30" s="27"/>
      <c r="V30" s="27"/>
      <c r="W30" s="27"/>
      <c r="X30" s="27"/>
      <c r="Y30" s="27"/>
      <c r="Z30" s="27"/>
      <c r="AA30" s="27"/>
      <c r="AB30" s="27"/>
      <c r="AC30" s="27"/>
      <c r="AD30" s="27"/>
      <c r="AE30" s="27"/>
      <c r="AF30" s="27"/>
      <c r="AG30" s="27"/>
      <c r="AH30" s="27"/>
      <c r="AI30" s="27"/>
      <c r="AJ30" s="76"/>
      <c r="AN30" s="76"/>
      <c r="AO30" s="76"/>
      <c r="AP30" s="76"/>
      <c r="AQ30" s="76"/>
      <c r="AR30" s="76"/>
    </row>
    <row r="31" spans="1:45" s="75" customFormat="1" ht="58.5" customHeight="1" x14ac:dyDescent="0.2">
      <c r="A31" s="70"/>
      <c r="B31" s="70"/>
      <c r="C31" s="71"/>
      <c r="D31" s="77"/>
      <c r="E31" s="77"/>
      <c r="F31" s="27"/>
      <c r="G31" s="1438" t="s">
        <v>140</v>
      </c>
      <c r="H31" s="1438"/>
      <c r="I31" s="1438" t="s">
        <v>145</v>
      </c>
      <c r="J31" s="1438"/>
      <c r="K31" s="1438" t="s">
        <v>128</v>
      </c>
      <c r="L31" s="1438"/>
      <c r="Q31" s="27"/>
      <c r="R31" s="27"/>
      <c r="S31" s="27"/>
      <c r="T31" s="27"/>
      <c r="U31" s="27"/>
      <c r="V31" s="27"/>
      <c r="W31" s="27"/>
      <c r="X31" s="27"/>
      <c r="Y31" s="27"/>
      <c r="Z31" s="27"/>
      <c r="AA31" s="27"/>
      <c r="AB31" s="27"/>
      <c r="AC31" s="27"/>
      <c r="AD31" s="27"/>
      <c r="AE31" s="27"/>
      <c r="AF31" s="27"/>
      <c r="AG31" s="27"/>
      <c r="AH31" s="27"/>
      <c r="AI31" s="27"/>
      <c r="AJ31" s="76"/>
      <c r="AN31" s="76"/>
      <c r="AO31" s="76"/>
      <c r="AP31" s="76"/>
      <c r="AQ31" s="76"/>
      <c r="AR31" s="76"/>
    </row>
    <row r="32" spans="1:45" s="75" customFormat="1" x14ac:dyDescent="0.2">
      <c r="A32" s="70"/>
      <c r="B32" s="70"/>
      <c r="C32" s="71"/>
      <c r="D32" s="77"/>
      <c r="E32" s="77"/>
      <c r="F32" s="27"/>
      <c r="G32" s="279">
        <v>991</v>
      </c>
      <c r="H32" s="279">
        <v>992</v>
      </c>
      <c r="I32" s="279">
        <v>991</v>
      </c>
      <c r="J32" s="279">
        <v>992</v>
      </c>
      <c r="K32" s="279">
        <v>991</v>
      </c>
      <c r="L32" s="279">
        <v>992</v>
      </c>
      <c r="Q32" s="27"/>
      <c r="R32" s="27"/>
      <c r="S32" s="27"/>
      <c r="T32" s="27"/>
      <c r="U32" s="27"/>
      <c r="V32" s="27"/>
      <c r="W32" s="27"/>
      <c r="X32" s="27"/>
      <c r="Y32" s="27"/>
      <c r="Z32" s="27"/>
      <c r="AA32" s="27"/>
      <c r="AB32" s="27"/>
      <c r="AC32" s="27"/>
      <c r="AD32" s="27"/>
      <c r="AE32" s="27"/>
      <c r="AF32" s="27"/>
      <c r="AG32" s="27"/>
      <c r="AH32" s="27"/>
      <c r="AI32" s="27"/>
      <c r="AJ32" s="76"/>
      <c r="AN32" s="76"/>
      <c r="AO32" s="76"/>
      <c r="AP32" s="76"/>
      <c r="AQ32" s="76"/>
      <c r="AR32" s="76"/>
    </row>
    <row r="33" spans="1:44" s="75" customFormat="1" x14ac:dyDescent="0.2">
      <c r="A33" s="70"/>
      <c r="B33" s="70"/>
      <c r="C33" s="71"/>
      <c r="D33" s="77"/>
      <c r="E33" s="77"/>
      <c r="F33" s="27"/>
      <c r="G33" s="29">
        <v>18394</v>
      </c>
      <c r="H33" s="29">
        <v>5393.9</v>
      </c>
      <c r="I33" s="29">
        <f>V28</f>
        <v>18394</v>
      </c>
      <c r="J33" s="29">
        <f>W28</f>
        <v>5400.8</v>
      </c>
      <c r="K33" s="29">
        <f>G33-I33</f>
        <v>0</v>
      </c>
      <c r="L33" s="29">
        <f>H33-J33</f>
        <v>-6.9</v>
      </c>
      <c r="Q33" s="27"/>
      <c r="R33" s="27"/>
      <c r="S33" s="27"/>
      <c r="T33" s="27"/>
      <c r="U33" s="27"/>
      <c r="V33" s="27"/>
      <c r="W33" s="27"/>
      <c r="X33" s="27"/>
      <c r="Y33" s="27"/>
      <c r="Z33" s="27"/>
      <c r="AA33" s="27"/>
      <c r="AB33" s="27"/>
      <c r="AC33" s="27"/>
      <c r="AD33" s="27"/>
      <c r="AE33" s="27"/>
      <c r="AF33" s="27"/>
      <c r="AG33" s="27"/>
      <c r="AH33" s="27"/>
      <c r="AI33" s="27"/>
      <c r="AJ33" s="76"/>
      <c r="AN33" s="76"/>
      <c r="AO33" s="76"/>
      <c r="AP33" s="76"/>
      <c r="AQ33" s="76"/>
      <c r="AR33" s="76"/>
    </row>
    <row r="38" spans="1:44" s="282" customFormat="1" ht="20.25" x14ac:dyDescent="0.2">
      <c r="A38" s="81"/>
      <c r="B38" s="82" t="s">
        <v>138</v>
      </c>
      <c r="C38" s="83"/>
      <c r="D38" s="84"/>
      <c r="E38" s="84"/>
      <c r="F38" s="85"/>
      <c r="G38" s="85"/>
      <c r="H38" s="86"/>
      <c r="I38" s="86"/>
      <c r="J38" s="85"/>
      <c r="K38" s="30" t="s">
        <v>166</v>
      </c>
      <c r="L38" s="85"/>
      <c r="M38" s="85"/>
      <c r="N38" s="87"/>
      <c r="O38" s="85"/>
      <c r="P38" s="85"/>
      <c r="Q38" s="85"/>
      <c r="R38" s="85"/>
      <c r="S38" s="85"/>
      <c r="T38" s="85"/>
      <c r="U38" s="85"/>
      <c r="V38" s="85"/>
      <c r="W38" s="85"/>
      <c r="X38" s="85"/>
      <c r="Y38" s="85"/>
      <c r="Z38" s="85"/>
      <c r="AA38" s="85"/>
      <c r="AB38" s="85"/>
      <c r="AC38" s="85"/>
      <c r="AD38" s="85"/>
      <c r="AE38" s="85"/>
      <c r="AF38" s="85"/>
      <c r="AG38" s="85"/>
      <c r="AH38" s="85"/>
      <c r="AI38" s="85"/>
      <c r="AK38" s="88"/>
      <c r="AL38" s="88"/>
      <c r="AM38" s="88"/>
      <c r="AN38" s="88"/>
      <c r="AO38" s="88"/>
    </row>
    <row r="39" spans="1:44" s="143" customFormat="1" x14ac:dyDescent="0.2">
      <c r="A39" s="136"/>
      <c r="B39" s="136"/>
      <c r="C39" s="137"/>
      <c r="D39" s="144"/>
      <c r="E39" s="144"/>
      <c r="F39" s="140"/>
      <c r="G39" s="140"/>
      <c r="H39" s="139"/>
      <c r="I39" s="139"/>
      <c r="J39" s="140"/>
      <c r="K39" s="140"/>
      <c r="L39" s="140"/>
      <c r="M39" s="140"/>
      <c r="N39" s="141"/>
      <c r="O39" s="140"/>
      <c r="P39" s="140"/>
      <c r="Q39" s="140"/>
      <c r="R39" s="140"/>
      <c r="S39" s="140"/>
      <c r="T39" s="140"/>
      <c r="U39" s="140"/>
      <c r="V39" s="140"/>
      <c r="W39" s="140"/>
      <c r="X39" s="140"/>
      <c r="Y39" s="140"/>
      <c r="Z39" s="140"/>
      <c r="AA39" s="140"/>
      <c r="AB39" s="140"/>
      <c r="AC39" s="140"/>
      <c r="AD39" s="140"/>
      <c r="AE39" s="140"/>
      <c r="AF39" s="142"/>
      <c r="AK39" s="142"/>
      <c r="AL39" s="142"/>
      <c r="AM39" s="142"/>
      <c r="AN39" s="76"/>
      <c r="AO39" s="76"/>
      <c r="AP39" s="76"/>
      <c r="AQ39" s="76"/>
      <c r="AR39" s="99"/>
    </row>
    <row r="40" spans="1:44" s="143" customFormat="1" x14ac:dyDescent="0.2">
      <c r="A40" s="136"/>
      <c r="B40" s="136"/>
      <c r="C40" s="137"/>
      <c r="D40" s="144"/>
      <c r="E40" s="144"/>
      <c r="F40" s="140"/>
      <c r="G40" s="140"/>
      <c r="H40" s="139"/>
      <c r="I40" s="139"/>
      <c r="J40" s="140"/>
      <c r="K40" s="140"/>
      <c r="L40" s="140"/>
      <c r="M40" s="140"/>
      <c r="N40" s="202"/>
      <c r="O40" s="203"/>
      <c r="P40" s="140"/>
      <c r="Q40" s="140"/>
      <c r="R40" s="140"/>
      <c r="S40" s="140"/>
      <c r="T40" s="140"/>
      <c r="U40" s="140"/>
      <c r="V40" s="140"/>
      <c r="W40" s="140"/>
      <c r="X40" s="140"/>
      <c r="Y40" s="140"/>
      <c r="Z40" s="140"/>
      <c r="AA40" s="140"/>
      <c r="AB40" s="140"/>
      <c r="AC40" s="140"/>
      <c r="AD40" s="140"/>
      <c r="AE40" s="140"/>
      <c r="AF40" s="142"/>
      <c r="AK40" s="142"/>
      <c r="AL40" s="142"/>
      <c r="AM40" s="142"/>
      <c r="AN40" s="76"/>
      <c r="AO40" s="76"/>
      <c r="AP40" s="76"/>
      <c r="AQ40" s="76"/>
      <c r="AR40" s="252"/>
    </row>
    <row r="41" spans="1:44" s="143" customFormat="1" ht="20.25" customHeight="1" x14ac:dyDescent="0.2">
      <c r="A41" s="145" t="s">
        <v>96</v>
      </c>
      <c r="B41" s="145"/>
      <c r="C41" s="146"/>
      <c r="D41" s="146"/>
      <c r="E41" s="146"/>
      <c r="F41" s="146"/>
      <c r="G41" s="146"/>
      <c r="H41" s="146"/>
      <c r="I41" s="146"/>
      <c r="J41" s="146"/>
      <c r="K41" s="146"/>
      <c r="L41" s="147"/>
      <c r="M41" s="147"/>
      <c r="N41" s="202"/>
      <c r="O41" s="203"/>
      <c r="P41" s="147"/>
      <c r="Q41" s="147"/>
      <c r="R41" s="147"/>
      <c r="S41" s="147"/>
      <c r="T41" s="147"/>
      <c r="U41" s="147"/>
      <c r="V41" s="147"/>
      <c r="W41" s="147"/>
      <c r="X41" s="147"/>
      <c r="Y41" s="147"/>
      <c r="Z41" s="147"/>
      <c r="AA41" s="147"/>
      <c r="AB41" s="147"/>
      <c r="AC41" s="147"/>
      <c r="AD41" s="147"/>
      <c r="AE41" s="147"/>
      <c r="AF41" s="142"/>
      <c r="AK41" s="142"/>
      <c r="AL41" s="142"/>
      <c r="AM41" s="142"/>
      <c r="AN41" s="76"/>
      <c r="AO41" s="76"/>
      <c r="AP41" s="76"/>
      <c r="AQ41" s="76"/>
      <c r="AR41" s="99"/>
    </row>
    <row r="42" spans="1:44" s="143" customFormat="1" ht="20.25" customHeight="1" x14ac:dyDescent="0.2">
      <c r="A42" s="145" t="s">
        <v>139</v>
      </c>
      <c r="B42" s="149"/>
      <c r="C42" s="150"/>
      <c r="D42" s="150"/>
      <c r="E42" s="151"/>
      <c r="F42" s="151"/>
      <c r="G42" s="151"/>
      <c r="H42" s="151"/>
      <c r="I42" s="151"/>
      <c r="J42" s="151"/>
      <c r="K42" s="151"/>
      <c r="L42" s="147"/>
      <c r="M42" s="147"/>
      <c r="N42" s="202"/>
      <c r="O42" s="203"/>
      <c r="P42" s="147"/>
      <c r="Q42" s="147"/>
      <c r="R42" s="147"/>
      <c r="S42" s="147"/>
      <c r="T42" s="147"/>
      <c r="U42" s="147"/>
      <c r="V42" s="147"/>
      <c r="W42" s="147"/>
      <c r="X42" s="147"/>
      <c r="Y42" s="147"/>
      <c r="Z42" s="147"/>
      <c r="AA42" s="147"/>
      <c r="AB42" s="147"/>
      <c r="AC42" s="147"/>
      <c r="AD42" s="147"/>
      <c r="AE42" s="147"/>
      <c r="AF42" s="142"/>
      <c r="AK42" s="142"/>
      <c r="AL42" s="142"/>
      <c r="AM42" s="142"/>
      <c r="AN42" s="76"/>
      <c r="AO42" s="76"/>
      <c r="AP42" s="76"/>
      <c r="AQ42" s="76"/>
      <c r="AR42" s="252"/>
    </row>
    <row r="44" spans="1:44" x14ac:dyDescent="0.2">
      <c r="E44" s="115"/>
    </row>
    <row r="45" spans="1:44" x14ac:dyDescent="0.2">
      <c r="E45" s="115"/>
    </row>
    <row r="46" spans="1:44" x14ac:dyDescent="0.2">
      <c r="E46" s="115"/>
      <c r="Y46" s="99" t="s">
        <v>124</v>
      </c>
    </row>
    <row r="47" spans="1:44" x14ac:dyDescent="0.2">
      <c r="E47" s="115"/>
    </row>
    <row r="48" spans="1:44" x14ac:dyDescent="0.2">
      <c r="E48" s="115"/>
    </row>
    <row r="49" spans="5:5" x14ac:dyDescent="0.2">
      <c r="E49" s="115"/>
    </row>
    <row r="50" spans="5:5" x14ac:dyDescent="0.2">
      <c r="E50" s="115"/>
    </row>
    <row r="51" spans="5:5" x14ac:dyDescent="0.2">
      <c r="E51" s="115"/>
    </row>
    <row r="52" spans="5:5" x14ac:dyDescent="0.2">
      <c r="E52" s="115"/>
    </row>
    <row r="53" spans="5:5" x14ac:dyDescent="0.2">
      <c r="E53" s="115"/>
    </row>
    <row r="54" spans="5:5" x14ac:dyDescent="0.2">
      <c r="E54" s="115"/>
    </row>
    <row r="55" spans="5:5" x14ac:dyDescent="0.2">
      <c r="E55" s="115"/>
    </row>
    <row r="56" spans="5:5" x14ac:dyDescent="0.2">
      <c r="E56" s="115"/>
    </row>
    <row r="57" spans="5:5" x14ac:dyDescent="0.2">
      <c r="E57" s="115"/>
    </row>
    <row r="58" spans="5:5" x14ac:dyDescent="0.2">
      <c r="E58" s="115"/>
    </row>
    <row r="59" spans="5:5" x14ac:dyDescent="0.2">
      <c r="E59" s="115"/>
    </row>
    <row r="60" spans="5:5" x14ac:dyDescent="0.2">
      <c r="E60" s="115"/>
    </row>
    <row r="61" spans="5:5" x14ac:dyDescent="0.2">
      <c r="E61" s="115"/>
    </row>
    <row r="62" spans="5:5" x14ac:dyDescent="0.2">
      <c r="E62" s="115"/>
    </row>
    <row r="63" spans="5:5" x14ac:dyDescent="0.2">
      <c r="E63" s="115"/>
    </row>
    <row r="64" spans="5:5" x14ac:dyDescent="0.2">
      <c r="E64" s="115"/>
    </row>
    <row r="65" spans="5:5" x14ac:dyDescent="0.2">
      <c r="E65" s="115"/>
    </row>
    <row r="66" spans="5:5" x14ac:dyDescent="0.2">
      <c r="E66" s="115"/>
    </row>
    <row r="67" spans="5:5" x14ac:dyDescent="0.2">
      <c r="E67" s="115"/>
    </row>
    <row r="68" spans="5:5" x14ac:dyDescent="0.2">
      <c r="E68" s="115"/>
    </row>
  </sheetData>
  <autoFilter ref="A8:AS28"/>
  <mergeCells count="37">
    <mergeCell ref="G31:H31"/>
    <mergeCell ref="I31:J31"/>
    <mergeCell ref="K31:L31"/>
    <mergeCell ref="AA6:AC6"/>
    <mergeCell ref="J6:J7"/>
    <mergeCell ref="K6:K7"/>
    <mergeCell ref="AH6:AH7"/>
    <mergeCell ref="U9:U27"/>
    <mergeCell ref="A28:B28"/>
    <mergeCell ref="S6:S7"/>
    <mergeCell ref="T6:T7"/>
    <mergeCell ref="U6:U7"/>
    <mergeCell ref="V6:V7"/>
    <mergeCell ref="W6:W7"/>
    <mergeCell ref="X6:Z6"/>
    <mergeCell ref="L6:L7"/>
    <mergeCell ref="F6:F7"/>
    <mergeCell ref="G6:G7"/>
    <mergeCell ref="H6:H7"/>
    <mergeCell ref="I6:I7"/>
    <mergeCell ref="R6:R7"/>
    <mergeCell ref="AE1:AH1"/>
    <mergeCell ref="A2:AH2"/>
    <mergeCell ref="A3:AH3"/>
    <mergeCell ref="A5:A7"/>
    <mergeCell ref="B5:B7"/>
    <mergeCell ref="C5:C7"/>
    <mergeCell ref="D5:W5"/>
    <mergeCell ref="X5:AH5"/>
    <mergeCell ref="D6:D7"/>
    <mergeCell ref="E6:E7"/>
    <mergeCell ref="AG6:AG7"/>
    <mergeCell ref="M6:M7"/>
    <mergeCell ref="N6:O6"/>
    <mergeCell ref="P6:P7"/>
    <mergeCell ref="Q6:Q7"/>
    <mergeCell ref="AD6:AF6"/>
  </mergeCells>
  <printOptions horizontalCentered="1"/>
  <pageMargins left="0" right="0" top="0" bottom="0" header="0.31496062992125984" footer="0.31496062992125984"/>
  <pageSetup paperSize="9" scale="37"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AS43"/>
  <sheetViews>
    <sheetView view="pageBreakPreview" zoomScale="80" zoomScaleSheetLayoutView="80" workbookViewId="0">
      <pane xSplit="3" ySplit="8" topLeftCell="L9" activePane="bottomRight" state="frozen"/>
      <selection activeCell="M26" sqref="M26:N26"/>
      <selection pane="topRight" activeCell="M26" sqref="M26:N26"/>
      <selection pane="bottomLeft" activeCell="M26" sqref="M26:N26"/>
      <selection pane="bottomRight" activeCell="M26" sqref="M26:N26"/>
    </sheetView>
  </sheetViews>
  <sheetFormatPr defaultColWidth="9.33203125" defaultRowHeight="12.75" x14ac:dyDescent="0.2"/>
  <cols>
    <col min="1" max="1" width="12.83203125" style="98" customWidth="1"/>
    <col min="2" max="2" width="30.83203125" style="99" customWidth="1"/>
    <col min="3" max="3" width="13.83203125" style="99" customWidth="1"/>
    <col min="4" max="4" width="11.5" style="99" customWidth="1"/>
    <col min="5" max="5" width="13" style="99" customWidth="1"/>
    <col min="6" max="6" width="14.6640625" style="99" customWidth="1"/>
    <col min="7" max="8" width="13.1640625" style="99" customWidth="1"/>
    <col min="9" max="9" width="11.6640625" style="99" customWidth="1"/>
    <col min="10" max="10" width="16.83203125" style="99" customWidth="1"/>
    <col min="11" max="11" width="12" style="99" customWidth="1"/>
    <col min="12" max="17" width="11.5" style="100" customWidth="1"/>
    <col min="18" max="18" width="14.1640625" style="99" customWidth="1"/>
    <col min="19" max="19" width="15.5" style="99" customWidth="1"/>
    <col min="20" max="20" width="12.33203125" style="99" customWidth="1"/>
    <col min="21" max="21" width="11.6640625" style="99" customWidth="1"/>
    <col min="22" max="23" width="12" style="99" customWidth="1"/>
    <col min="24" max="24" width="12.6640625" style="99" customWidth="1"/>
    <col min="25" max="25" width="12" style="99" customWidth="1"/>
    <col min="26" max="26" width="9.6640625" style="99" customWidth="1"/>
    <col min="27" max="31" width="8.5" style="99" customWidth="1"/>
    <col min="32" max="32" width="9.6640625" style="99" customWidth="1"/>
    <col min="33" max="33" width="9.33203125" style="99" customWidth="1"/>
    <col min="34" max="34" width="12" style="99" customWidth="1"/>
    <col min="35" max="36" width="11.1640625" style="99" customWidth="1"/>
    <col min="37" max="37" width="12.6640625" style="99" customWidth="1"/>
    <col min="38" max="38" width="11.83203125" style="99" hidden="1" customWidth="1"/>
    <col min="39" max="39" width="13" style="99" hidden="1" customWidth="1"/>
    <col min="40" max="42" width="9.33203125" style="22"/>
    <col min="43" max="43" width="11.33203125" style="22" bestFit="1" customWidth="1"/>
    <col min="44" max="16384" width="9.33203125" style="99"/>
  </cols>
  <sheetData>
    <row r="1" spans="1:45" ht="21" customHeight="1" x14ac:dyDescent="0.2">
      <c r="AE1" s="1439"/>
      <c r="AF1" s="1439"/>
      <c r="AG1" s="1439"/>
      <c r="AH1" s="1439"/>
    </row>
    <row r="2" spans="1:45" ht="24" customHeight="1" x14ac:dyDescent="0.2">
      <c r="A2" s="1440" t="s">
        <v>142</v>
      </c>
      <c r="B2" s="1440"/>
      <c r="C2" s="1440"/>
      <c r="D2" s="1440"/>
      <c r="E2" s="1440"/>
      <c r="F2" s="1440"/>
      <c r="G2" s="1440"/>
      <c r="H2" s="1440"/>
      <c r="I2" s="1440"/>
      <c r="J2" s="1440"/>
      <c r="K2" s="1440"/>
      <c r="L2" s="1440"/>
      <c r="M2" s="1440"/>
      <c r="N2" s="1440"/>
      <c r="O2" s="1440"/>
      <c r="P2" s="1440"/>
      <c r="Q2" s="1440"/>
      <c r="R2" s="1440"/>
      <c r="S2" s="1440"/>
      <c r="T2" s="1440"/>
      <c r="U2" s="1440"/>
      <c r="V2" s="1440"/>
      <c r="W2" s="1440"/>
      <c r="X2" s="1440"/>
      <c r="Y2" s="1440"/>
      <c r="Z2" s="1440"/>
      <c r="AA2" s="1440"/>
      <c r="AB2" s="1440"/>
      <c r="AC2" s="1440"/>
      <c r="AD2" s="1440"/>
      <c r="AE2" s="1440"/>
      <c r="AF2" s="1440"/>
      <c r="AG2" s="1440"/>
      <c r="AH2" s="1440"/>
    </row>
    <row r="3" spans="1:45" ht="24.75" customHeight="1" x14ac:dyDescent="0.2">
      <c r="A3" s="1441"/>
      <c r="B3" s="1441"/>
      <c r="C3" s="1441"/>
      <c r="D3" s="1441"/>
      <c r="E3" s="1441"/>
      <c r="F3" s="1441"/>
      <c r="G3" s="1441"/>
      <c r="H3" s="1441"/>
      <c r="I3" s="1441"/>
      <c r="J3" s="1441"/>
      <c r="K3" s="1441"/>
      <c r="L3" s="1441"/>
      <c r="M3" s="1441"/>
      <c r="N3" s="1441"/>
      <c r="O3" s="1441"/>
      <c r="P3" s="1441"/>
      <c r="Q3" s="1441"/>
      <c r="R3" s="1441"/>
      <c r="S3" s="1441"/>
      <c r="T3" s="1441"/>
      <c r="U3" s="1441"/>
      <c r="V3" s="1441"/>
      <c r="W3" s="1441"/>
      <c r="X3" s="1441"/>
      <c r="Y3" s="1441"/>
      <c r="Z3" s="1441"/>
      <c r="AA3" s="1441"/>
      <c r="AB3" s="1441"/>
      <c r="AC3" s="1441"/>
      <c r="AD3" s="1441"/>
      <c r="AE3" s="1441"/>
      <c r="AF3" s="1441"/>
      <c r="AG3" s="1441"/>
      <c r="AH3" s="1441"/>
    </row>
    <row r="4" spans="1:45" x14ac:dyDescent="0.2">
      <c r="L4" s="102">
        <v>3.8399999999999997E-2</v>
      </c>
    </row>
    <row r="5" spans="1:45" ht="38.25" customHeight="1" x14ac:dyDescent="0.2">
      <c r="A5" s="1442" t="s">
        <v>78</v>
      </c>
      <c r="B5" s="1442" t="s">
        <v>77</v>
      </c>
      <c r="C5" s="1443" t="s">
        <v>0</v>
      </c>
      <c r="D5" s="1443" t="s">
        <v>3</v>
      </c>
      <c r="E5" s="1443"/>
      <c r="F5" s="1443"/>
      <c r="G5" s="1443"/>
      <c r="H5" s="1443"/>
      <c r="I5" s="1443"/>
      <c r="J5" s="1443"/>
      <c r="K5" s="1443"/>
      <c r="L5" s="1443"/>
      <c r="M5" s="1443"/>
      <c r="N5" s="1443"/>
      <c r="O5" s="1443"/>
      <c r="P5" s="1443"/>
      <c r="Q5" s="1443"/>
      <c r="R5" s="1443"/>
      <c r="S5" s="1443"/>
      <c r="T5" s="1443"/>
      <c r="U5" s="1443"/>
      <c r="V5" s="1443"/>
      <c r="W5" s="1443"/>
      <c r="X5" s="1443" t="s">
        <v>4</v>
      </c>
      <c r="Y5" s="1443"/>
      <c r="Z5" s="1443"/>
      <c r="AA5" s="1443"/>
      <c r="AB5" s="1443"/>
      <c r="AC5" s="1443"/>
      <c r="AD5" s="1443"/>
      <c r="AE5" s="1443"/>
      <c r="AF5" s="1443"/>
      <c r="AG5" s="1443"/>
      <c r="AH5" s="1443"/>
    </row>
    <row r="6" spans="1:45" ht="60" customHeight="1" x14ac:dyDescent="0.2">
      <c r="A6" s="1442"/>
      <c r="B6" s="1442"/>
      <c r="C6" s="1443"/>
      <c r="D6" s="1444" t="s">
        <v>79</v>
      </c>
      <c r="E6" s="1444" t="s">
        <v>69</v>
      </c>
      <c r="F6" s="1444" t="s">
        <v>89</v>
      </c>
      <c r="G6" s="1444" t="s">
        <v>1</v>
      </c>
      <c r="H6" s="1444" t="s">
        <v>2</v>
      </c>
      <c r="I6" s="1444" t="s">
        <v>70</v>
      </c>
      <c r="J6" s="1444" t="s">
        <v>61</v>
      </c>
      <c r="K6" s="1444" t="s">
        <v>27</v>
      </c>
      <c r="L6" s="1446" t="s">
        <v>65</v>
      </c>
      <c r="M6" s="1446" t="s">
        <v>86</v>
      </c>
      <c r="N6" s="1447" t="s">
        <v>91</v>
      </c>
      <c r="O6" s="1447"/>
      <c r="P6" s="1447" t="s">
        <v>88</v>
      </c>
      <c r="Q6" s="1446" t="s">
        <v>82</v>
      </c>
      <c r="R6" s="1444" t="s">
        <v>83</v>
      </c>
      <c r="S6" s="1446" t="s">
        <v>87</v>
      </c>
      <c r="T6" s="1444" t="s">
        <v>84</v>
      </c>
      <c r="U6" s="1444" t="s">
        <v>9</v>
      </c>
      <c r="V6" s="1444" t="s">
        <v>7</v>
      </c>
      <c r="W6" s="1444" t="s">
        <v>85</v>
      </c>
      <c r="X6" s="1443" t="s">
        <v>10</v>
      </c>
      <c r="Y6" s="1443"/>
      <c r="Z6" s="1443"/>
      <c r="AA6" s="1443" t="s">
        <v>11</v>
      </c>
      <c r="AB6" s="1443"/>
      <c r="AC6" s="1443"/>
      <c r="AD6" s="1443" t="s">
        <v>12</v>
      </c>
      <c r="AE6" s="1443"/>
      <c r="AF6" s="1443"/>
      <c r="AG6" s="1443" t="s">
        <v>13</v>
      </c>
      <c r="AH6" s="1443" t="s">
        <v>73</v>
      </c>
    </row>
    <row r="7" spans="1:45" ht="97.5" customHeight="1" x14ac:dyDescent="0.2">
      <c r="A7" s="1442"/>
      <c r="B7" s="1442"/>
      <c r="C7" s="1443"/>
      <c r="D7" s="1444"/>
      <c r="E7" s="1444"/>
      <c r="F7" s="1444"/>
      <c r="G7" s="1444"/>
      <c r="H7" s="1444"/>
      <c r="I7" s="1444"/>
      <c r="J7" s="1444"/>
      <c r="K7" s="1444"/>
      <c r="L7" s="1446" t="s">
        <v>66</v>
      </c>
      <c r="M7" s="1446"/>
      <c r="N7" s="104" t="s">
        <v>80</v>
      </c>
      <c r="O7" s="104" t="s">
        <v>81</v>
      </c>
      <c r="P7" s="1447"/>
      <c r="Q7" s="1446"/>
      <c r="R7" s="1444"/>
      <c r="S7" s="1446" t="s">
        <v>67</v>
      </c>
      <c r="T7" s="1444"/>
      <c r="U7" s="1444"/>
      <c r="V7" s="1444"/>
      <c r="W7" s="1444"/>
      <c r="X7" s="105" t="s">
        <v>5</v>
      </c>
      <c r="Y7" s="105" t="s">
        <v>6</v>
      </c>
      <c r="Z7" s="105" t="s">
        <v>74</v>
      </c>
      <c r="AA7" s="105" t="s">
        <v>5</v>
      </c>
      <c r="AB7" s="105" t="s">
        <v>6</v>
      </c>
      <c r="AC7" s="105" t="s">
        <v>75</v>
      </c>
      <c r="AD7" s="105" t="s">
        <v>5</v>
      </c>
      <c r="AE7" s="105" t="s">
        <v>6</v>
      </c>
      <c r="AF7" s="105" t="s">
        <v>76</v>
      </c>
      <c r="AG7" s="1443"/>
      <c r="AH7" s="1443"/>
      <c r="AK7" s="98" t="s">
        <v>64</v>
      </c>
      <c r="AL7" s="98" t="s">
        <v>62</v>
      </c>
      <c r="AM7" s="98" t="s">
        <v>63</v>
      </c>
    </row>
    <row r="8" spans="1:45" x14ac:dyDescent="0.2">
      <c r="A8" s="94">
        <v>1</v>
      </c>
      <c r="B8" s="94">
        <v>2</v>
      </c>
      <c r="C8" s="94">
        <v>3</v>
      </c>
      <c r="D8" s="94">
        <v>4</v>
      </c>
      <c r="E8" s="94">
        <v>5</v>
      </c>
      <c r="F8" s="94">
        <v>6</v>
      </c>
      <c r="G8" s="94">
        <v>7</v>
      </c>
      <c r="H8" s="94">
        <v>8</v>
      </c>
      <c r="I8" s="94">
        <v>9</v>
      </c>
      <c r="J8" s="94">
        <v>10</v>
      </c>
      <c r="K8" s="94">
        <v>11</v>
      </c>
      <c r="L8" s="94">
        <v>12</v>
      </c>
      <c r="M8" s="94">
        <v>13</v>
      </c>
      <c r="N8" s="94">
        <v>14</v>
      </c>
      <c r="O8" s="94">
        <v>15</v>
      </c>
      <c r="P8" s="94">
        <v>16</v>
      </c>
      <c r="Q8" s="94">
        <v>17</v>
      </c>
      <c r="R8" s="94">
        <v>18</v>
      </c>
      <c r="S8" s="94">
        <v>19</v>
      </c>
      <c r="T8" s="94">
        <v>20</v>
      </c>
      <c r="U8" s="94">
        <v>21</v>
      </c>
      <c r="V8" s="94">
        <v>22</v>
      </c>
      <c r="W8" s="94">
        <v>23</v>
      </c>
      <c r="X8" s="94">
        <v>24</v>
      </c>
      <c r="Y8" s="94">
        <v>25</v>
      </c>
      <c r="Z8" s="94">
        <v>26</v>
      </c>
      <c r="AA8" s="94">
        <v>27</v>
      </c>
      <c r="AB8" s="94">
        <v>28</v>
      </c>
      <c r="AC8" s="94">
        <v>29</v>
      </c>
      <c r="AD8" s="94">
        <v>30</v>
      </c>
      <c r="AE8" s="94">
        <v>31</v>
      </c>
      <c r="AF8" s="94">
        <v>32</v>
      </c>
      <c r="AG8" s="94">
        <v>33</v>
      </c>
      <c r="AH8" s="94">
        <v>34</v>
      </c>
      <c r="AN8" s="43" t="s">
        <v>116</v>
      </c>
      <c r="AO8" s="43" t="s">
        <v>117</v>
      </c>
      <c r="AP8" s="43" t="s">
        <v>118</v>
      </c>
      <c r="AQ8" s="43" t="s">
        <v>119</v>
      </c>
    </row>
    <row r="9" spans="1:45" ht="16.5" customHeight="1" x14ac:dyDescent="0.2">
      <c r="A9" s="94">
        <v>1</v>
      </c>
      <c r="B9" s="106" t="s">
        <v>21</v>
      </c>
      <c r="C9" s="94">
        <v>1</v>
      </c>
      <c r="D9" s="107">
        <v>22.465</v>
      </c>
      <c r="E9" s="108">
        <f t="shared" ref="E9:E20" si="0">C9*D9</f>
        <v>22.47</v>
      </c>
      <c r="F9" s="109">
        <f t="shared" ref="F9:F19" si="1">E9*12</f>
        <v>269.60000000000002</v>
      </c>
      <c r="G9" s="110"/>
      <c r="H9" s="110"/>
      <c r="I9" s="110"/>
      <c r="J9" s="110"/>
      <c r="K9" s="95">
        <f>D9*0.2*5+D9*0.25*7</f>
        <v>61.8</v>
      </c>
      <c r="L9" s="95">
        <f>$L$4*F9</f>
        <v>10.4</v>
      </c>
      <c r="M9" s="95">
        <f t="shared" ref="M9:M19" si="2">F9+G9+H9+I9+J9+K9+L9</f>
        <v>341.8</v>
      </c>
      <c r="N9" s="111">
        <v>0.47</v>
      </c>
      <c r="O9" s="95">
        <f t="shared" ref="O9:O19" si="3">M9*N9</f>
        <v>160.6</v>
      </c>
      <c r="P9" s="95">
        <f t="shared" ref="P9:P19" si="4">M9+O9</f>
        <v>502.4</v>
      </c>
      <c r="Q9" s="95">
        <f t="shared" ref="Q9:Q19" si="5">P9*0.8</f>
        <v>401.9</v>
      </c>
      <c r="R9" s="95">
        <f t="shared" ref="R9:R19" si="6">P9*0.8</f>
        <v>401.9</v>
      </c>
      <c r="S9" s="95">
        <f t="shared" ref="S9:S19" si="7">(P9+Q9+R9)*0.032</f>
        <v>41.8</v>
      </c>
      <c r="T9" s="95">
        <f>P9+Q9+R9+S9</f>
        <v>1348</v>
      </c>
      <c r="U9" s="1448">
        <v>1</v>
      </c>
      <c r="V9" s="95">
        <f>T9*$U$9</f>
        <v>1348</v>
      </c>
      <c r="W9" s="95">
        <f>AQ9</f>
        <v>369.3</v>
      </c>
      <c r="X9" s="94">
        <v>1</v>
      </c>
      <c r="Y9" s="112">
        <v>30</v>
      </c>
      <c r="Z9" s="113">
        <f t="shared" ref="Z9:Z20" si="8">X9*Y9</f>
        <v>30</v>
      </c>
      <c r="AA9" s="94"/>
      <c r="AB9" s="112">
        <v>15</v>
      </c>
      <c r="AC9" s="113">
        <f t="shared" ref="AC9:AC20" si="9">AA9*AB9</f>
        <v>0</v>
      </c>
      <c r="AD9" s="94"/>
      <c r="AE9" s="112">
        <v>30</v>
      </c>
      <c r="AF9" s="113">
        <f>AD9*AE9</f>
        <v>0</v>
      </c>
      <c r="AG9" s="113">
        <f>(Z9+AC9+AF9)*1%*30</f>
        <v>9</v>
      </c>
      <c r="AH9" s="113">
        <f>Z9+AC9+AF9+AG9</f>
        <v>39</v>
      </c>
      <c r="AI9" s="114">
        <f t="shared" ref="AI9:AI19" si="10">V9/12/C9*1000</f>
        <v>112333.3</v>
      </c>
      <c r="AJ9" s="114"/>
      <c r="AK9" s="114">
        <f t="shared" ref="AK9:AK20" si="11">V9/C9</f>
        <v>1348</v>
      </c>
      <c r="AL9" s="114">
        <f>((979*0.302)+((AK9-979)*0.182))</f>
        <v>362.8</v>
      </c>
      <c r="AM9" s="115">
        <f>AL9/AK9</f>
        <v>0.26900000000000002</v>
      </c>
      <c r="AN9" s="50">
        <f>1150*0.22*C9+(V9-1150*C9)*0.1</f>
        <v>272.8</v>
      </c>
      <c r="AO9" s="116">
        <f>865*0.029</f>
        <v>25.1</v>
      </c>
      <c r="AP9" s="116">
        <f>AK9*0.053</f>
        <v>71.400000000000006</v>
      </c>
      <c r="AQ9" s="50">
        <f>SUM(AN9:AP9)</f>
        <v>369.3</v>
      </c>
      <c r="AS9" s="115"/>
    </row>
    <row r="10" spans="1:45" ht="15" x14ac:dyDescent="0.2">
      <c r="A10" s="94">
        <v>2</v>
      </c>
      <c r="B10" s="106" t="s">
        <v>125</v>
      </c>
      <c r="C10" s="94">
        <v>1</v>
      </c>
      <c r="D10" s="107">
        <v>17.972000000000001</v>
      </c>
      <c r="E10" s="108">
        <f t="shared" si="0"/>
        <v>17.97</v>
      </c>
      <c r="F10" s="109">
        <f t="shared" si="1"/>
        <v>215.6</v>
      </c>
      <c r="G10" s="110"/>
      <c r="H10" s="110"/>
      <c r="I10" s="110"/>
      <c r="J10" s="110"/>
      <c r="K10" s="95">
        <f>F10*0.3</f>
        <v>64.7</v>
      </c>
      <c r="L10" s="95">
        <f t="shared" ref="L10:L20" si="12">$L$4*F10</f>
        <v>8.3000000000000007</v>
      </c>
      <c r="M10" s="95">
        <f t="shared" si="2"/>
        <v>288.60000000000002</v>
      </c>
      <c r="N10" s="111">
        <v>0.47</v>
      </c>
      <c r="O10" s="95">
        <f t="shared" si="3"/>
        <v>135.6</v>
      </c>
      <c r="P10" s="95">
        <f t="shared" si="4"/>
        <v>424.2</v>
      </c>
      <c r="Q10" s="95">
        <f t="shared" si="5"/>
        <v>339.4</v>
      </c>
      <c r="R10" s="95">
        <f t="shared" si="6"/>
        <v>339.4</v>
      </c>
      <c r="S10" s="95">
        <f t="shared" si="7"/>
        <v>35.299999999999997</v>
      </c>
      <c r="T10" s="95">
        <f t="shared" ref="T10:T19" si="13">P10+Q10+R10+S10</f>
        <v>1138.3</v>
      </c>
      <c r="U10" s="1449"/>
      <c r="V10" s="95">
        <f>T10*$U$9</f>
        <v>1138.3</v>
      </c>
      <c r="W10" s="95">
        <f>AQ10</f>
        <v>337.2</v>
      </c>
      <c r="X10" s="94"/>
      <c r="Y10" s="112">
        <v>30</v>
      </c>
      <c r="Z10" s="113">
        <f t="shared" si="8"/>
        <v>0</v>
      </c>
      <c r="AA10" s="94"/>
      <c r="AB10" s="112">
        <v>15</v>
      </c>
      <c r="AC10" s="113">
        <f t="shared" si="9"/>
        <v>0</v>
      </c>
      <c r="AD10" s="94"/>
      <c r="AE10" s="112">
        <v>30</v>
      </c>
      <c r="AF10" s="113">
        <f t="shared" ref="AF10:AF20" si="14">AD10*AE10</f>
        <v>0</v>
      </c>
      <c r="AG10" s="113">
        <f t="shared" ref="AG10:AG20" si="15">(Z10+AC10+AF10)*1%*30</f>
        <v>0</v>
      </c>
      <c r="AH10" s="113">
        <f t="shared" ref="AH10:AH20" si="16">Z10+AC10+AF10+AG10</f>
        <v>0</v>
      </c>
      <c r="AI10" s="114">
        <f t="shared" si="10"/>
        <v>94858.3</v>
      </c>
      <c r="AJ10" s="114"/>
      <c r="AK10" s="114">
        <f t="shared" si="11"/>
        <v>1138.3</v>
      </c>
      <c r="AL10" s="114">
        <f t="shared" ref="AL10:AL20" si="17">((979*0.302)+((AK10-979)*0.182))</f>
        <v>324.7</v>
      </c>
      <c r="AM10" s="115">
        <f>AL10/AK10</f>
        <v>0.28499999999999998</v>
      </c>
      <c r="AN10" s="50">
        <f>1150*0.22*C10+(V10-1150*C10)*0.1</f>
        <v>251.8</v>
      </c>
      <c r="AO10" s="116">
        <f>865*0.029</f>
        <v>25.1</v>
      </c>
      <c r="AP10" s="116">
        <f>AK10*0.053</f>
        <v>60.3</v>
      </c>
      <c r="AQ10" s="50">
        <f>SUM(AN10:AP10)</f>
        <v>337.2</v>
      </c>
      <c r="AS10" s="115"/>
    </row>
    <row r="11" spans="1:45" ht="15" x14ac:dyDescent="0.2">
      <c r="A11" s="94">
        <v>3</v>
      </c>
      <c r="B11" s="117" t="s">
        <v>29</v>
      </c>
      <c r="C11" s="118">
        <v>1</v>
      </c>
      <c r="D11" s="107">
        <v>8.4730000000000008</v>
      </c>
      <c r="E11" s="119">
        <f t="shared" si="0"/>
        <v>8.4700000000000006</v>
      </c>
      <c r="F11" s="110">
        <f t="shared" si="1"/>
        <v>101.6</v>
      </c>
      <c r="G11" s="110"/>
      <c r="H11" s="110"/>
      <c r="I11" s="110"/>
      <c r="J11" s="110"/>
      <c r="K11" s="95"/>
      <c r="L11" s="95">
        <f t="shared" si="12"/>
        <v>3.9</v>
      </c>
      <c r="M11" s="95">
        <f t="shared" si="2"/>
        <v>105.5</v>
      </c>
      <c r="N11" s="111">
        <v>0.41</v>
      </c>
      <c r="O11" s="95">
        <f t="shared" si="3"/>
        <v>43.3</v>
      </c>
      <c r="P11" s="95">
        <f t="shared" si="4"/>
        <v>148.80000000000001</v>
      </c>
      <c r="Q11" s="95">
        <f t="shared" si="5"/>
        <v>119</v>
      </c>
      <c r="R11" s="95">
        <f t="shared" si="6"/>
        <v>119</v>
      </c>
      <c r="S11" s="95">
        <f t="shared" si="7"/>
        <v>12.4</v>
      </c>
      <c r="T11" s="95">
        <f t="shared" si="13"/>
        <v>399.2</v>
      </c>
      <c r="U11" s="1449"/>
      <c r="V11" s="95">
        <f t="shared" ref="V11:V19" si="18">T11*$U$9</f>
        <v>399.2</v>
      </c>
      <c r="W11" s="95">
        <f t="shared" ref="W11:W20" si="19">V11*0.302</f>
        <v>120.6</v>
      </c>
      <c r="X11" s="120"/>
      <c r="Y11" s="112">
        <v>30</v>
      </c>
      <c r="Z11" s="113">
        <f t="shared" si="8"/>
        <v>0</v>
      </c>
      <c r="AA11" s="120"/>
      <c r="AB11" s="112">
        <v>15</v>
      </c>
      <c r="AC11" s="113">
        <f t="shared" si="9"/>
        <v>0</v>
      </c>
      <c r="AD11" s="120"/>
      <c r="AE11" s="112">
        <v>30</v>
      </c>
      <c r="AF11" s="113">
        <f t="shared" si="14"/>
        <v>0</v>
      </c>
      <c r="AG11" s="113">
        <f t="shared" si="15"/>
        <v>0</v>
      </c>
      <c r="AH11" s="113">
        <f t="shared" si="16"/>
        <v>0</v>
      </c>
      <c r="AI11" s="114">
        <f t="shared" si="10"/>
        <v>33266.699999999997</v>
      </c>
      <c r="AJ11" s="114"/>
      <c r="AK11" s="114">
        <f t="shared" si="11"/>
        <v>399.2</v>
      </c>
      <c r="AL11" s="114">
        <f t="shared" si="17"/>
        <v>190.1</v>
      </c>
      <c r="AM11" s="115">
        <v>0.30199999999999999</v>
      </c>
      <c r="AN11" s="116"/>
      <c r="AO11" s="116"/>
      <c r="AP11" s="116"/>
      <c r="AQ11" s="116"/>
      <c r="AS11" s="115"/>
    </row>
    <row r="12" spans="1:45" s="126" customFormat="1" ht="25.5" x14ac:dyDescent="0.2">
      <c r="A12" s="94">
        <v>4</v>
      </c>
      <c r="B12" s="121" t="s">
        <v>31</v>
      </c>
      <c r="C12" s="122">
        <v>1</v>
      </c>
      <c r="D12" s="107">
        <v>11.061999999999999</v>
      </c>
      <c r="E12" s="123">
        <f t="shared" si="0"/>
        <v>11.06</v>
      </c>
      <c r="F12" s="124">
        <f t="shared" si="1"/>
        <v>132.69999999999999</v>
      </c>
      <c r="G12" s="124"/>
      <c r="H12" s="124"/>
      <c r="I12" s="124"/>
      <c r="J12" s="125"/>
      <c r="K12" s="96"/>
      <c r="L12" s="95">
        <f t="shared" si="12"/>
        <v>5.0999999999999996</v>
      </c>
      <c r="M12" s="96">
        <f t="shared" si="2"/>
        <v>137.80000000000001</v>
      </c>
      <c r="N12" s="111">
        <v>0.47</v>
      </c>
      <c r="O12" s="96">
        <f t="shared" si="3"/>
        <v>64.8</v>
      </c>
      <c r="P12" s="96">
        <f t="shared" si="4"/>
        <v>202.6</v>
      </c>
      <c r="Q12" s="96">
        <f t="shared" si="5"/>
        <v>162.1</v>
      </c>
      <c r="R12" s="96">
        <f t="shared" si="6"/>
        <v>162.1</v>
      </c>
      <c r="S12" s="96">
        <f t="shared" si="7"/>
        <v>16.899999999999999</v>
      </c>
      <c r="T12" s="96">
        <f t="shared" si="13"/>
        <v>543.70000000000005</v>
      </c>
      <c r="U12" s="1449"/>
      <c r="V12" s="96">
        <f t="shared" si="18"/>
        <v>543.70000000000005</v>
      </c>
      <c r="W12" s="95">
        <f t="shared" si="19"/>
        <v>164.2</v>
      </c>
      <c r="X12" s="122">
        <v>1</v>
      </c>
      <c r="Y12" s="112">
        <v>30</v>
      </c>
      <c r="Z12" s="113">
        <f t="shared" si="8"/>
        <v>30</v>
      </c>
      <c r="AA12" s="122"/>
      <c r="AB12" s="112">
        <v>15</v>
      </c>
      <c r="AC12" s="113">
        <f t="shared" si="9"/>
        <v>0</v>
      </c>
      <c r="AD12" s="122"/>
      <c r="AE12" s="112">
        <v>30</v>
      </c>
      <c r="AF12" s="113">
        <f t="shared" si="14"/>
        <v>0</v>
      </c>
      <c r="AG12" s="113">
        <f t="shared" si="15"/>
        <v>9</v>
      </c>
      <c r="AH12" s="113">
        <f t="shared" si="16"/>
        <v>39</v>
      </c>
      <c r="AI12" s="114">
        <f t="shared" si="10"/>
        <v>45308.3</v>
      </c>
      <c r="AJ12" s="114"/>
      <c r="AK12" s="114">
        <f t="shared" si="11"/>
        <v>543.70000000000005</v>
      </c>
      <c r="AL12" s="114">
        <f t="shared" si="17"/>
        <v>216.4</v>
      </c>
      <c r="AM12" s="115">
        <v>0.30199999999999999</v>
      </c>
      <c r="AN12" s="22"/>
      <c r="AO12" s="116"/>
      <c r="AP12" s="116"/>
      <c r="AQ12" s="116"/>
      <c r="AS12" s="115"/>
    </row>
    <row r="13" spans="1:45" ht="25.5" x14ac:dyDescent="0.2">
      <c r="A13" s="94">
        <v>5</v>
      </c>
      <c r="B13" s="117" t="s">
        <v>108</v>
      </c>
      <c r="C13" s="127">
        <v>2</v>
      </c>
      <c r="D13" s="107">
        <v>8.4730000000000008</v>
      </c>
      <c r="E13" s="119">
        <f t="shared" si="0"/>
        <v>16.95</v>
      </c>
      <c r="F13" s="110">
        <f t="shared" si="1"/>
        <v>203.4</v>
      </c>
      <c r="G13" s="110"/>
      <c r="H13" s="110"/>
      <c r="I13" s="110"/>
      <c r="J13" s="110"/>
      <c r="K13" s="95">
        <f>F13*0.25</f>
        <v>50.9</v>
      </c>
      <c r="L13" s="95">
        <f t="shared" si="12"/>
        <v>7.8</v>
      </c>
      <c r="M13" s="95">
        <f t="shared" si="2"/>
        <v>262.10000000000002</v>
      </c>
      <c r="N13" s="111">
        <v>0.47</v>
      </c>
      <c r="O13" s="95">
        <f t="shared" si="3"/>
        <v>123.2</v>
      </c>
      <c r="P13" s="95">
        <f t="shared" si="4"/>
        <v>385.3</v>
      </c>
      <c r="Q13" s="95">
        <f t="shared" si="5"/>
        <v>308.2</v>
      </c>
      <c r="R13" s="95">
        <f t="shared" si="6"/>
        <v>308.2</v>
      </c>
      <c r="S13" s="95">
        <f t="shared" si="7"/>
        <v>32.1</v>
      </c>
      <c r="T13" s="95">
        <f t="shared" si="13"/>
        <v>1033.8</v>
      </c>
      <c r="U13" s="1449"/>
      <c r="V13" s="95">
        <f>T13*$U$9</f>
        <v>1033.8</v>
      </c>
      <c r="W13" s="95">
        <f t="shared" si="19"/>
        <v>312.2</v>
      </c>
      <c r="X13" s="94">
        <v>1</v>
      </c>
      <c r="Y13" s="112">
        <v>30</v>
      </c>
      <c r="Z13" s="113">
        <f t="shared" si="8"/>
        <v>30</v>
      </c>
      <c r="AA13" s="127">
        <v>1</v>
      </c>
      <c r="AB13" s="112">
        <v>15</v>
      </c>
      <c r="AC13" s="113">
        <f t="shared" si="9"/>
        <v>15</v>
      </c>
      <c r="AD13" s="127"/>
      <c r="AE13" s="112">
        <v>30</v>
      </c>
      <c r="AF13" s="113">
        <f t="shared" si="14"/>
        <v>0</v>
      </c>
      <c r="AG13" s="113">
        <f t="shared" si="15"/>
        <v>13.5</v>
      </c>
      <c r="AH13" s="113">
        <f t="shared" si="16"/>
        <v>58.5</v>
      </c>
      <c r="AI13" s="114">
        <f t="shared" si="10"/>
        <v>43075</v>
      </c>
      <c r="AJ13" s="114"/>
      <c r="AK13" s="114">
        <f t="shared" si="11"/>
        <v>516.9</v>
      </c>
      <c r="AL13" s="114">
        <f t="shared" si="17"/>
        <v>211.6</v>
      </c>
      <c r="AM13" s="115">
        <v>0.30199999999999999</v>
      </c>
      <c r="AQ13" s="116"/>
      <c r="AS13" s="115"/>
    </row>
    <row r="14" spans="1:45" ht="15" x14ac:dyDescent="0.2">
      <c r="A14" s="94">
        <v>6</v>
      </c>
      <c r="B14" s="117" t="s">
        <v>32</v>
      </c>
      <c r="C14" s="128">
        <v>1</v>
      </c>
      <c r="D14" s="107">
        <v>11.061999999999999</v>
      </c>
      <c r="E14" s="119">
        <f t="shared" si="0"/>
        <v>11.06</v>
      </c>
      <c r="F14" s="110">
        <f t="shared" si="1"/>
        <v>132.69999999999999</v>
      </c>
      <c r="G14" s="110"/>
      <c r="H14" s="110"/>
      <c r="I14" s="110"/>
      <c r="J14" s="110"/>
      <c r="K14" s="95"/>
      <c r="L14" s="95">
        <f t="shared" si="12"/>
        <v>5.0999999999999996</v>
      </c>
      <c r="M14" s="95">
        <f t="shared" si="2"/>
        <v>137.80000000000001</v>
      </c>
      <c r="N14" s="111">
        <v>0.43</v>
      </c>
      <c r="O14" s="95">
        <f t="shared" si="3"/>
        <v>59.3</v>
      </c>
      <c r="P14" s="95">
        <f t="shared" si="4"/>
        <v>197.1</v>
      </c>
      <c r="Q14" s="95">
        <f t="shared" si="5"/>
        <v>157.69999999999999</v>
      </c>
      <c r="R14" s="95">
        <f t="shared" si="6"/>
        <v>157.69999999999999</v>
      </c>
      <c r="S14" s="95">
        <f t="shared" si="7"/>
        <v>16.399999999999999</v>
      </c>
      <c r="T14" s="95">
        <f t="shared" si="13"/>
        <v>528.9</v>
      </c>
      <c r="U14" s="1449"/>
      <c r="V14" s="95">
        <f t="shared" si="18"/>
        <v>528.9</v>
      </c>
      <c r="W14" s="95">
        <f t="shared" si="19"/>
        <v>159.69999999999999</v>
      </c>
      <c r="X14" s="94">
        <v>1</v>
      </c>
      <c r="Y14" s="112">
        <v>30</v>
      </c>
      <c r="Z14" s="113">
        <f t="shared" si="8"/>
        <v>30</v>
      </c>
      <c r="AA14" s="127"/>
      <c r="AB14" s="112">
        <v>15</v>
      </c>
      <c r="AC14" s="113">
        <f t="shared" si="9"/>
        <v>0</v>
      </c>
      <c r="AD14" s="127"/>
      <c r="AE14" s="112">
        <v>30</v>
      </c>
      <c r="AF14" s="113">
        <f t="shared" si="14"/>
        <v>0</v>
      </c>
      <c r="AG14" s="113">
        <f t="shared" si="15"/>
        <v>9</v>
      </c>
      <c r="AH14" s="113">
        <f t="shared" si="16"/>
        <v>39</v>
      </c>
      <c r="AI14" s="114">
        <f t="shared" si="10"/>
        <v>44075</v>
      </c>
      <c r="AJ14" s="114"/>
      <c r="AK14" s="114">
        <f t="shared" si="11"/>
        <v>528.9</v>
      </c>
      <c r="AL14" s="114">
        <f t="shared" si="17"/>
        <v>213.7</v>
      </c>
      <c r="AM14" s="115">
        <v>0.30199999999999999</v>
      </c>
      <c r="AO14" s="116"/>
      <c r="AP14" s="116"/>
      <c r="AQ14" s="116"/>
      <c r="AS14" s="115"/>
    </row>
    <row r="15" spans="1:45" x14ac:dyDescent="0.2">
      <c r="A15" s="94">
        <v>7</v>
      </c>
      <c r="B15" s="129" t="s">
        <v>23</v>
      </c>
      <c r="C15" s="128">
        <v>1</v>
      </c>
      <c r="D15" s="107">
        <v>11.061999999999999</v>
      </c>
      <c r="E15" s="119">
        <f t="shared" si="0"/>
        <v>11.06</v>
      </c>
      <c r="F15" s="110">
        <f t="shared" si="1"/>
        <v>132.69999999999999</v>
      </c>
      <c r="G15" s="110"/>
      <c r="H15" s="110"/>
      <c r="I15" s="110"/>
      <c r="J15" s="110"/>
      <c r="K15" s="95">
        <f>D15*0.3*9+D15*0.35*3</f>
        <v>41.5</v>
      </c>
      <c r="L15" s="95">
        <f t="shared" si="12"/>
        <v>5.0999999999999996</v>
      </c>
      <c r="M15" s="95">
        <f t="shared" si="2"/>
        <v>179.3</v>
      </c>
      <c r="N15" s="111">
        <v>0.43</v>
      </c>
      <c r="O15" s="95">
        <f t="shared" si="3"/>
        <v>77.099999999999994</v>
      </c>
      <c r="P15" s="95">
        <f t="shared" si="4"/>
        <v>256.39999999999998</v>
      </c>
      <c r="Q15" s="95">
        <f t="shared" si="5"/>
        <v>205.1</v>
      </c>
      <c r="R15" s="95">
        <f t="shared" si="6"/>
        <v>205.1</v>
      </c>
      <c r="S15" s="95">
        <f t="shared" si="7"/>
        <v>21.3</v>
      </c>
      <c r="T15" s="95">
        <f t="shared" si="13"/>
        <v>687.9</v>
      </c>
      <c r="U15" s="1449"/>
      <c r="V15" s="95">
        <f t="shared" si="18"/>
        <v>687.9</v>
      </c>
      <c r="W15" s="95">
        <f t="shared" si="19"/>
        <v>207.7</v>
      </c>
      <c r="X15" s="118"/>
      <c r="Y15" s="112">
        <v>30</v>
      </c>
      <c r="Z15" s="113">
        <f t="shared" si="8"/>
        <v>0</v>
      </c>
      <c r="AA15" s="118"/>
      <c r="AB15" s="112">
        <v>15</v>
      </c>
      <c r="AC15" s="113">
        <f t="shared" si="9"/>
        <v>0</v>
      </c>
      <c r="AD15" s="118"/>
      <c r="AE15" s="112">
        <v>30</v>
      </c>
      <c r="AF15" s="113">
        <f t="shared" si="14"/>
        <v>0</v>
      </c>
      <c r="AG15" s="113">
        <f t="shared" si="15"/>
        <v>0</v>
      </c>
      <c r="AH15" s="113">
        <f t="shared" si="16"/>
        <v>0</v>
      </c>
      <c r="AI15" s="114">
        <f t="shared" si="10"/>
        <v>57325</v>
      </c>
      <c r="AJ15" s="114"/>
      <c r="AK15" s="114">
        <f t="shared" si="11"/>
        <v>687.9</v>
      </c>
      <c r="AL15" s="114">
        <f t="shared" si="17"/>
        <v>242.7</v>
      </c>
      <c r="AM15" s="115">
        <v>0.30199999999999999</v>
      </c>
      <c r="AS15" s="115"/>
    </row>
    <row r="16" spans="1:45" ht="15" x14ac:dyDescent="0.2">
      <c r="A16" s="94">
        <v>8</v>
      </c>
      <c r="B16" s="129" t="s">
        <v>33</v>
      </c>
      <c r="C16" s="128">
        <v>2</v>
      </c>
      <c r="D16" s="107">
        <v>8.4730000000000008</v>
      </c>
      <c r="E16" s="119">
        <f t="shared" si="0"/>
        <v>16.95</v>
      </c>
      <c r="F16" s="110">
        <f t="shared" si="1"/>
        <v>203.4</v>
      </c>
      <c r="G16" s="124">
        <f>29314.2/1000</f>
        <v>29.3</v>
      </c>
      <c r="H16" s="110">
        <f>9637.5/1000</f>
        <v>9.6</v>
      </c>
      <c r="I16" s="110"/>
      <c r="J16" s="110"/>
      <c r="K16" s="95">
        <f>D16*0.25*10+D16*0.3*2+F16*0.35</f>
        <v>97.5</v>
      </c>
      <c r="L16" s="95">
        <f t="shared" si="12"/>
        <v>7.8</v>
      </c>
      <c r="M16" s="95">
        <f t="shared" si="2"/>
        <v>347.6</v>
      </c>
      <c r="N16" s="111">
        <v>0.41</v>
      </c>
      <c r="O16" s="95">
        <f t="shared" si="3"/>
        <v>142.5</v>
      </c>
      <c r="P16" s="95">
        <f t="shared" si="4"/>
        <v>490.1</v>
      </c>
      <c r="Q16" s="95">
        <f t="shared" si="5"/>
        <v>392.1</v>
      </c>
      <c r="R16" s="95">
        <f t="shared" si="6"/>
        <v>392.1</v>
      </c>
      <c r="S16" s="95">
        <f t="shared" si="7"/>
        <v>40.799999999999997</v>
      </c>
      <c r="T16" s="95">
        <f t="shared" si="13"/>
        <v>1315.1</v>
      </c>
      <c r="U16" s="1449"/>
      <c r="V16" s="95">
        <f t="shared" si="18"/>
        <v>1315.1</v>
      </c>
      <c r="W16" s="95">
        <f t="shared" si="19"/>
        <v>397.2</v>
      </c>
      <c r="X16" s="118">
        <v>1</v>
      </c>
      <c r="Y16" s="112">
        <v>30</v>
      </c>
      <c r="Z16" s="113">
        <f t="shared" si="8"/>
        <v>30</v>
      </c>
      <c r="AA16" s="118"/>
      <c r="AB16" s="112">
        <v>15</v>
      </c>
      <c r="AC16" s="113">
        <f t="shared" si="9"/>
        <v>0</v>
      </c>
      <c r="AD16" s="118"/>
      <c r="AE16" s="112">
        <v>30</v>
      </c>
      <c r="AF16" s="113">
        <f t="shared" si="14"/>
        <v>0</v>
      </c>
      <c r="AG16" s="113">
        <f t="shared" si="15"/>
        <v>9</v>
      </c>
      <c r="AH16" s="113">
        <f t="shared" si="16"/>
        <v>39</v>
      </c>
      <c r="AI16" s="114">
        <f t="shared" si="10"/>
        <v>54795.8</v>
      </c>
      <c r="AJ16" s="114"/>
      <c r="AK16" s="114">
        <f t="shared" si="11"/>
        <v>657.6</v>
      </c>
      <c r="AL16" s="114">
        <f t="shared" si="17"/>
        <v>237.2</v>
      </c>
      <c r="AM16" s="115">
        <v>0.30199999999999999</v>
      </c>
      <c r="AO16" s="116"/>
      <c r="AP16" s="116"/>
      <c r="AQ16" s="116"/>
      <c r="AS16" s="115"/>
    </row>
    <row r="17" spans="1:45" ht="51" x14ac:dyDescent="0.2">
      <c r="A17" s="94">
        <v>9</v>
      </c>
      <c r="B17" s="117" t="s">
        <v>103</v>
      </c>
      <c r="C17" s="128">
        <v>1</v>
      </c>
      <c r="D17" s="107">
        <v>4.4569999999999999</v>
      </c>
      <c r="E17" s="119">
        <f t="shared" si="0"/>
        <v>4.46</v>
      </c>
      <c r="F17" s="110">
        <f t="shared" si="1"/>
        <v>53.5</v>
      </c>
      <c r="G17" s="110"/>
      <c r="H17" s="110"/>
      <c r="I17" s="110"/>
      <c r="J17" s="110"/>
      <c r="K17" s="95"/>
      <c r="L17" s="95">
        <f t="shared" si="12"/>
        <v>2.1</v>
      </c>
      <c r="M17" s="95">
        <f t="shared" si="2"/>
        <v>55.6</v>
      </c>
      <c r="N17" s="111">
        <v>0.61</v>
      </c>
      <c r="O17" s="95">
        <f t="shared" si="3"/>
        <v>33.9</v>
      </c>
      <c r="P17" s="95">
        <f t="shared" si="4"/>
        <v>89.5</v>
      </c>
      <c r="Q17" s="95">
        <f t="shared" si="5"/>
        <v>71.599999999999994</v>
      </c>
      <c r="R17" s="95">
        <f t="shared" si="6"/>
        <v>71.599999999999994</v>
      </c>
      <c r="S17" s="95">
        <f t="shared" si="7"/>
        <v>7.4</v>
      </c>
      <c r="T17" s="95">
        <f t="shared" si="13"/>
        <v>240.1</v>
      </c>
      <c r="U17" s="1449"/>
      <c r="V17" s="95">
        <f>T17*$U$9</f>
        <v>240.1</v>
      </c>
      <c r="W17" s="95">
        <f t="shared" si="19"/>
        <v>72.5</v>
      </c>
      <c r="X17" s="118"/>
      <c r="Y17" s="112">
        <v>30</v>
      </c>
      <c r="Z17" s="113">
        <f t="shared" si="8"/>
        <v>0</v>
      </c>
      <c r="AA17" s="118"/>
      <c r="AB17" s="112">
        <v>15</v>
      </c>
      <c r="AC17" s="113">
        <f t="shared" si="9"/>
        <v>0</v>
      </c>
      <c r="AD17" s="118"/>
      <c r="AE17" s="112">
        <v>30</v>
      </c>
      <c r="AF17" s="113">
        <f t="shared" si="14"/>
        <v>0</v>
      </c>
      <c r="AG17" s="113">
        <f t="shared" si="15"/>
        <v>0</v>
      </c>
      <c r="AH17" s="113">
        <f t="shared" si="16"/>
        <v>0</v>
      </c>
      <c r="AI17" s="114">
        <f t="shared" si="10"/>
        <v>20008.3</v>
      </c>
      <c r="AJ17" s="114"/>
      <c r="AK17" s="114">
        <f t="shared" si="11"/>
        <v>240.1</v>
      </c>
      <c r="AL17" s="114">
        <f t="shared" si="17"/>
        <v>161.19999999999999</v>
      </c>
      <c r="AM17" s="115">
        <v>0.30199999999999999</v>
      </c>
      <c r="AN17" s="130"/>
      <c r="AO17" s="130"/>
      <c r="AP17" s="130"/>
      <c r="AS17" s="115"/>
    </row>
    <row r="18" spans="1:45" s="126" customFormat="1" ht="25.5" x14ac:dyDescent="0.2">
      <c r="A18" s="94">
        <v>10</v>
      </c>
      <c r="B18" s="129" t="s">
        <v>34</v>
      </c>
      <c r="C18" s="122">
        <v>3</v>
      </c>
      <c r="D18" s="107">
        <v>7.1950000000000003</v>
      </c>
      <c r="E18" s="123">
        <f t="shared" si="0"/>
        <v>21.59</v>
      </c>
      <c r="F18" s="124">
        <f t="shared" si="1"/>
        <v>259.10000000000002</v>
      </c>
      <c r="G18" s="124">
        <f>44329.4/1000</f>
        <v>44.3</v>
      </c>
      <c r="H18" s="124">
        <f>16367.8/1000</f>
        <v>16.399999999999999</v>
      </c>
      <c r="I18" s="124"/>
      <c r="J18" s="125"/>
      <c r="K18" s="96"/>
      <c r="L18" s="95">
        <f t="shared" si="12"/>
        <v>9.9</v>
      </c>
      <c r="M18" s="96">
        <f t="shared" si="2"/>
        <v>329.7</v>
      </c>
      <c r="N18" s="111">
        <v>0.41</v>
      </c>
      <c r="O18" s="96">
        <f t="shared" si="3"/>
        <v>135.19999999999999</v>
      </c>
      <c r="P18" s="96">
        <f t="shared" si="4"/>
        <v>464.9</v>
      </c>
      <c r="Q18" s="96">
        <f t="shared" si="5"/>
        <v>371.9</v>
      </c>
      <c r="R18" s="96">
        <f t="shared" si="6"/>
        <v>371.9</v>
      </c>
      <c r="S18" s="96">
        <f t="shared" si="7"/>
        <v>38.700000000000003</v>
      </c>
      <c r="T18" s="96">
        <f t="shared" si="13"/>
        <v>1247.4000000000001</v>
      </c>
      <c r="U18" s="1449"/>
      <c r="V18" s="96">
        <f t="shared" si="18"/>
        <v>1247.4000000000001</v>
      </c>
      <c r="W18" s="95">
        <f t="shared" si="19"/>
        <v>376.7</v>
      </c>
      <c r="X18" s="94">
        <v>1</v>
      </c>
      <c r="Y18" s="112">
        <v>30</v>
      </c>
      <c r="Z18" s="113">
        <f t="shared" si="8"/>
        <v>30</v>
      </c>
      <c r="AA18" s="94"/>
      <c r="AB18" s="112">
        <v>15</v>
      </c>
      <c r="AC18" s="113">
        <f t="shared" si="9"/>
        <v>0</v>
      </c>
      <c r="AD18" s="94"/>
      <c r="AE18" s="112">
        <v>30</v>
      </c>
      <c r="AF18" s="113">
        <f t="shared" si="14"/>
        <v>0</v>
      </c>
      <c r="AG18" s="113">
        <f t="shared" si="15"/>
        <v>9</v>
      </c>
      <c r="AH18" s="113">
        <f t="shared" si="16"/>
        <v>39</v>
      </c>
      <c r="AI18" s="114">
        <f t="shared" si="10"/>
        <v>34650</v>
      </c>
      <c r="AJ18" s="114"/>
      <c r="AK18" s="114">
        <f t="shared" si="11"/>
        <v>415.8</v>
      </c>
      <c r="AL18" s="114">
        <f t="shared" si="17"/>
        <v>193.2</v>
      </c>
      <c r="AM18" s="115">
        <v>0.30199999999999999</v>
      </c>
      <c r="AN18" s="130"/>
      <c r="AO18" s="130"/>
      <c r="AP18" s="130"/>
      <c r="AQ18" s="22"/>
      <c r="AS18" s="115"/>
    </row>
    <row r="19" spans="1:45" s="126" customFormat="1" x14ac:dyDescent="0.2">
      <c r="A19" s="94">
        <v>11</v>
      </c>
      <c r="B19" s="129" t="s">
        <v>35</v>
      </c>
      <c r="C19" s="122">
        <v>1</v>
      </c>
      <c r="D19" s="107">
        <v>4.4569999999999999</v>
      </c>
      <c r="E19" s="123">
        <f t="shared" si="0"/>
        <v>4.46</v>
      </c>
      <c r="F19" s="124">
        <f t="shared" si="1"/>
        <v>53.5</v>
      </c>
      <c r="G19" s="124"/>
      <c r="H19" s="124"/>
      <c r="I19" s="124"/>
      <c r="J19" s="125"/>
      <c r="K19" s="96"/>
      <c r="L19" s="95">
        <f t="shared" si="12"/>
        <v>2.1</v>
      </c>
      <c r="M19" s="96">
        <f t="shared" si="2"/>
        <v>55.6</v>
      </c>
      <c r="N19" s="111">
        <v>0.61</v>
      </c>
      <c r="O19" s="96">
        <f t="shared" si="3"/>
        <v>33.9</v>
      </c>
      <c r="P19" s="96">
        <f t="shared" si="4"/>
        <v>89.5</v>
      </c>
      <c r="Q19" s="96">
        <f t="shared" si="5"/>
        <v>71.599999999999994</v>
      </c>
      <c r="R19" s="96">
        <f t="shared" si="6"/>
        <v>71.599999999999994</v>
      </c>
      <c r="S19" s="96">
        <f t="shared" si="7"/>
        <v>7.4</v>
      </c>
      <c r="T19" s="96">
        <f t="shared" si="13"/>
        <v>240.1</v>
      </c>
      <c r="U19" s="1449"/>
      <c r="V19" s="96">
        <f t="shared" si="18"/>
        <v>240.1</v>
      </c>
      <c r="W19" s="95">
        <f t="shared" si="19"/>
        <v>72.5</v>
      </c>
      <c r="X19" s="94"/>
      <c r="Y19" s="112">
        <v>30</v>
      </c>
      <c r="Z19" s="113">
        <f t="shared" si="8"/>
        <v>0</v>
      </c>
      <c r="AA19" s="94"/>
      <c r="AB19" s="112">
        <v>15</v>
      </c>
      <c r="AC19" s="113">
        <f t="shared" si="9"/>
        <v>0</v>
      </c>
      <c r="AD19" s="94"/>
      <c r="AE19" s="112">
        <v>30</v>
      </c>
      <c r="AF19" s="113">
        <f t="shared" si="14"/>
        <v>0</v>
      </c>
      <c r="AG19" s="113">
        <f t="shared" si="15"/>
        <v>0</v>
      </c>
      <c r="AH19" s="113">
        <f t="shared" si="16"/>
        <v>0</v>
      </c>
      <c r="AI19" s="114">
        <f t="shared" si="10"/>
        <v>20008.3</v>
      </c>
      <c r="AJ19" s="114"/>
      <c r="AK19" s="114">
        <f t="shared" si="11"/>
        <v>240.1</v>
      </c>
      <c r="AL19" s="114">
        <f t="shared" si="17"/>
        <v>161.19999999999999</v>
      </c>
      <c r="AM19" s="115">
        <v>0.30199999999999999</v>
      </c>
      <c r="AN19" s="130"/>
      <c r="AO19" s="130"/>
      <c r="AP19" s="130"/>
      <c r="AQ19" s="22"/>
      <c r="AS19" s="115"/>
    </row>
    <row r="20" spans="1:45" s="126" customFormat="1" x14ac:dyDescent="0.2">
      <c r="A20" s="94">
        <v>12</v>
      </c>
      <c r="B20" s="129" t="s">
        <v>25</v>
      </c>
      <c r="C20" s="125">
        <v>0.5</v>
      </c>
      <c r="D20" s="107">
        <v>4.3109999999999999</v>
      </c>
      <c r="E20" s="123">
        <f t="shared" si="0"/>
        <v>2.16</v>
      </c>
      <c r="F20" s="124">
        <f>E20*12</f>
        <v>25.9</v>
      </c>
      <c r="G20" s="124">
        <f>5056.7/1000</f>
        <v>5.0999999999999996</v>
      </c>
      <c r="H20" s="124">
        <f>437.8/1000</f>
        <v>0.4</v>
      </c>
      <c r="I20" s="124"/>
      <c r="J20" s="125"/>
      <c r="K20" s="96"/>
      <c r="L20" s="95">
        <f t="shared" si="12"/>
        <v>1</v>
      </c>
      <c r="M20" s="96">
        <f>F20+G20+H20+I20+J20+K20+L20</f>
        <v>32.4</v>
      </c>
      <c r="N20" s="111">
        <v>0.75</v>
      </c>
      <c r="O20" s="96">
        <f>M20*N20</f>
        <v>24.3</v>
      </c>
      <c r="P20" s="96">
        <f>M20+O20</f>
        <v>56.7</v>
      </c>
      <c r="Q20" s="96">
        <f>P20*0.8</f>
        <v>45.4</v>
      </c>
      <c r="R20" s="96">
        <f>P20*0.8</f>
        <v>45.4</v>
      </c>
      <c r="S20" s="96">
        <f>(P20+Q20+R20)*0.032</f>
        <v>4.7</v>
      </c>
      <c r="T20" s="96">
        <f>P20+Q20+R20+S20</f>
        <v>152.19999999999999</v>
      </c>
      <c r="U20" s="1449"/>
      <c r="V20" s="96">
        <f>T20*$U$9</f>
        <v>152.19999999999999</v>
      </c>
      <c r="W20" s="95">
        <f t="shared" si="19"/>
        <v>46</v>
      </c>
      <c r="X20" s="94"/>
      <c r="Y20" s="112">
        <v>30</v>
      </c>
      <c r="Z20" s="113">
        <f t="shared" si="8"/>
        <v>0</v>
      </c>
      <c r="AA20" s="94"/>
      <c r="AB20" s="112">
        <v>15</v>
      </c>
      <c r="AC20" s="113">
        <f t="shared" si="9"/>
        <v>0</v>
      </c>
      <c r="AD20" s="94"/>
      <c r="AE20" s="112">
        <v>30</v>
      </c>
      <c r="AF20" s="113">
        <f t="shared" si="14"/>
        <v>0</v>
      </c>
      <c r="AG20" s="113">
        <f t="shared" si="15"/>
        <v>0</v>
      </c>
      <c r="AH20" s="113">
        <f t="shared" si="16"/>
        <v>0</v>
      </c>
      <c r="AI20" s="114">
        <f>V20/12*1000</f>
        <v>12683.3</v>
      </c>
      <c r="AJ20" s="114"/>
      <c r="AK20" s="114">
        <f t="shared" si="11"/>
        <v>304.39999999999998</v>
      </c>
      <c r="AL20" s="114">
        <f t="shared" si="17"/>
        <v>172.9</v>
      </c>
      <c r="AM20" s="115">
        <v>0.30199999999999999</v>
      </c>
      <c r="AN20" s="130"/>
      <c r="AO20" s="130"/>
      <c r="AP20" s="130"/>
      <c r="AQ20" s="22"/>
      <c r="AS20" s="115"/>
    </row>
    <row r="21" spans="1:45" s="98" customFormat="1" ht="20.25" customHeight="1" x14ac:dyDescent="0.2">
      <c r="A21" s="1445" t="s">
        <v>8</v>
      </c>
      <c r="B21" s="1445"/>
      <c r="C21" s="97">
        <f t="shared" ref="C21:M21" si="20">SUM(C9:C20)</f>
        <v>15.5</v>
      </c>
      <c r="D21" s="97">
        <f t="shared" si="20"/>
        <v>119.5</v>
      </c>
      <c r="E21" s="97">
        <f t="shared" si="20"/>
        <v>148.69999999999999</v>
      </c>
      <c r="F21" s="97">
        <f t="shared" si="20"/>
        <v>1783.7</v>
      </c>
      <c r="G21" s="97">
        <f t="shared" si="20"/>
        <v>78.7</v>
      </c>
      <c r="H21" s="97">
        <f t="shared" si="20"/>
        <v>26.4</v>
      </c>
      <c r="I21" s="97">
        <f t="shared" si="20"/>
        <v>0</v>
      </c>
      <c r="J21" s="97">
        <f t="shared" si="20"/>
        <v>0</v>
      </c>
      <c r="K21" s="97">
        <f t="shared" si="20"/>
        <v>316.39999999999998</v>
      </c>
      <c r="L21" s="97">
        <f t="shared" si="20"/>
        <v>68.599999999999994</v>
      </c>
      <c r="M21" s="97">
        <f t="shared" si="20"/>
        <v>2273.8000000000002</v>
      </c>
      <c r="N21" s="97"/>
      <c r="O21" s="97">
        <f t="shared" ref="O21:AH21" si="21">SUM(O9:O20)</f>
        <v>1033.7</v>
      </c>
      <c r="P21" s="97">
        <f t="shared" si="21"/>
        <v>3307.5</v>
      </c>
      <c r="Q21" s="97">
        <f t="shared" si="21"/>
        <v>2646</v>
      </c>
      <c r="R21" s="97">
        <f t="shared" si="21"/>
        <v>2646</v>
      </c>
      <c r="S21" s="97">
        <f t="shared" si="21"/>
        <v>275.2</v>
      </c>
      <c r="T21" s="97">
        <f t="shared" si="21"/>
        <v>8874.7000000000007</v>
      </c>
      <c r="U21" s="97">
        <f t="shared" si="21"/>
        <v>1</v>
      </c>
      <c r="V21" s="97">
        <f t="shared" si="21"/>
        <v>8874.7000000000007</v>
      </c>
      <c r="W21" s="97">
        <f t="shared" si="21"/>
        <v>2635.8</v>
      </c>
      <c r="X21" s="97">
        <f t="shared" si="21"/>
        <v>6</v>
      </c>
      <c r="Y21" s="97">
        <f t="shared" si="21"/>
        <v>360</v>
      </c>
      <c r="Z21" s="97">
        <f t="shared" si="21"/>
        <v>180</v>
      </c>
      <c r="AA21" s="97">
        <f t="shared" si="21"/>
        <v>1</v>
      </c>
      <c r="AB21" s="97">
        <f t="shared" si="21"/>
        <v>180</v>
      </c>
      <c r="AC21" s="97">
        <f t="shared" si="21"/>
        <v>15</v>
      </c>
      <c r="AD21" s="97">
        <f t="shared" si="21"/>
        <v>0</v>
      </c>
      <c r="AE21" s="97">
        <f t="shared" si="21"/>
        <v>360</v>
      </c>
      <c r="AF21" s="97">
        <f t="shared" si="21"/>
        <v>0</v>
      </c>
      <c r="AG21" s="97">
        <f t="shared" si="21"/>
        <v>58.5</v>
      </c>
      <c r="AH21" s="97">
        <f t="shared" si="21"/>
        <v>253.5</v>
      </c>
      <c r="AN21" s="130"/>
      <c r="AO21" s="130"/>
      <c r="AP21" s="130"/>
      <c r="AQ21" s="22"/>
    </row>
    <row r="22" spans="1:45" x14ac:dyDescent="0.2">
      <c r="G22" s="131"/>
      <c r="H22" s="131"/>
      <c r="I22" s="131"/>
      <c r="J22" s="131"/>
      <c r="K22" s="131"/>
      <c r="L22" s="131"/>
      <c r="M22" s="131"/>
      <c r="N22" s="131"/>
      <c r="O22" s="131"/>
      <c r="P22" s="131"/>
      <c r="Q22" s="131"/>
      <c r="R22" s="131"/>
      <c r="S22" s="131"/>
      <c r="T22" s="131"/>
      <c r="V22" s="114"/>
      <c r="W22" s="66"/>
      <c r="X22" s="132"/>
      <c r="Y22" s="132"/>
      <c r="Z22" s="132"/>
      <c r="AA22" s="131"/>
      <c r="AD22" s="131"/>
      <c r="AG22" s="131"/>
      <c r="AH22" s="131"/>
      <c r="AN22" s="130"/>
      <c r="AO22" s="130"/>
      <c r="AP22" s="130"/>
    </row>
    <row r="23" spans="1:45" x14ac:dyDescent="0.2">
      <c r="G23" s="131"/>
      <c r="H23" s="131"/>
      <c r="I23" s="131"/>
      <c r="J23" s="131"/>
      <c r="K23" s="131"/>
      <c r="L23" s="131"/>
      <c r="M23" s="131"/>
      <c r="N23" s="131"/>
      <c r="O23" s="131"/>
      <c r="P23" s="131"/>
      <c r="Q23" s="131"/>
      <c r="R23" s="131"/>
      <c r="S23" s="131"/>
      <c r="T23" s="131"/>
      <c r="V23" s="114"/>
      <c r="W23" s="114"/>
      <c r="X23" s="133"/>
      <c r="Y23" s="133"/>
      <c r="Z23" s="133"/>
      <c r="AA23" s="131"/>
      <c r="AD23" s="131"/>
      <c r="AG23" s="131"/>
      <c r="AH23" s="131"/>
      <c r="AN23" s="130"/>
      <c r="AO23" s="130"/>
      <c r="AP23" s="130"/>
    </row>
    <row r="24" spans="1:45" s="62" customFormat="1" ht="14.25" x14ac:dyDescent="0.2">
      <c r="A24" s="68"/>
      <c r="B24" s="63"/>
      <c r="C24" s="26"/>
      <c r="D24" s="26"/>
      <c r="E24" s="26"/>
      <c r="F24" s="26"/>
      <c r="G24" s="26"/>
      <c r="H24" s="26"/>
      <c r="I24" s="26"/>
      <c r="J24" s="26"/>
      <c r="K24" s="26"/>
      <c r="L24" s="26"/>
      <c r="M24" s="26"/>
      <c r="N24" s="26"/>
      <c r="O24" s="26"/>
      <c r="P24" s="26"/>
      <c r="Q24" s="26"/>
      <c r="R24" s="26"/>
      <c r="S24" s="26"/>
      <c r="T24" s="26"/>
      <c r="U24" s="64"/>
      <c r="V24" s="69"/>
      <c r="W24" s="69"/>
      <c r="X24" s="65"/>
      <c r="Y24" s="65"/>
      <c r="Z24" s="65"/>
      <c r="AA24" s="65"/>
      <c r="AB24" s="65"/>
      <c r="AC24" s="65"/>
      <c r="AD24" s="65"/>
      <c r="AE24" s="65"/>
      <c r="AF24" s="65"/>
      <c r="AG24" s="65"/>
      <c r="AH24" s="65"/>
      <c r="AI24" s="67"/>
      <c r="AJ24" s="61"/>
      <c r="AK24" s="61"/>
      <c r="AL24" s="134"/>
      <c r="AM24" s="135"/>
    </row>
    <row r="25" spans="1:45" s="75" customFormat="1" ht="15" x14ac:dyDescent="0.2">
      <c r="A25" s="70"/>
      <c r="B25" s="70"/>
      <c r="C25" s="71"/>
      <c r="D25" s="72"/>
      <c r="E25" s="72"/>
      <c r="F25" s="72"/>
      <c r="G25" s="72"/>
      <c r="H25" s="73"/>
      <c r="I25" s="73"/>
      <c r="J25" s="27"/>
      <c r="K25" s="27"/>
      <c r="L25" s="27"/>
      <c r="M25" s="27"/>
      <c r="N25" s="74"/>
      <c r="O25" s="27"/>
      <c r="P25" s="27"/>
      <c r="Q25" s="27"/>
      <c r="R25" s="27"/>
      <c r="S25" s="27"/>
      <c r="T25" s="27"/>
      <c r="U25" s="27"/>
      <c r="V25" s="27"/>
      <c r="W25" s="27"/>
      <c r="X25" s="27"/>
      <c r="Y25" s="27"/>
      <c r="Z25" s="27"/>
      <c r="AA25" s="27"/>
      <c r="AB25" s="27"/>
      <c r="AC25" s="27"/>
      <c r="AD25" s="27"/>
      <c r="AE25" s="27"/>
      <c r="AF25" s="27"/>
      <c r="AG25" s="27"/>
      <c r="AH25" s="27"/>
      <c r="AI25" s="27"/>
      <c r="AJ25" s="76"/>
      <c r="AN25" s="76"/>
      <c r="AO25" s="76"/>
      <c r="AP25" s="76"/>
      <c r="AQ25" s="76"/>
      <c r="AR25" s="76"/>
    </row>
    <row r="26" spans="1:45" s="75" customFormat="1" ht="55.5" customHeight="1" x14ac:dyDescent="0.2">
      <c r="A26" s="70"/>
      <c r="B26" s="70"/>
      <c r="C26" s="71"/>
      <c r="D26" s="77"/>
      <c r="E26" s="77"/>
      <c r="F26" s="27"/>
      <c r="G26" s="1438" t="s">
        <v>140</v>
      </c>
      <c r="H26" s="1438"/>
      <c r="I26" s="1438" t="s">
        <v>141</v>
      </c>
      <c r="J26" s="1438"/>
      <c r="K26" s="1438" t="s">
        <v>128</v>
      </c>
      <c r="L26" s="1438"/>
      <c r="Q26" s="27"/>
      <c r="R26" s="27"/>
      <c r="S26" s="27"/>
      <c r="T26" s="27"/>
      <c r="U26" s="27"/>
      <c r="V26" s="27"/>
      <c r="W26" s="27"/>
      <c r="X26" s="27"/>
      <c r="Y26" s="27"/>
      <c r="Z26" s="27"/>
      <c r="AA26" s="27"/>
      <c r="AB26" s="27"/>
      <c r="AC26" s="27"/>
      <c r="AD26" s="27"/>
      <c r="AE26" s="27"/>
      <c r="AF26" s="27"/>
      <c r="AG26" s="27"/>
      <c r="AH26" s="27"/>
      <c r="AI26" s="27"/>
      <c r="AJ26" s="76"/>
      <c r="AN26" s="76"/>
      <c r="AO26" s="76"/>
      <c r="AP26" s="76"/>
      <c r="AQ26" s="76"/>
      <c r="AR26" s="76"/>
    </row>
    <row r="27" spans="1:45" s="75" customFormat="1" ht="15" x14ac:dyDescent="0.2">
      <c r="A27" s="70"/>
      <c r="B27" s="70"/>
      <c r="C27" s="71"/>
      <c r="D27" s="77"/>
      <c r="E27" s="77"/>
      <c r="F27" s="27"/>
      <c r="G27" s="28">
        <v>991</v>
      </c>
      <c r="H27" s="28">
        <v>992</v>
      </c>
      <c r="I27" s="28">
        <v>991</v>
      </c>
      <c r="J27" s="28">
        <v>992</v>
      </c>
      <c r="K27" s="28">
        <v>991</v>
      </c>
      <c r="L27" s="28">
        <v>992</v>
      </c>
      <c r="Q27" s="27"/>
      <c r="R27" s="27"/>
      <c r="S27" s="27"/>
      <c r="T27" s="27"/>
      <c r="U27" s="27"/>
      <c r="V27" s="27"/>
      <c r="W27" s="27"/>
      <c r="X27" s="27"/>
      <c r="Y27" s="27"/>
      <c r="Z27" s="27"/>
      <c r="AA27" s="27"/>
      <c r="AB27" s="27"/>
      <c r="AC27" s="27"/>
      <c r="AD27" s="27"/>
      <c r="AE27" s="27"/>
      <c r="AF27" s="27"/>
      <c r="AG27" s="27"/>
      <c r="AH27" s="27"/>
      <c r="AI27" s="27"/>
      <c r="AJ27" s="76"/>
      <c r="AN27" s="76"/>
      <c r="AO27" s="76"/>
      <c r="AP27" s="76"/>
      <c r="AQ27" s="76"/>
      <c r="AR27" s="76"/>
    </row>
    <row r="28" spans="1:45" s="75" customFormat="1" ht="15" x14ac:dyDescent="0.2">
      <c r="A28" s="70"/>
      <c r="B28" s="70"/>
      <c r="C28" s="71"/>
      <c r="D28" s="77"/>
      <c r="E28" s="77"/>
      <c r="F28" s="27"/>
      <c r="G28" s="29">
        <v>8874.7000000000007</v>
      </c>
      <c r="H28" s="29">
        <v>2640.7</v>
      </c>
      <c r="I28" s="29">
        <f>V21</f>
        <v>8874.7000000000007</v>
      </c>
      <c r="J28" s="29">
        <f>W21</f>
        <v>2635.8</v>
      </c>
      <c r="K28" s="29">
        <f>G28-I28</f>
        <v>0</v>
      </c>
      <c r="L28" s="29">
        <f>H28-J28</f>
        <v>4.9000000000000004</v>
      </c>
      <c r="Q28" s="27"/>
      <c r="R28" s="27"/>
      <c r="S28" s="27"/>
      <c r="T28" s="27"/>
      <c r="U28" s="27"/>
      <c r="V28" s="27"/>
      <c r="W28" s="27"/>
      <c r="X28" s="27"/>
      <c r="Y28" s="27"/>
      <c r="Z28" s="27"/>
      <c r="AA28" s="27"/>
      <c r="AB28" s="27"/>
      <c r="AC28" s="27"/>
      <c r="AD28" s="27"/>
      <c r="AE28" s="27"/>
      <c r="AF28" s="27"/>
      <c r="AG28" s="27"/>
      <c r="AH28" s="27"/>
      <c r="AI28" s="27"/>
      <c r="AJ28" s="76"/>
      <c r="AN28" s="76"/>
      <c r="AO28" s="76"/>
      <c r="AP28" s="76"/>
      <c r="AQ28" s="76"/>
      <c r="AR28" s="76"/>
    </row>
    <row r="29" spans="1:45" s="143" customFormat="1" ht="15" x14ac:dyDescent="0.2">
      <c r="A29" s="136"/>
      <c r="B29" s="136"/>
      <c r="C29" s="137"/>
      <c r="D29" s="138"/>
      <c r="E29" s="138"/>
      <c r="F29" s="138"/>
      <c r="G29" s="138"/>
      <c r="H29" s="139"/>
      <c r="I29" s="139"/>
      <c r="J29" s="140"/>
      <c r="K29" s="140"/>
      <c r="L29" s="140"/>
      <c r="M29" s="140"/>
      <c r="N29" s="141"/>
      <c r="O29" s="140"/>
      <c r="P29" s="140"/>
      <c r="Q29" s="140"/>
      <c r="R29" s="140"/>
      <c r="S29" s="140"/>
      <c r="T29" s="140"/>
      <c r="U29" s="140"/>
      <c r="V29" s="140"/>
      <c r="W29" s="140"/>
      <c r="X29" s="140"/>
      <c r="Y29" s="140"/>
      <c r="Z29" s="140"/>
      <c r="AA29" s="140"/>
      <c r="AB29" s="140"/>
      <c r="AC29" s="140"/>
      <c r="AD29" s="140"/>
      <c r="AE29" s="140"/>
      <c r="AF29" s="140"/>
      <c r="AG29" s="140"/>
      <c r="AH29" s="140"/>
      <c r="AI29" s="142"/>
      <c r="AN29" s="22"/>
      <c r="AO29" s="22"/>
      <c r="AP29" s="22"/>
      <c r="AQ29" s="22"/>
    </row>
    <row r="30" spans="1:45" s="143" customFormat="1" ht="15" x14ac:dyDescent="0.2">
      <c r="A30" s="136"/>
      <c r="B30" s="136"/>
      <c r="C30" s="137"/>
      <c r="D30" s="138"/>
      <c r="E30" s="138"/>
      <c r="F30" s="138"/>
      <c r="G30" s="138"/>
      <c r="H30" s="139"/>
      <c r="I30" s="139"/>
      <c r="J30" s="140"/>
      <c r="K30" s="140"/>
      <c r="L30" s="140"/>
      <c r="M30" s="140"/>
      <c r="N30" s="141"/>
      <c r="O30" s="140"/>
      <c r="P30" s="140"/>
      <c r="Q30" s="140"/>
      <c r="R30" s="140"/>
      <c r="S30" s="140"/>
      <c r="T30" s="140"/>
      <c r="U30" s="140"/>
      <c r="V30" s="140"/>
      <c r="W30" s="140"/>
      <c r="X30" s="140"/>
      <c r="Y30" s="140"/>
      <c r="Z30" s="140"/>
      <c r="AA30" s="140"/>
      <c r="AB30" s="140"/>
      <c r="AC30" s="140"/>
      <c r="AD30" s="140"/>
      <c r="AE30" s="140"/>
      <c r="AF30" s="140"/>
      <c r="AG30" s="140"/>
      <c r="AH30" s="140"/>
      <c r="AI30" s="142"/>
      <c r="AN30" s="22"/>
      <c r="AO30" s="22"/>
      <c r="AP30" s="22"/>
      <c r="AQ30" s="22"/>
    </row>
    <row r="31" spans="1:45" s="143" customFormat="1" ht="15" x14ac:dyDescent="0.2">
      <c r="A31" s="136"/>
      <c r="B31" s="136"/>
      <c r="C31" s="137"/>
      <c r="D31" s="144"/>
      <c r="E31" s="144"/>
      <c r="F31" s="140"/>
      <c r="G31" s="140"/>
      <c r="H31" s="139"/>
      <c r="I31" s="139"/>
      <c r="J31" s="140"/>
      <c r="K31" s="140"/>
      <c r="L31" s="140"/>
      <c r="M31" s="140"/>
      <c r="N31" s="141"/>
      <c r="O31" s="140"/>
      <c r="P31" s="140"/>
      <c r="Q31" s="140"/>
      <c r="R31" s="140"/>
      <c r="S31" s="140"/>
      <c r="T31" s="140"/>
      <c r="U31" s="140"/>
      <c r="V31" s="140"/>
      <c r="W31" s="140"/>
      <c r="X31" s="140"/>
      <c r="Y31" s="140"/>
      <c r="Z31" s="140"/>
      <c r="AA31" s="140"/>
      <c r="AB31" s="140"/>
      <c r="AC31" s="140"/>
      <c r="AD31" s="140"/>
      <c r="AE31" s="140"/>
      <c r="AF31" s="140"/>
      <c r="AG31" s="140"/>
      <c r="AH31" s="140"/>
      <c r="AI31" s="142"/>
      <c r="AN31" s="22"/>
      <c r="AO31" s="22"/>
      <c r="AP31" s="22"/>
      <c r="AQ31" s="22"/>
    </row>
    <row r="32" spans="1:45" s="35" customFormat="1" ht="20.25" x14ac:dyDescent="0.2">
      <c r="A32" s="81"/>
      <c r="B32" s="82" t="s">
        <v>138</v>
      </c>
      <c r="C32" s="83"/>
      <c r="D32" s="84"/>
      <c r="E32" s="84"/>
      <c r="F32" s="85"/>
      <c r="G32" s="85"/>
      <c r="H32" s="86"/>
      <c r="I32" s="86"/>
      <c r="J32" s="85"/>
      <c r="K32" s="30" t="s">
        <v>166</v>
      </c>
      <c r="L32" s="85"/>
      <c r="M32" s="85"/>
      <c r="N32" s="87"/>
      <c r="O32" s="85"/>
      <c r="P32" s="85"/>
      <c r="Q32" s="85"/>
      <c r="R32" s="85"/>
      <c r="S32" s="85"/>
      <c r="T32" s="85"/>
      <c r="U32" s="85"/>
      <c r="V32" s="85"/>
      <c r="W32" s="85"/>
      <c r="X32" s="85"/>
      <c r="Y32" s="85"/>
      <c r="Z32" s="85"/>
      <c r="AA32" s="85"/>
      <c r="AB32" s="85"/>
      <c r="AC32" s="85"/>
      <c r="AD32" s="85"/>
      <c r="AE32" s="85"/>
      <c r="AF32" s="85"/>
      <c r="AG32" s="85"/>
      <c r="AH32" s="85"/>
      <c r="AI32" s="85"/>
      <c r="AK32" s="88"/>
      <c r="AL32" s="88"/>
      <c r="AM32" s="88"/>
      <c r="AN32" s="88"/>
      <c r="AO32" s="88"/>
    </row>
    <row r="33" spans="1:43" s="143" customFormat="1" ht="15" x14ac:dyDescent="0.2">
      <c r="A33" s="136"/>
      <c r="B33" s="136"/>
      <c r="C33" s="137"/>
      <c r="D33" s="144"/>
      <c r="E33" s="144"/>
      <c r="F33" s="140"/>
      <c r="G33" s="140"/>
      <c r="H33" s="139"/>
      <c r="I33" s="139"/>
      <c r="J33" s="140"/>
      <c r="K33" s="140"/>
      <c r="L33" s="140"/>
      <c r="M33" s="140"/>
      <c r="N33" s="141"/>
      <c r="O33" s="140"/>
      <c r="P33" s="140"/>
      <c r="Q33" s="140"/>
      <c r="R33" s="140"/>
      <c r="S33" s="140"/>
      <c r="T33" s="140"/>
      <c r="U33" s="140"/>
      <c r="V33" s="140"/>
      <c r="W33" s="140"/>
      <c r="X33" s="140"/>
      <c r="Y33" s="140"/>
      <c r="Z33" s="140"/>
      <c r="AA33" s="140"/>
      <c r="AB33" s="140"/>
      <c r="AC33" s="140"/>
      <c r="AD33" s="140"/>
      <c r="AE33" s="140"/>
      <c r="AF33" s="140"/>
      <c r="AG33" s="140"/>
      <c r="AH33" s="140"/>
      <c r="AI33" s="142"/>
      <c r="AN33" s="22"/>
      <c r="AO33" s="22"/>
      <c r="AP33" s="22"/>
      <c r="AQ33" s="22"/>
    </row>
    <row r="34" spans="1:43" s="143" customFormat="1" ht="20.25" customHeight="1" x14ac:dyDescent="0.2">
      <c r="A34" s="145" t="s">
        <v>96</v>
      </c>
      <c r="B34" s="145"/>
      <c r="C34" s="146"/>
      <c r="D34" s="146"/>
      <c r="E34" s="146"/>
      <c r="F34" s="146"/>
      <c r="G34" s="146"/>
      <c r="H34" s="146"/>
      <c r="I34" s="146"/>
      <c r="J34" s="146"/>
      <c r="K34" s="146"/>
      <c r="L34" s="147"/>
      <c r="M34" s="147"/>
      <c r="N34" s="148"/>
      <c r="O34" s="147"/>
      <c r="P34" s="147"/>
      <c r="Q34" s="147"/>
      <c r="R34" s="147"/>
      <c r="S34" s="147"/>
      <c r="T34" s="147"/>
      <c r="U34" s="147"/>
      <c r="V34" s="147"/>
      <c r="W34" s="147"/>
      <c r="X34" s="147"/>
      <c r="Y34" s="147"/>
      <c r="Z34" s="147"/>
      <c r="AA34" s="147"/>
      <c r="AB34" s="147"/>
      <c r="AC34" s="147"/>
      <c r="AD34" s="147"/>
      <c r="AE34" s="147"/>
      <c r="AF34" s="147"/>
      <c r="AG34" s="147"/>
      <c r="AH34" s="147"/>
      <c r="AI34" s="142"/>
      <c r="AN34" s="62"/>
      <c r="AO34" s="62"/>
      <c r="AP34" s="62"/>
      <c r="AQ34" s="60"/>
    </row>
    <row r="35" spans="1:43" s="143" customFormat="1" ht="20.25" customHeight="1" x14ac:dyDescent="0.2">
      <c r="A35" s="145" t="s">
        <v>139</v>
      </c>
      <c r="B35" s="149"/>
      <c r="C35" s="150"/>
      <c r="D35" s="150"/>
      <c r="E35" s="151"/>
      <c r="F35" s="151"/>
      <c r="G35" s="151"/>
      <c r="H35" s="151"/>
      <c r="I35" s="151"/>
      <c r="J35" s="151"/>
      <c r="K35" s="151"/>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2"/>
      <c r="AN35" s="62"/>
      <c r="AO35" s="62"/>
      <c r="AP35" s="62"/>
      <c r="AQ35" s="62"/>
    </row>
    <row r="36" spans="1:43" ht="16.5" x14ac:dyDescent="0.2">
      <c r="A36" s="152"/>
      <c r="I36" s="153"/>
      <c r="L36" s="99"/>
      <c r="M36" s="99"/>
      <c r="N36" s="99"/>
      <c r="O36" s="99"/>
      <c r="P36" s="99"/>
      <c r="Q36" s="99"/>
      <c r="W36" s="131"/>
      <c r="X36" s="131"/>
      <c r="AA36" s="131"/>
      <c r="AD36" s="131"/>
      <c r="AG36" s="131"/>
      <c r="AH36" s="131"/>
      <c r="AN36" s="62"/>
      <c r="AO36" s="62"/>
      <c r="AP36" s="62"/>
      <c r="AQ36" s="62"/>
    </row>
    <row r="37" spans="1:43" ht="16.5" x14ac:dyDescent="0.2">
      <c r="A37" s="152"/>
      <c r="E37" s="115"/>
      <c r="L37" s="99"/>
      <c r="M37" s="99"/>
      <c r="N37" s="99"/>
      <c r="O37" s="99"/>
      <c r="P37" s="99"/>
      <c r="Q37" s="99"/>
      <c r="W37" s="131"/>
      <c r="X37" s="131"/>
      <c r="AA37" s="131"/>
      <c r="AD37" s="131"/>
      <c r="AG37" s="131"/>
      <c r="AH37" s="131"/>
      <c r="AN37" s="62"/>
      <c r="AO37" s="62"/>
      <c r="AP37" s="62"/>
      <c r="AQ37" s="62"/>
    </row>
    <row r="38" spans="1:43" x14ac:dyDescent="0.2">
      <c r="E38" s="115"/>
    </row>
    <row r="39" spans="1:43" x14ac:dyDescent="0.2">
      <c r="E39" s="115"/>
    </row>
    <row r="40" spans="1:43" x14ac:dyDescent="0.2">
      <c r="E40" s="115"/>
    </row>
    <row r="41" spans="1:43" x14ac:dyDescent="0.2">
      <c r="E41" s="115"/>
    </row>
    <row r="42" spans="1:43" x14ac:dyDescent="0.2">
      <c r="E42" s="115"/>
    </row>
    <row r="43" spans="1:43" x14ac:dyDescent="0.2">
      <c r="E43" s="115"/>
    </row>
  </sheetData>
  <autoFilter ref="A8:AS8"/>
  <mergeCells count="37">
    <mergeCell ref="W6:W7"/>
    <mergeCell ref="X6:Z6"/>
    <mergeCell ref="G26:H26"/>
    <mergeCell ref="I26:J26"/>
    <mergeCell ref="K26:L26"/>
    <mergeCell ref="K6:K7"/>
    <mergeCell ref="A21:B21"/>
    <mergeCell ref="S6:S7"/>
    <mergeCell ref="T6:T7"/>
    <mergeCell ref="U6:U7"/>
    <mergeCell ref="V6:V7"/>
    <mergeCell ref="L6:L7"/>
    <mergeCell ref="M6:M7"/>
    <mergeCell ref="N6:O6"/>
    <mergeCell ref="P6:P7"/>
    <mergeCell ref="Q6:Q7"/>
    <mergeCell ref="G6:G7"/>
    <mergeCell ref="H6:H7"/>
    <mergeCell ref="I6:I7"/>
    <mergeCell ref="J6:J7"/>
    <mergeCell ref="U9:U20"/>
    <mergeCell ref="AE1:AH1"/>
    <mergeCell ref="A2:AH2"/>
    <mergeCell ref="A3:AH3"/>
    <mergeCell ref="A5:A7"/>
    <mergeCell ref="B5:B7"/>
    <mergeCell ref="C5:C7"/>
    <mergeCell ref="D5:W5"/>
    <mergeCell ref="D6:D7"/>
    <mergeCell ref="E6:E7"/>
    <mergeCell ref="F6:F7"/>
    <mergeCell ref="AG6:AG7"/>
    <mergeCell ref="X5:AH5"/>
    <mergeCell ref="R6:R7"/>
    <mergeCell ref="AH6:AH7"/>
    <mergeCell ref="AA6:AC6"/>
    <mergeCell ref="AD6:AF6"/>
  </mergeCells>
  <printOptions horizontalCentered="1"/>
  <pageMargins left="0" right="0" top="0" bottom="0" header="0.31496062992125984" footer="0.31496062992125984"/>
  <pageSetup paperSize="9" scale="38"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CC"/>
    <pageSetUpPr fitToPage="1"/>
  </sheetPr>
  <dimension ref="A1:V134"/>
  <sheetViews>
    <sheetView view="pageBreakPreview" topLeftCell="A10" zoomScale="70" zoomScaleNormal="70" zoomScaleSheetLayoutView="70" workbookViewId="0">
      <pane ySplit="21" topLeftCell="A31" activePane="bottomLeft" state="frozen"/>
      <selection activeCell="A10" sqref="A10"/>
      <selection pane="bottomLeft" activeCell="Q103" sqref="Q103"/>
    </sheetView>
  </sheetViews>
  <sheetFormatPr defaultColWidth="9.33203125" defaultRowHeight="10.15" customHeight="1" x14ac:dyDescent="0.25"/>
  <cols>
    <col min="1" max="1" width="70.83203125" style="350" customWidth="1"/>
    <col min="2" max="2" width="10.1640625" style="350" customWidth="1"/>
    <col min="3" max="3" width="14.83203125" style="350" customWidth="1"/>
    <col min="4" max="4" width="15.5" style="350" customWidth="1"/>
    <col min="5" max="5" width="14.33203125" style="350" customWidth="1"/>
    <col min="6" max="7" width="12.5" style="350" customWidth="1"/>
    <col min="8" max="8" width="12.5" style="637" customWidth="1"/>
    <col min="9" max="9" width="15.5" style="637" customWidth="1"/>
    <col min="10" max="10" width="12.5" style="350" customWidth="1"/>
    <col min="11" max="11" width="15.1640625" style="350" customWidth="1"/>
    <col min="12" max="12" width="18" style="637" bestFit="1" customWidth="1"/>
    <col min="13" max="13" width="20.6640625" style="637" bestFit="1" customWidth="1"/>
    <col min="14" max="14" width="24" style="637" bestFit="1" customWidth="1"/>
    <col min="15" max="15" width="14.83203125" style="350" customWidth="1"/>
    <col min="16" max="16" width="14.6640625" style="350" customWidth="1"/>
    <col min="17" max="17" width="10.5" style="350" customWidth="1"/>
    <col min="18" max="18" width="10.33203125" style="350" customWidth="1"/>
    <col min="19" max="19" width="11.5" style="350" bestFit="1" customWidth="1"/>
    <col min="20" max="21" width="9.33203125" style="350"/>
    <col min="22" max="22" width="13.1640625" style="350" customWidth="1"/>
    <col min="23" max="16384" width="9.33203125" style="350"/>
  </cols>
  <sheetData>
    <row r="1" spans="1:22" s="438" customFormat="1" ht="15" x14ac:dyDescent="0.2">
      <c r="B1" s="439"/>
      <c r="I1" s="386"/>
      <c r="J1" s="1450" t="s">
        <v>650</v>
      </c>
      <c r="K1" s="1451"/>
      <c r="L1" s="1451"/>
      <c r="M1" s="1451"/>
      <c r="N1" s="1451"/>
      <c r="O1" s="1451"/>
      <c r="R1" s="386"/>
      <c r="S1" s="386"/>
      <c r="T1" s="1467"/>
      <c r="U1" s="1467"/>
      <c r="V1" s="1467"/>
    </row>
    <row r="2" spans="1:22" s="438" customFormat="1" ht="15.75" x14ac:dyDescent="0.2">
      <c r="B2" s="439"/>
      <c r="I2" s="631"/>
      <c r="J2" s="364"/>
      <c r="K2" s="364"/>
      <c r="L2" s="364"/>
      <c r="M2" s="364"/>
      <c r="N2" s="364"/>
      <c r="O2" s="364"/>
      <c r="R2" s="1468"/>
      <c r="S2" s="1468"/>
      <c r="T2" s="1468"/>
      <c r="U2" s="1468"/>
      <c r="V2" s="1468"/>
    </row>
    <row r="3" spans="1:22" s="438" customFormat="1" ht="11.45" customHeight="1" x14ac:dyDescent="0.2">
      <c r="B3" s="439"/>
      <c r="I3" s="386"/>
      <c r="J3" s="1453" t="s">
        <v>691</v>
      </c>
      <c r="K3" s="1453"/>
      <c r="L3" s="1453"/>
      <c r="M3" s="1453"/>
      <c r="N3" s="1453"/>
      <c r="O3" s="1453"/>
      <c r="R3" s="386"/>
      <c r="S3" s="386"/>
      <c r="T3" s="386"/>
      <c r="U3" s="386"/>
      <c r="V3" s="386"/>
    </row>
    <row r="4" spans="1:22" s="438" customFormat="1" ht="12.6" customHeight="1" x14ac:dyDescent="0.2">
      <c r="B4" s="439"/>
      <c r="I4" s="629"/>
      <c r="J4" s="1463" t="s">
        <v>651</v>
      </c>
      <c r="K4" s="1463"/>
      <c r="L4" s="1463"/>
      <c r="M4" s="1463"/>
      <c r="N4" s="1463"/>
      <c r="O4" s="1463"/>
      <c r="R4" s="1469"/>
      <c r="S4" s="1469"/>
      <c r="T4" s="1469"/>
      <c r="U4" s="1469"/>
      <c r="V4" s="1469"/>
    </row>
    <row r="5" spans="1:22" s="438" customFormat="1" ht="15.75" x14ac:dyDescent="0.2">
      <c r="B5" s="439"/>
      <c r="I5" s="635"/>
      <c r="J5" s="452"/>
      <c r="K5" s="452"/>
      <c r="L5" s="452"/>
      <c r="M5" s="452"/>
      <c r="N5" s="452"/>
      <c r="O5" s="452"/>
      <c r="R5" s="1468"/>
      <c r="S5" s="1468"/>
      <c r="T5" s="1468"/>
      <c r="U5" s="1468"/>
      <c r="V5" s="1468"/>
    </row>
    <row r="6" spans="1:22" s="438" customFormat="1" ht="13.15" customHeight="1" x14ac:dyDescent="0.2">
      <c r="B6" s="439"/>
      <c r="I6" s="631"/>
      <c r="J6" s="453"/>
      <c r="K6" s="453"/>
      <c r="L6" s="453"/>
      <c r="M6" s="453"/>
      <c r="N6" s="453"/>
      <c r="O6" s="453"/>
      <c r="R6" s="1468"/>
      <c r="S6" s="1468"/>
      <c r="T6" s="1468"/>
      <c r="U6" s="1468"/>
      <c r="V6" s="1468"/>
    </row>
    <row r="7" spans="1:22" s="438" customFormat="1" ht="21.6" customHeight="1" x14ac:dyDescent="0.2">
      <c r="B7" s="439"/>
      <c r="I7" s="631"/>
      <c r="J7" s="452"/>
      <c r="K7" s="452"/>
      <c r="L7" s="454"/>
      <c r="M7" s="364"/>
      <c r="N7" s="1453" t="s">
        <v>690</v>
      </c>
      <c r="O7" s="1453"/>
      <c r="R7" s="386"/>
      <c r="S7" s="386"/>
      <c r="T7" s="386"/>
      <c r="U7" s="1469"/>
      <c r="V7" s="1469"/>
    </row>
    <row r="8" spans="1:22" s="438" customFormat="1" ht="15.75" x14ac:dyDescent="0.2">
      <c r="B8" s="439"/>
      <c r="I8" s="630"/>
      <c r="J8" s="1463" t="s">
        <v>652</v>
      </c>
      <c r="K8" s="1463"/>
      <c r="L8" s="455"/>
      <c r="M8" s="364"/>
      <c r="N8" s="1463" t="s">
        <v>653</v>
      </c>
      <c r="O8" s="1463"/>
      <c r="Q8" s="440"/>
      <c r="R8" s="387"/>
      <c r="S8" s="387"/>
      <c r="T8" s="386"/>
      <c r="U8" s="441"/>
      <c r="V8" s="441"/>
    </row>
    <row r="9" spans="1:22" s="438" customFormat="1" ht="15" x14ac:dyDescent="0.2">
      <c r="B9" s="439"/>
      <c r="I9" s="386"/>
      <c r="J9" s="1464" t="s">
        <v>704</v>
      </c>
      <c r="K9" s="1465"/>
      <c r="L9" s="1465"/>
      <c r="M9" s="1465"/>
      <c r="N9" s="729"/>
      <c r="O9" s="491"/>
      <c r="Q9" s="393"/>
      <c r="R9" s="1474"/>
      <c r="S9" s="1468"/>
      <c r="T9" s="1468"/>
      <c r="U9" s="1468"/>
      <c r="V9" s="1468"/>
    </row>
    <row r="10" spans="1:22" s="438" customFormat="1" ht="15" x14ac:dyDescent="0.2">
      <c r="B10" s="439"/>
      <c r="R10" s="440"/>
    </row>
    <row r="11" spans="1:22" s="438" customFormat="1" ht="15" x14ac:dyDescent="0.2">
      <c r="A11" s="1456" t="s">
        <v>654</v>
      </c>
      <c r="B11" s="1456"/>
      <c r="C11" s="1456"/>
      <c r="D11" s="1456"/>
      <c r="E11" s="1456"/>
      <c r="F11" s="1456"/>
      <c r="G11" s="1456"/>
      <c r="H11" s="1456"/>
      <c r="I11" s="1456"/>
      <c r="J11" s="1456"/>
      <c r="K11" s="1456"/>
      <c r="L11" s="1456"/>
      <c r="M11" s="1456"/>
      <c r="R11" s="440"/>
    </row>
    <row r="12" spans="1:22" s="438" customFormat="1" ht="15" x14ac:dyDescent="0.2">
      <c r="A12" s="1456" t="s">
        <v>869</v>
      </c>
      <c r="B12" s="1456"/>
      <c r="C12" s="1456"/>
      <c r="D12" s="1456"/>
      <c r="E12" s="1456"/>
      <c r="F12" s="1456"/>
      <c r="G12" s="1456"/>
      <c r="H12" s="1456"/>
      <c r="I12" s="1456"/>
      <c r="J12" s="1456"/>
      <c r="K12" s="1456"/>
      <c r="L12" s="1456"/>
      <c r="M12" s="1456"/>
      <c r="Q12" s="386"/>
      <c r="R12" s="393"/>
    </row>
    <row r="13" spans="1:22" s="438" customFormat="1" ht="16.5" x14ac:dyDescent="0.2">
      <c r="A13" s="1456" t="s">
        <v>868</v>
      </c>
      <c r="B13" s="1456"/>
      <c r="C13" s="1456"/>
      <c r="D13" s="1456"/>
      <c r="E13" s="1456"/>
      <c r="F13" s="1456"/>
      <c r="G13" s="1456"/>
      <c r="H13" s="1456"/>
      <c r="I13" s="1456"/>
      <c r="J13" s="1456"/>
      <c r="K13" s="1456"/>
      <c r="L13" s="1456"/>
      <c r="M13" s="1456"/>
      <c r="Q13" s="442"/>
      <c r="R13" s="440"/>
    </row>
    <row r="14" spans="1:22" s="438" customFormat="1" ht="15" x14ac:dyDescent="0.2">
      <c r="A14" s="490"/>
      <c r="B14" s="490"/>
      <c r="C14" s="490"/>
      <c r="D14" s="490"/>
      <c r="E14" s="490"/>
      <c r="F14" s="490"/>
      <c r="G14" s="490"/>
      <c r="H14" s="792"/>
      <c r="I14" s="628"/>
      <c r="J14" s="490"/>
      <c r="K14" s="490"/>
      <c r="L14" s="679" t="s">
        <v>705</v>
      </c>
      <c r="M14" s="679"/>
      <c r="Q14" s="442"/>
      <c r="R14" s="489"/>
    </row>
    <row r="15" spans="1:22" s="438" customFormat="1" ht="18" x14ac:dyDescent="0.2">
      <c r="B15" s="1472" t="s">
        <v>867</v>
      </c>
      <c r="C15" s="1473"/>
      <c r="D15" s="1473"/>
      <c r="E15" s="1473"/>
      <c r="F15" s="1473"/>
      <c r="G15" s="1473"/>
      <c r="H15" s="1473"/>
      <c r="Q15" s="443"/>
      <c r="R15" s="444"/>
    </row>
    <row r="16" spans="1:22" s="438" customFormat="1" ht="15.75" thickBot="1" x14ac:dyDescent="0.25">
      <c r="B16" s="439"/>
      <c r="M16" s="680"/>
      <c r="O16" s="445" t="s">
        <v>655</v>
      </c>
    </row>
    <row r="17" spans="1:17" s="438" customFormat="1" ht="15" x14ac:dyDescent="0.2">
      <c r="A17" s="438" t="s">
        <v>656</v>
      </c>
      <c r="B17" s="439"/>
      <c r="K17" s="1476"/>
      <c r="L17" s="1475"/>
      <c r="M17" s="1476" t="s">
        <v>657</v>
      </c>
      <c r="N17" s="1475"/>
      <c r="O17" s="446"/>
    </row>
    <row r="18" spans="1:17" s="438" customFormat="1" ht="15" x14ac:dyDescent="0.2">
      <c r="A18" s="438" t="s">
        <v>658</v>
      </c>
      <c r="B18" s="386"/>
      <c r="C18" s="386"/>
      <c r="D18" s="386"/>
      <c r="E18" s="386"/>
      <c r="F18" s="386"/>
      <c r="G18" s="386"/>
      <c r="H18" s="386"/>
      <c r="I18" s="386"/>
      <c r="J18" s="386"/>
      <c r="K18" s="1475"/>
      <c r="L18" s="1475"/>
      <c r="M18" s="1475" t="s">
        <v>659</v>
      </c>
      <c r="N18" s="1475"/>
      <c r="O18" s="447"/>
    </row>
    <row r="19" spans="1:17" s="438" customFormat="1" ht="15" x14ac:dyDescent="0.2">
      <c r="B19" s="439"/>
      <c r="L19" s="678"/>
      <c r="N19" s="678" t="s">
        <v>660</v>
      </c>
      <c r="O19" s="447"/>
    </row>
    <row r="20" spans="1:17" s="438" customFormat="1" ht="15" x14ac:dyDescent="0.2">
      <c r="B20" s="439"/>
      <c r="L20" s="678"/>
      <c r="N20" s="678" t="s">
        <v>659</v>
      </c>
      <c r="O20" s="447"/>
    </row>
    <row r="21" spans="1:17" s="438" customFormat="1" ht="15" x14ac:dyDescent="0.2">
      <c r="A21" s="448" t="s">
        <v>823</v>
      </c>
      <c r="B21" s="386"/>
      <c r="C21" s="386"/>
      <c r="D21" s="386"/>
      <c r="E21" s="386"/>
      <c r="F21" s="386"/>
      <c r="G21" s="386"/>
      <c r="H21" s="386"/>
      <c r="I21" s="386"/>
      <c r="J21" s="386"/>
      <c r="K21" s="386"/>
      <c r="L21" s="677"/>
      <c r="M21" s="386"/>
      <c r="N21" s="677" t="s">
        <v>661</v>
      </c>
      <c r="O21" s="447"/>
    </row>
    <row r="22" spans="1:17" s="438" customFormat="1" ht="15" x14ac:dyDescent="0.2">
      <c r="A22" s="438" t="s">
        <v>662</v>
      </c>
      <c r="B22" s="439"/>
      <c r="D22" s="442"/>
      <c r="E22" s="442"/>
      <c r="F22" s="442"/>
      <c r="G22" s="442"/>
      <c r="H22" s="442"/>
      <c r="I22" s="442"/>
      <c r="J22" s="442"/>
      <c r="K22" s="442"/>
      <c r="L22" s="678"/>
      <c r="M22" s="442"/>
      <c r="N22" s="678" t="s">
        <v>663</v>
      </c>
      <c r="O22" s="447"/>
    </row>
    <row r="23" spans="1:17" s="448" customFormat="1" ht="15" x14ac:dyDescent="0.2">
      <c r="B23" s="449"/>
      <c r="D23" s="443"/>
      <c r="E23" s="443"/>
      <c r="F23" s="443"/>
      <c r="G23" s="443"/>
      <c r="H23" s="443"/>
      <c r="I23" s="443"/>
      <c r="J23" s="443"/>
      <c r="K23" s="443"/>
      <c r="L23" s="444"/>
      <c r="M23" s="443"/>
      <c r="N23" s="444" t="s">
        <v>664</v>
      </c>
      <c r="O23" s="450">
        <v>383</v>
      </c>
    </row>
    <row r="24" spans="1:17" s="365" customFormat="1" ht="15" x14ac:dyDescent="0.25">
      <c r="A24" s="1477" t="s">
        <v>305</v>
      </c>
      <c r="B24" s="1477"/>
      <c r="C24" s="1477"/>
      <c r="D24" s="1477"/>
      <c r="E24" s="1477"/>
      <c r="F24" s="1477"/>
      <c r="G24" s="1477"/>
      <c r="H24" s="1477"/>
      <c r="I24" s="1477"/>
      <c r="J24" s="1477"/>
      <c r="K24" s="1477"/>
      <c r="L24" s="1477"/>
      <c r="M24" s="1477"/>
      <c r="N24" s="1477"/>
      <c r="O24" s="1477"/>
    </row>
    <row r="25" spans="1:17" s="365" customFormat="1" ht="15" x14ac:dyDescent="0.25">
      <c r="A25" s="486"/>
      <c r="B25" s="486"/>
      <c r="C25" s="486"/>
      <c r="D25" s="486"/>
      <c r="E25" s="486"/>
      <c r="F25" s="486"/>
      <c r="G25" s="486"/>
      <c r="H25" s="636"/>
      <c r="I25" s="636"/>
      <c r="J25" s="486"/>
      <c r="K25" s="486"/>
      <c r="L25" s="713">
        <f>L31+L33-L66+L109-L113</f>
        <v>0</v>
      </c>
      <c r="M25" s="713">
        <f>M31+M33-M66+M109-M113</f>
        <v>0</v>
      </c>
      <c r="N25" s="713">
        <f>N31+N33-N66+N109-N113</f>
        <v>0</v>
      </c>
      <c r="O25" s="488">
        <f>O31+O33-O66+O109-O113</f>
        <v>0</v>
      </c>
    </row>
    <row r="26" spans="1:17" s="365" customFormat="1" ht="15.75" thickBot="1" x14ac:dyDescent="0.3">
      <c r="H26" s="637"/>
      <c r="I26" s="637"/>
      <c r="L26" s="714">
        <f>'поступления 810 25-27'!E60+'поступления 831, 841 25-27'!F9+'поступления 831, 841 25-27'!F21+'прочие поступ строка 1980 (510)'!D21+'постуления 820 25-27'!H9-L33</f>
        <v>0</v>
      </c>
      <c r="M26" s="714">
        <f>'поступления 810 25-27'!G60+'поступления 831, 841 25-27'!H9+'поступления 831, 841 25-27'!J21-M33</f>
        <v>0</v>
      </c>
      <c r="N26" s="714">
        <f>'поступления 810 25-27'!H60+'поступления 831, 841 25-27'!I9+'поступления 831, 841 25-27'!L21+'поступления 831, 841 25-27'!M21-N33</f>
        <v>0</v>
      </c>
      <c r="O26" s="487">
        <f>0-O33</f>
        <v>0</v>
      </c>
    </row>
    <row r="27" spans="1:17" s="365" customFormat="1" ht="15" x14ac:dyDescent="0.25">
      <c r="A27" s="1478" t="s">
        <v>183</v>
      </c>
      <c r="B27" s="1460" t="s">
        <v>184</v>
      </c>
      <c r="C27" s="1460" t="s">
        <v>466</v>
      </c>
      <c r="D27" s="1460" t="s">
        <v>467</v>
      </c>
      <c r="E27" s="1460" t="s">
        <v>468</v>
      </c>
      <c r="F27" s="1460" t="s">
        <v>469</v>
      </c>
      <c r="G27" s="1460" t="s">
        <v>470</v>
      </c>
      <c r="H27" s="1457" t="s">
        <v>347</v>
      </c>
      <c r="I27" s="1457" t="s">
        <v>471</v>
      </c>
      <c r="J27" s="1460" t="s">
        <v>472</v>
      </c>
      <c r="K27" s="1460" t="s">
        <v>473</v>
      </c>
      <c r="L27" s="1481" t="s">
        <v>682</v>
      </c>
      <c r="M27" s="1482"/>
      <c r="N27" s="1482"/>
      <c r="O27" s="1483"/>
      <c r="Q27" s="366"/>
    </row>
    <row r="28" spans="1:17" s="365" customFormat="1" ht="15" x14ac:dyDescent="0.25">
      <c r="A28" s="1479"/>
      <c r="B28" s="1461"/>
      <c r="C28" s="1461"/>
      <c r="D28" s="1461"/>
      <c r="E28" s="1461"/>
      <c r="F28" s="1461"/>
      <c r="G28" s="1461"/>
      <c r="H28" s="1458"/>
      <c r="I28" s="1458"/>
      <c r="J28" s="1461"/>
      <c r="K28" s="1461"/>
      <c r="L28" s="715" t="s">
        <v>474</v>
      </c>
      <c r="M28" s="715" t="s">
        <v>775</v>
      </c>
      <c r="N28" s="715" t="s">
        <v>870</v>
      </c>
      <c r="O28" s="1470" t="s">
        <v>338</v>
      </c>
      <c r="Q28" s="366"/>
    </row>
    <row r="29" spans="1:17" s="365" customFormat="1" ht="45" x14ac:dyDescent="0.25">
      <c r="A29" s="1480"/>
      <c r="B29" s="1462"/>
      <c r="C29" s="1462"/>
      <c r="D29" s="1462"/>
      <c r="E29" s="1462"/>
      <c r="F29" s="1462"/>
      <c r="G29" s="1462"/>
      <c r="H29" s="1459"/>
      <c r="I29" s="1459"/>
      <c r="J29" s="1462"/>
      <c r="K29" s="1462"/>
      <c r="L29" s="716" t="s">
        <v>306</v>
      </c>
      <c r="M29" s="716" t="s">
        <v>378</v>
      </c>
      <c r="N29" s="716" t="s">
        <v>379</v>
      </c>
      <c r="O29" s="1471"/>
      <c r="Q29" s="366"/>
    </row>
    <row r="30" spans="1:17" s="365" customFormat="1" ht="15.75" thickBot="1" x14ac:dyDescent="0.3">
      <c r="A30" s="456" t="s">
        <v>339</v>
      </c>
      <c r="B30" s="367" t="s">
        <v>340</v>
      </c>
      <c r="C30" s="367" t="s">
        <v>341</v>
      </c>
      <c r="D30" s="367" t="s">
        <v>342</v>
      </c>
      <c r="E30" s="367" t="s">
        <v>343</v>
      </c>
      <c r="F30" s="367" t="s">
        <v>344</v>
      </c>
      <c r="G30" s="367" t="s">
        <v>345</v>
      </c>
      <c r="H30" s="638" t="s">
        <v>346</v>
      </c>
      <c r="I30" s="638" t="s">
        <v>475</v>
      </c>
      <c r="J30" s="367" t="s">
        <v>476</v>
      </c>
      <c r="K30" s="367" t="s">
        <v>477</v>
      </c>
      <c r="L30" s="638" t="s">
        <v>478</v>
      </c>
      <c r="M30" s="638" t="s">
        <v>479</v>
      </c>
      <c r="N30" s="638" t="s">
        <v>459</v>
      </c>
      <c r="O30" s="457" t="s">
        <v>480</v>
      </c>
      <c r="Q30" s="366"/>
    </row>
    <row r="31" spans="1:17" s="365" customFormat="1" ht="15" x14ac:dyDescent="0.25">
      <c r="A31" s="458" t="s">
        <v>481</v>
      </c>
      <c r="B31" s="368" t="s">
        <v>307</v>
      </c>
      <c r="C31" s="369" t="s">
        <v>267</v>
      </c>
      <c r="D31" s="369" t="s">
        <v>267</v>
      </c>
      <c r="E31" s="369" t="s">
        <v>267</v>
      </c>
      <c r="F31" s="369" t="s">
        <v>267</v>
      </c>
      <c r="G31" s="369" t="s">
        <v>267</v>
      </c>
      <c r="H31" s="639" t="s">
        <v>267</v>
      </c>
      <c r="I31" s="639" t="s">
        <v>267</v>
      </c>
      <c r="J31" s="369" t="s">
        <v>267</v>
      </c>
      <c r="K31" s="369" t="s">
        <v>267</v>
      </c>
      <c r="L31" s="717"/>
      <c r="M31" s="717">
        <v>0</v>
      </c>
      <c r="N31" s="415">
        <v>0</v>
      </c>
      <c r="O31" s="370"/>
      <c r="Q31" s="366"/>
    </row>
    <row r="32" spans="1:17" s="365" customFormat="1" ht="15" x14ac:dyDescent="0.25">
      <c r="A32" s="459" t="s">
        <v>482</v>
      </c>
      <c r="B32" s="371" t="s">
        <v>308</v>
      </c>
      <c r="C32" s="372" t="s">
        <v>267</v>
      </c>
      <c r="D32" s="372" t="s">
        <v>267</v>
      </c>
      <c r="E32" s="372" t="s">
        <v>267</v>
      </c>
      <c r="F32" s="372" t="s">
        <v>267</v>
      </c>
      <c r="G32" s="372" t="s">
        <v>267</v>
      </c>
      <c r="H32" s="640" t="s">
        <v>267</v>
      </c>
      <c r="I32" s="640" t="s">
        <v>267</v>
      </c>
      <c r="J32" s="372" t="s">
        <v>267</v>
      </c>
      <c r="K32" s="372" t="s">
        <v>267</v>
      </c>
      <c r="L32" s="718">
        <v>0</v>
      </c>
      <c r="M32" s="718">
        <v>0</v>
      </c>
      <c r="N32" s="730">
        <v>0</v>
      </c>
      <c r="O32" s="373"/>
      <c r="Q32" s="366"/>
    </row>
    <row r="33" spans="1:21" s="365" customFormat="1" ht="15" x14ac:dyDescent="0.25">
      <c r="A33" s="460" t="s">
        <v>309</v>
      </c>
      <c r="B33" s="374" t="s">
        <v>310</v>
      </c>
      <c r="C33" s="375"/>
      <c r="D33" s="376" t="s">
        <v>483</v>
      </c>
      <c r="E33" s="376"/>
      <c r="F33" s="376" t="s">
        <v>356</v>
      </c>
      <c r="G33" s="376" t="s">
        <v>484</v>
      </c>
      <c r="H33" s="641" t="s">
        <v>356</v>
      </c>
      <c r="I33" s="641" t="s">
        <v>356</v>
      </c>
      <c r="J33" s="376" t="s">
        <v>485</v>
      </c>
      <c r="K33" s="376" t="s">
        <v>483</v>
      </c>
      <c r="L33" s="719">
        <f>L34+L39+L45+L48+L54+L58</f>
        <v>100986000</v>
      </c>
      <c r="M33" s="719">
        <f>M34+M39+M45+M48+M54+M58</f>
        <v>101279600</v>
      </c>
      <c r="N33" s="719">
        <f>N34+N39+N45+N48+N54+N58</f>
        <v>100866800</v>
      </c>
      <c r="O33" s="377">
        <v>0</v>
      </c>
      <c r="P33" s="366"/>
      <c r="Q33" s="366"/>
      <c r="R33" s="366"/>
    </row>
    <row r="34" spans="1:21" s="365" customFormat="1" ht="30" x14ac:dyDescent="0.25">
      <c r="A34" s="461" t="s">
        <v>311</v>
      </c>
      <c r="B34" s="378" t="s">
        <v>312</v>
      </c>
      <c r="C34" s="379" t="s">
        <v>403</v>
      </c>
      <c r="D34" s="380" t="s">
        <v>483</v>
      </c>
      <c r="E34" s="380"/>
      <c r="F34" s="380" t="s">
        <v>356</v>
      </c>
      <c r="G34" s="380" t="s">
        <v>340</v>
      </c>
      <c r="H34" s="642" t="s">
        <v>356</v>
      </c>
      <c r="I34" s="642" t="s">
        <v>403</v>
      </c>
      <c r="J34" s="380" t="s">
        <v>485</v>
      </c>
      <c r="K34" s="380" t="s">
        <v>483</v>
      </c>
      <c r="L34" s="720">
        <f>L36+L37+L38</f>
        <v>0</v>
      </c>
      <c r="M34" s="720">
        <f t="shared" ref="M34:O34" si="0">M36+M37+M38</f>
        <v>0</v>
      </c>
      <c r="N34" s="720">
        <f t="shared" si="0"/>
        <v>0</v>
      </c>
      <c r="O34" s="462">
        <f t="shared" si="0"/>
        <v>0</v>
      </c>
      <c r="P34" s="381"/>
      <c r="S34" s="925"/>
    </row>
    <row r="35" spans="1:21" s="365" customFormat="1" ht="15" x14ac:dyDescent="0.25">
      <c r="A35" s="463" t="s">
        <v>203</v>
      </c>
      <c r="B35" s="382"/>
      <c r="C35" s="383"/>
      <c r="D35" s="384"/>
      <c r="E35" s="384"/>
      <c r="F35" s="384"/>
      <c r="G35" s="384"/>
      <c r="H35" s="643"/>
      <c r="I35" s="643"/>
      <c r="J35" s="384"/>
      <c r="K35" s="384"/>
      <c r="L35" s="721"/>
      <c r="M35" s="721"/>
      <c r="N35" s="731"/>
      <c r="O35" s="385"/>
      <c r="P35" s="381"/>
      <c r="R35" s="386"/>
      <c r="S35" s="926"/>
      <c r="T35" s="387"/>
      <c r="U35" s="388"/>
    </row>
    <row r="36" spans="1:21" s="365" customFormat="1" ht="30.6" customHeight="1" x14ac:dyDescent="0.25">
      <c r="A36" s="464" t="s">
        <v>486</v>
      </c>
      <c r="B36" s="389" t="s">
        <v>487</v>
      </c>
      <c r="C36" s="390" t="s">
        <v>403</v>
      </c>
      <c r="D36" s="391" t="s">
        <v>483</v>
      </c>
      <c r="E36" s="391" t="s">
        <v>488</v>
      </c>
      <c r="F36" s="391" t="s">
        <v>356</v>
      </c>
      <c r="G36" s="391" t="s">
        <v>340</v>
      </c>
      <c r="H36" s="644" t="s">
        <v>356</v>
      </c>
      <c r="I36" s="644" t="s">
        <v>403</v>
      </c>
      <c r="J36" s="391" t="s">
        <v>485</v>
      </c>
      <c r="K36" s="391" t="s">
        <v>483</v>
      </c>
      <c r="L36" s="722">
        <v>0</v>
      </c>
      <c r="M36" s="722">
        <v>0</v>
      </c>
      <c r="N36" s="732">
        <v>0</v>
      </c>
      <c r="O36" s="392">
        <v>0</v>
      </c>
      <c r="P36" s="381"/>
      <c r="R36" s="1475"/>
      <c r="S36" s="1475"/>
      <c r="T36" s="386"/>
      <c r="U36" s="388"/>
    </row>
    <row r="37" spans="1:21" s="365" customFormat="1" ht="31.9" customHeight="1" x14ac:dyDescent="0.25">
      <c r="A37" s="464" t="s">
        <v>489</v>
      </c>
      <c r="B37" s="389" t="s">
        <v>490</v>
      </c>
      <c r="C37" s="390" t="s">
        <v>403</v>
      </c>
      <c r="D37" s="391" t="s">
        <v>483</v>
      </c>
      <c r="E37" s="391" t="s">
        <v>488</v>
      </c>
      <c r="F37" s="391" t="s">
        <v>356</v>
      </c>
      <c r="G37" s="391" t="s">
        <v>340</v>
      </c>
      <c r="H37" s="644" t="s">
        <v>356</v>
      </c>
      <c r="I37" s="644" t="s">
        <v>403</v>
      </c>
      <c r="J37" s="391" t="s">
        <v>485</v>
      </c>
      <c r="K37" s="391" t="s">
        <v>483</v>
      </c>
      <c r="L37" s="722">
        <v>0</v>
      </c>
      <c r="M37" s="722">
        <v>0</v>
      </c>
      <c r="N37" s="732">
        <v>0</v>
      </c>
      <c r="O37" s="392">
        <v>0</v>
      </c>
      <c r="P37" s="381"/>
      <c r="R37" s="1475"/>
      <c r="S37" s="1475"/>
      <c r="T37" s="386"/>
      <c r="U37" s="388"/>
    </row>
    <row r="38" spans="1:21" s="365" customFormat="1" ht="30" customHeight="1" x14ac:dyDescent="0.25">
      <c r="A38" s="464" t="s">
        <v>491</v>
      </c>
      <c r="B38" s="389" t="s">
        <v>313</v>
      </c>
      <c r="C38" s="390" t="s">
        <v>403</v>
      </c>
      <c r="D38" s="391" t="s">
        <v>483</v>
      </c>
      <c r="E38" s="391" t="s">
        <v>488</v>
      </c>
      <c r="F38" s="391" t="s">
        <v>356</v>
      </c>
      <c r="G38" s="391" t="s">
        <v>340</v>
      </c>
      <c r="H38" s="646" t="s">
        <v>766</v>
      </c>
      <c r="I38" s="644" t="s">
        <v>403</v>
      </c>
      <c r="J38" s="391" t="s">
        <v>485</v>
      </c>
      <c r="K38" s="391" t="s">
        <v>483</v>
      </c>
      <c r="L38" s="415">
        <f>'Поступления всего'!C12</f>
        <v>0</v>
      </c>
      <c r="M38" s="415">
        <f>'Поступления всего'!D12</f>
        <v>0</v>
      </c>
      <c r="N38" s="415">
        <f>'Поступления всего'!E12</f>
        <v>0</v>
      </c>
      <c r="O38" s="392">
        <v>0</v>
      </c>
      <c r="P38" s="381"/>
      <c r="R38" s="386"/>
      <c r="S38" s="393"/>
      <c r="T38" s="386"/>
      <c r="U38" s="388"/>
    </row>
    <row r="39" spans="1:21" s="365" customFormat="1" ht="30" x14ac:dyDescent="0.25">
      <c r="A39" s="465" t="s">
        <v>314</v>
      </c>
      <c r="B39" s="394" t="s">
        <v>492</v>
      </c>
      <c r="C39" s="395" t="s">
        <v>315</v>
      </c>
      <c r="D39" s="396" t="s">
        <v>483</v>
      </c>
      <c r="E39" s="396"/>
      <c r="F39" s="396" t="s">
        <v>356</v>
      </c>
      <c r="G39" s="396" t="s">
        <v>484</v>
      </c>
      <c r="H39" s="645" t="s">
        <v>356</v>
      </c>
      <c r="I39" s="645" t="s">
        <v>315</v>
      </c>
      <c r="J39" s="396" t="s">
        <v>485</v>
      </c>
      <c r="K39" s="396" t="s">
        <v>483</v>
      </c>
      <c r="L39" s="733">
        <f>L41+L42+L43</f>
        <v>97184600</v>
      </c>
      <c r="M39" s="733">
        <f>M41+M42+M43</f>
        <v>97578200</v>
      </c>
      <c r="N39" s="733">
        <f>N41+N42+N43</f>
        <v>97165400</v>
      </c>
      <c r="O39" s="785">
        <v>0</v>
      </c>
      <c r="P39" s="381"/>
      <c r="R39" s="386"/>
      <c r="S39" s="393"/>
      <c r="T39" s="386"/>
      <c r="U39" s="388"/>
    </row>
    <row r="40" spans="1:21" s="365" customFormat="1" ht="11.1" customHeight="1" x14ac:dyDescent="0.25">
      <c r="A40" s="466" t="s">
        <v>203</v>
      </c>
      <c r="B40" s="382"/>
      <c r="C40" s="383"/>
      <c r="D40" s="384"/>
      <c r="E40" s="384"/>
      <c r="F40" s="384"/>
      <c r="G40" s="384"/>
      <c r="H40" s="643"/>
      <c r="I40" s="643"/>
      <c r="J40" s="384"/>
      <c r="K40" s="384"/>
      <c r="L40" s="730"/>
      <c r="M40" s="730"/>
      <c r="N40" s="730"/>
      <c r="O40" s="786"/>
      <c r="P40" s="381"/>
      <c r="R40" s="386"/>
      <c r="S40" s="393"/>
      <c r="T40" s="386"/>
      <c r="U40" s="388"/>
    </row>
    <row r="41" spans="1:21" s="381" customFormat="1" ht="60" x14ac:dyDescent="0.25">
      <c r="A41" s="467" t="s">
        <v>493</v>
      </c>
      <c r="B41" s="398" t="s">
        <v>494</v>
      </c>
      <c r="C41" s="399" t="s">
        <v>315</v>
      </c>
      <c r="D41" s="400" t="s">
        <v>483</v>
      </c>
      <c r="E41" s="400"/>
      <c r="F41" s="400" t="s">
        <v>356</v>
      </c>
      <c r="G41" s="400" t="s">
        <v>342</v>
      </c>
      <c r="H41" s="646" t="s">
        <v>495</v>
      </c>
      <c r="I41" s="646" t="s">
        <v>315</v>
      </c>
      <c r="J41" s="400" t="s">
        <v>496</v>
      </c>
      <c r="K41" s="400" t="s">
        <v>483</v>
      </c>
      <c r="L41" s="415">
        <f>'Поступления всего'!C29</f>
        <v>93604800</v>
      </c>
      <c r="M41" s="415">
        <f>'Поступления всего'!D29</f>
        <v>93797900</v>
      </c>
      <c r="N41" s="415">
        <f>'Поступления всего'!E29</f>
        <v>93215000</v>
      </c>
      <c r="O41" s="787">
        <v>0</v>
      </c>
      <c r="R41" s="402"/>
      <c r="S41" s="393"/>
      <c r="T41" s="386"/>
      <c r="U41" s="403"/>
    </row>
    <row r="42" spans="1:21" s="365" customFormat="1" ht="30" x14ac:dyDescent="0.25">
      <c r="A42" s="468" t="s">
        <v>811</v>
      </c>
      <c r="B42" s="371" t="s">
        <v>497</v>
      </c>
      <c r="C42" s="372" t="s">
        <v>315</v>
      </c>
      <c r="D42" s="404"/>
      <c r="E42" s="404"/>
      <c r="F42" s="404"/>
      <c r="G42" s="404"/>
      <c r="H42" s="647"/>
      <c r="I42" s="647"/>
      <c r="J42" s="404"/>
      <c r="K42" s="404"/>
      <c r="L42" s="415">
        <v>0</v>
      </c>
      <c r="M42" s="415">
        <v>0</v>
      </c>
      <c r="N42" s="415">
        <v>0</v>
      </c>
      <c r="O42" s="787">
        <v>0</v>
      </c>
      <c r="P42" s="381"/>
      <c r="R42" s="405"/>
      <c r="S42" s="406"/>
      <c r="T42" s="407"/>
      <c r="U42" s="388"/>
    </row>
    <row r="43" spans="1:21" s="381" customFormat="1" ht="15" x14ac:dyDescent="0.25">
      <c r="A43" s="469" t="s">
        <v>498</v>
      </c>
      <c r="B43" s="408" t="s">
        <v>499</v>
      </c>
      <c r="C43" s="409" t="s">
        <v>315</v>
      </c>
      <c r="D43" s="410" t="s">
        <v>483</v>
      </c>
      <c r="E43" s="410"/>
      <c r="F43" s="410" t="s">
        <v>356</v>
      </c>
      <c r="G43" s="410" t="s">
        <v>484</v>
      </c>
      <c r="H43" s="413" t="s">
        <v>495</v>
      </c>
      <c r="I43" s="413" t="s">
        <v>315</v>
      </c>
      <c r="J43" s="410" t="s">
        <v>485</v>
      </c>
      <c r="K43" s="410" t="s">
        <v>483</v>
      </c>
      <c r="L43" s="414">
        <f>'Поступления всего'!C30+'Поступления всего'!C31+'Поступления всего'!C32+'Поступления всего'!C33+'Поступления всего'!C34</f>
        <v>3579800</v>
      </c>
      <c r="M43" s="414">
        <f>'Поступления всего'!D30+'Поступления всего'!D31+'Поступления всего'!D32+'Поступления всего'!D33</f>
        <v>3780300</v>
      </c>
      <c r="N43" s="415">
        <f>'Поступления всего'!E30+'Поступления всего'!E31+'Поступления всего'!E32+'Поступления всего'!E33</f>
        <v>3950400</v>
      </c>
      <c r="O43" s="411">
        <v>0</v>
      </c>
    </row>
    <row r="44" spans="1:21" s="365" customFormat="1" ht="11.1" customHeight="1" x14ac:dyDescent="0.25">
      <c r="A44" s="468"/>
      <c r="B44" s="371"/>
      <c r="C44" s="372"/>
      <c r="D44" s="404"/>
      <c r="E44" s="404"/>
      <c r="F44" s="404"/>
      <c r="G44" s="404"/>
      <c r="H44" s="647"/>
      <c r="I44" s="647"/>
      <c r="J44" s="404"/>
      <c r="K44" s="404"/>
      <c r="L44" s="718"/>
      <c r="M44" s="718"/>
      <c r="N44" s="730"/>
      <c r="O44" s="373"/>
    </row>
    <row r="45" spans="1:21" s="365" customFormat="1" ht="30" x14ac:dyDescent="0.25">
      <c r="A45" s="465" t="s">
        <v>316</v>
      </c>
      <c r="B45" s="378" t="s">
        <v>500</v>
      </c>
      <c r="C45" s="379" t="s">
        <v>501</v>
      </c>
      <c r="D45" s="380" t="s">
        <v>483</v>
      </c>
      <c r="E45" s="380"/>
      <c r="F45" s="380" t="s">
        <v>356</v>
      </c>
      <c r="G45" s="380" t="s">
        <v>340</v>
      </c>
      <c r="H45" s="642" t="s">
        <v>356</v>
      </c>
      <c r="I45" s="642" t="s">
        <v>501</v>
      </c>
      <c r="J45" s="380" t="s">
        <v>485</v>
      </c>
      <c r="K45" s="380" t="s">
        <v>483</v>
      </c>
      <c r="L45" s="720">
        <f>L47</f>
        <v>0</v>
      </c>
      <c r="M45" s="720">
        <f t="shared" ref="M45:N45" si="1">M47</f>
        <v>0</v>
      </c>
      <c r="N45" s="720">
        <f t="shared" si="1"/>
        <v>0</v>
      </c>
      <c r="O45" s="412">
        <v>0</v>
      </c>
    </row>
    <row r="46" spans="1:21" s="365" customFormat="1" ht="11.1" customHeight="1" x14ac:dyDescent="0.25">
      <c r="A46" s="463" t="s">
        <v>203</v>
      </c>
      <c r="B46" s="382"/>
      <c r="C46" s="383"/>
      <c r="D46" s="384"/>
      <c r="E46" s="384"/>
      <c r="F46" s="384"/>
      <c r="G46" s="384"/>
      <c r="H46" s="643"/>
      <c r="I46" s="643"/>
      <c r="J46" s="384"/>
      <c r="K46" s="384"/>
      <c r="L46" s="721"/>
      <c r="M46" s="721"/>
      <c r="N46" s="731"/>
      <c r="O46" s="385"/>
    </row>
    <row r="47" spans="1:21" s="365" customFormat="1" ht="15.6" customHeight="1" x14ac:dyDescent="0.25">
      <c r="A47" s="464" t="s">
        <v>502</v>
      </c>
      <c r="B47" s="389" t="s">
        <v>500</v>
      </c>
      <c r="C47" s="390" t="s">
        <v>501</v>
      </c>
      <c r="D47" s="391" t="s">
        <v>483</v>
      </c>
      <c r="E47" s="391" t="s">
        <v>488</v>
      </c>
      <c r="F47" s="391" t="s">
        <v>356</v>
      </c>
      <c r="G47" s="391" t="s">
        <v>340</v>
      </c>
      <c r="H47" s="646" t="s">
        <v>764</v>
      </c>
      <c r="I47" s="644" t="s">
        <v>501</v>
      </c>
      <c r="J47" s="391" t="s">
        <v>485</v>
      </c>
      <c r="K47" s="391" t="s">
        <v>483</v>
      </c>
      <c r="L47" s="784">
        <f>'Поступления всего'!C42</f>
        <v>0</v>
      </c>
      <c r="M47" s="784">
        <f>'Поступления всего'!D42</f>
        <v>0</v>
      </c>
      <c r="N47" s="788">
        <f>'Поступления всего'!E42</f>
        <v>0</v>
      </c>
      <c r="O47" s="392">
        <v>0</v>
      </c>
    </row>
    <row r="48" spans="1:21" s="365" customFormat="1" ht="15" x14ac:dyDescent="0.25">
      <c r="A48" s="465" t="s">
        <v>317</v>
      </c>
      <c r="B48" s="378" t="s">
        <v>503</v>
      </c>
      <c r="C48" s="379" t="s">
        <v>319</v>
      </c>
      <c r="D48" s="380" t="s">
        <v>483</v>
      </c>
      <c r="E48" s="380"/>
      <c r="F48" s="380" t="s">
        <v>356</v>
      </c>
      <c r="G48" s="380" t="s">
        <v>484</v>
      </c>
      <c r="H48" s="642" t="s">
        <v>356</v>
      </c>
      <c r="I48" s="642" t="s">
        <v>319</v>
      </c>
      <c r="J48" s="380" t="s">
        <v>485</v>
      </c>
      <c r="K48" s="380" t="s">
        <v>483</v>
      </c>
      <c r="L48" s="720">
        <f>L50+L51+L53+L52</f>
        <v>3801400</v>
      </c>
      <c r="M48" s="720">
        <f t="shared" ref="M48:N48" si="2">M50+M51+M53+M52</f>
        <v>3701400</v>
      </c>
      <c r="N48" s="720">
        <f t="shared" si="2"/>
        <v>3701400</v>
      </c>
      <c r="O48" s="412">
        <v>0</v>
      </c>
    </row>
    <row r="49" spans="1:18" s="365" customFormat="1" ht="11.1" customHeight="1" x14ac:dyDescent="0.25">
      <c r="A49" s="466" t="s">
        <v>203</v>
      </c>
      <c r="B49" s="382"/>
      <c r="C49" s="383"/>
      <c r="D49" s="384"/>
      <c r="E49" s="384"/>
      <c r="F49" s="384"/>
      <c r="G49" s="384"/>
      <c r="H49" s="643"/>
      <c r="I49" s="643"/>
      <c r="J49" s="384"/>
      <c r="K49" s="384"/>
      <c r="L49" s="721"/>
      <c r="M49" s="721"/>
      <c r="N49" s="731"/>
      <c r="O49" s="385"/>
    </row>
    <row r="50" spans="1:18" s="381" customFormat="1" ht="15" x14ac:dyDescent="0.25">
      <c r="A50" s="467" t="s">
        <v>292</v>
      </c>
      <c r="B50" s="398" t="s">
        <v>504</v>
      </c>
      <c r="C50" s="399" t="s">
        <v>319</v>
      </c>
      <c r="D50" s="400" t="s">
        <v>483</v>
      </c>
      <c r="E50" s="400"/>
      <c r="F50" s="400" t="s">
        <v>356</v>
      </c>
      <c r="G50" s="400" t="s">
        <v>343</v>
      </c>
      <c r="H50" s="646" t="s">
        <v>767</v>
      </c>
      <c r="I50" s="646" t="s">
        <v>319</v>
      </c>
      <c r="J50" s="400" t="s">
        <v>496</v>
      </c>
      <c r="K50" s="400" t="s">
        <v>483</v>
      </c>
      <c r="L50" s="784">
        <f>'Поступления всего'!C66</f>
        <v>3801400</v>
      </c>
      <c r="M50" s="784">
        <f>'Поступления всего'!D66</f>
        <v>3701400</v>
      </c>
      <c r="N50" s="788">
        <f>'Поступления всего'!E66</f>
        <v>3701400</v>
      </c>
      <c r="O50" s="401">
        <v>0</v>
      </c>
    </row>
    <row r="51" spans="1:18" s="363" customFormat="1" ht="15" x14ac:dyDescent="0.25">
      <c r="A51" s="483" t="s">
        <v>649</v>
      </c>
      <c r="B51" s="484" t="s">
        <v>504</v>
      </c>
      <c r="C51" s="485" t="s">
        <v>319</v>
      </c>
      <c r="D51" s="413" t="s">
        <v>483</v>
      </c>
      <c r="E51" s="413"/>
      <c r="F51" s="413" t="s">
        <v>356</v>
      </c>
      <c r="G51" s="413" t="s">
        <v>343</v>
      </c>
      <c r="H51" s="413" t="s">
        <v>768</v>
      </c>
      <c r="I51" s="413" t="s">
        <v>319</v>
      </c>
      <c r="J51" s="413" t="s">
        <v>485</v>
      </c>
      <c r="K51" s="413" t="s">
        <v>483</v>
      </c>
      <c r="L51" s="414">
        <f>'Поступления всего'!C68</f>
        <v>0</v>
      </c>
      <c r="M51" s="414">
        <f>'Поступления всего'!D68</f>
        <v>0</v>
      </c>
      <c r="N51" s="415">
        <f>'Поступления всего'!E68</f>
        <v>0</v>
      </c>
      <c r="O51" s="416">
        <v>0</v>
      </c>
    </row>
    <row r="52" spans="1:18" s="363" customFormat="1" ht="15" x14ac:dyDescent="0.25">
      <c r="A52" s="470" t="s">
        <v>293</v>
      </c>
      <c r="B52" s="417" t="s">
        <v>505</v>
      </c>
      <c r="C52" s="418" t="s">
        <v>319</v>
      </c>
      <c r="D52" s="419" t="s">
        <v>483</v>
      </c>
      <c r="E52" s="419"/>
      <c r="F52" s="419" t="s">
        <v>356</v>
      </c>
      <c r="G52" s="419" t="s">
        <v>344</v>
      </c>
      <c r="H52" s="648" t="s">
        <v>356</v>
      </c>
      <c r="I52" s="648" t="s">
        <v>319</v>
      </c>
      <c r="J52" s="419" t="s">
        <v>485</v>
      </c>
      <c r="K52" s="419" t="s">
        <v>483</v>
      </c>
      <c r="L52" s="414"/>
      <c r="M52" s="414"/>
      <c r="N52" s="415"/>
      <c r="O52" s="416"/>
    </row>
    <row r="53" spans="1:18" s="365" customFormat="1" ht="15" x14ac:dyDescent="0.25">
      <c r="A53" s="471" t="s">
        <v>498</v>
      </c>
      <c r="B53" s="371" t="s">
        <v>506</v>
      </c>
      <c r="C53" s="372" t="s">
        <v>319</v>
      </c>
      <c r="D53" s="404" t="s">
        <v>483</v>
      </c>
      <c r="E53" s="404"/>
      <c r="F53" s="404" t="s">
        <v>356</v>
      </c>
      <c r="G53" s="404" t="s">
        <v>340</v>
      </c>
      <c r="H53" s="413" t="s">
        <v>765</v>
      </c>
      <c r="I53" s="647" t="s">
        <v>319</v>
      </c>
      <c r="J53" s="404" t="s">
        <v>485</v>
      </c>
      <c r="K53" s="404" t="s">
        <v>483</v>
      </c>
      <c r="L53" s="414">
        <f>'Поступления всего'!C57</f>
        <v>0</v>
      </c>
      <c r="M53" s="414">
        <f>'Поступления всего'!D57</f>
        <v>0</v>
      </c>
      <c r="N53" s="415">
        <f>'Поступления всего'!E57</f>
        <v>0</v>
      </c>
      <c r="O53" s="373">
        <v>0</v>
      </c>
    </row>
    <row r="54" spans="1:18" s="365" customFormat="1" ht="15" x14ac:dyDescent="0.25">
      <c r="A54" s="465" t="s">
        <v>318</v>
      </c>
      <c r="B54" s="378" t="s">
        <v>507</v>
      </c>
      <c r="C54" s="379" t="s">
        <v>383</v>
      </c>
      <c r="D54" s="380" t="s">
        <v>483</v>
      </c>
      <c r="E54" s="380"/>
      <c r="F54" s="380" t="s">
        <v>356</v>
      </c>
      <c r="G54" s="380" t="s">
        <v>484</v>
      </c>
      <c r="H54" s="642" t="s">
        <v>356</v>
      </c>
      <c r="I54" s="642" t="s">
        <v>383</v>
      </c>
      <c r="J54" s="380" t="s">
        <v>485</v>
      </c>
      <c r="K54" s="380" t="s">
        <v>483</v>
      </c>
      <c r="L54" s="720">
        <f>L56</f>
        <v>0</v>
      </c>
      <c r="M54" s="720">
        <f t="shared" ref="M54:N54" si="3">M56</f>
        <v>0</v>
      </c>
      <c r="N54" s="733">
        <f t="shared" si="3"/>
        <v>0</v>
      </c>
      <c r="O54" s="412">
        <v>0</v>
      </c>
    </row>
    <row r="55" spans="1:18" s="365" customFormat="1" ht="21" customHeight="1" x14ac:dyDescent="0.25">
      <c r="A55" s="466" t="s">
        <v>203</v>
      </c>
      <c r="B55" s="382"/>
      <c r="C55" s="383"/>
      <c r="D55" s="384"/>
      <c r="E55" s="384"/>
      <c r="F55" s="384"/>
      <c r="G55" s="384"/>
      <c r="H55" s="643"/>
      <c r="I55" s="643"/>
      <c r="J55" s="384"/>
      <c r="K55" s="384"/>
      <c r="L55" s="721"/>
      <c r="M55" s="721"/>
      <c r="N55" s="731"/>
      <c r="O55" s="385"/>
    </row>
    <row r="56" spans="1:18" s="365" customFormat="1" ht="15.6" customHeight="1" x14ac:dyDescent="0.25">
      <c r="A56" s="472" t="s">
        <v>508</v>
      </c>
      <c r="B56" s="394" t="s">
        <v>507</v>
      </c>
      <c r="C56" s="395" t="s">
        <v>383</v>
      </c>
      <c r="D56" s="396" t="s">
        <v>483</v>
      </c>
      <c r="E56" s="396" t="s">
        <v>509</v>
      </c>
      <c r="F56" s="396" t="s">
        <v>356</v>
      </c>
      <c r="G56" s="396" t="s">
        <v>484</v>
      </c>
      <c r="H56" s="645" t="s">
        <v>356</v>
      </c>
      <c r="I56" s="645" t="s">
        <v>383</v>
      </c>
      <c r="J56" s="396" t="s">
        <v>485</v>
      </c>
      <c r="K56" s="396" t="s">
        <v>483</v>
      </c>
      <c r="L56" s="723">
        <f>L57</f>
        <v>0</v>
      </c>
      <c r="M56" s="723">
        <f t="shared" ref="M56:N56" si="4">M57</f>
        <v>0</v>
      </c>
      <c r="N56" s="734">
        <f t="shared" si="4"/>
        <v>0</v>
      </c>
      <c r="O56" s="397">
        <v>0</v>
      </c>
    </row>
    <row r="57" spans="1:18" s="794" customFormat="1" ht="18.600000000000001" customHeight="1" x14ac:dyDescent="0.25">
      <c r="A57" s="793"/>
      <c r="B57" s="371"/>
      <c r="C57" s="372"/>
      <c r="D57" s="404"/>
      <c r="E57" s="404"/>
      <c r="F57" s="404"/>
      <c r="G57" s="404"/>
      <c r="H57" s="647"/>
      <c r="I57" s="647"/>
      <c r="J57" s="404"/>
      <c r="K57" s="404"/>
      <c r="L57" s="718"/>
      <c r="M57" s="718"/>
      <c r="N57" s="732"/>
      <c r="O57" s="373"/>
    </row>
    <row r="58" spans="1:18" s="365" customFormat="1" ht="15" x14ac:dyDescent="0.25">
      <c r="A58" s="465" t="s">
        <v>406</v>
      </c>
      <c r="B58" s="378" t="s">
        <v>510</v>
      </c>
      <c r="C58" s="379"/>
      <c r="D58" s="380"/>
      <c r="E58" s="380"/>
      <c r="F58" s="380"/>
      <c r="G58" s="380"/>
      <c r="H58" s="642"/>
      <c r="I58" s="642"/>
      <c r="J58" s="380"/>
      <c r="K58" s="380"/>
      <c r="L58" s="720">
        <f>L60</f>
        <v>0</v>
      </c>
      <c r="M58" s="720">
        <f t="shared" ref="M58:N58" si="5">M60</f>
        <v>0</v>
      </c>
      <c r="N58" s="733">
        <f t="shared" si="5"/>
        <v>0</v>
      </c>
      <c r="O58" s="412">
        <v>0</v>
      </c>
    </row>
    <row r="59" spans="1:18" s="365" customFormat="1" ht="11.1" customHeight="1" x14ac:dyDescent="0.25">
      <c r="A59" s="466" t="s">
        <v>203</v>
      </c>
      <c r="B59" s="382"/>
      <c r="C59" s="383"/>
      <c r="D59" s="384"/>
      <c r="E59" s="384"/>
      <c r="F59" s="384"/>
      <c r="G59" s="384"/>
      <c r="H59" s="643"/>
      <c r="I59" s="643"/>
      <c r="J59" s="384"/>
      <c r="K59" s="384"/>
      <c r="L59" s="721"/>
      <c r="M59" s="721"/>
      <c r="N59" s="731"/>
      <c r="O59" s="385"/>
    </row>
    <row r="60" spans="1:18" s="365" customFormat="1" ht="15" x14ac:dyDescent="0.25">
      <c r="A60" s="789" t="s">
        <v>511</v>
      </c>
      <c r="B60" s="408" t="s">
        <v>512</v>
      </c>
      <c r="C60" s="372" t="s">
        <v>267</v>
      </c>
      <c r="D60" s="404" t="s">
        <v>483</v>
      </c>
      <c r="E60" s="404"/>
      <c r="F60" s="404" t="s">
        <v>356</v>
      </c>
      <c r="G60" s="404" t="s">
        <v>484</v>
      </c>
      <c r="H60" s="647" t="s">
        <v>356</v>
      </c>
      <c r="I60" s="647" t="s">
        <v>321</v>
      </c>
      <c r="J60" s="404" t="s">
        <v>485</v>
      </c>
      <c r="K60" s="404" t="s">
        <v>483</v>
      </c>
      <c r="L60" s="718">
        <f>L62</f>
        <v>0</v>
      </c>
      <c r="M60" s="718">
        <f>M62</f>
        <v>0</v>
      </c>
      <c r="N60" s="730">
        <f t="shared" ref="N60" si="6">N62</f>
        <v>0</v>
      </c>
      <c r="O60" s="373">
        <v>0</v>
      </c>
    </row>
    <row r="61" spans="1:18" s="365" customFormat="1" ht="12.75" customHeight="1" x14ac:dyDescent="0.25">
      <c r="A61" s="790" t="s">
        <v>243</v>
      </c>
      <c r="B61" s="791"/>
      <c r="C61" s="383"/>
      <c r="D61" s="384"/>
      <c r="E61" s="384"/>
      <c r="F61" s="384"/>
      <c r="G61" s="384"/>
      <c r="H61" s="643"/>
      <c r="I61" s="643"/>
      <c r="J61" s="384"/>
      <c r="K61" s="384"/>
      <c r="L61" s="721"/>
      <c r="M61" s="721"/>
      <c r="N61" s="731"/>
      <c r="O61" s="385"/>
    </row>
    <row r="62" spans="1:18" s="365" customFormat="1" ht="30" x14ac:dyDescent="0.25">
      <c r="A62" s="467" t="s">
        <v>320</v>
      </c>
      <c r="B62" s="398" t="s">
        <v>513</v>
      </c>
      <c r="C62" s="390" t="s">
        <v>321</v>
      </c>
      <c r="D62" s="391" t="s">
        <v>483</v>
      </c>
      <c r="E62" s="391"/>
      <c r="F62" s="391" t="s">
        <v>356</v>
      </c>
      <c r="G62" s="391" t="s">
        <v>484</v>
      </c>
      <c r="H62" s="644" t="s">
        <v>356</v>
      </c>
      <c r="I62" s="644" t="s">
        <v>321</v>
      </c>
      <c r="J62" s="391" t="s">
        <v>485</v>
      </c>
      <c r="K62" s="391" t="s">
        <v>483</v>
      </c>
      <c r="L62" s="784">
        <f>'прочие поступ строка 1980 (510)'!C21+'прочие поступ строка 1980 (510)'!D21+'прочие поступ строка 1980 (510)'!E21+'прочие поступ строка 1980 (510)'!F21</f>
        <v>0</v>
      </c>
      <c r="M62" s="784">
        <f>'прочие поступ строка 1980 (510)'!G21+'прочие поступ строка 1980 (510)'!H21+'прочие поступ строка 1980 (510)'!I21+'прочие поступ строка 1980 (510)'!J21</f>
        <v>0</v>
      </c>
      <c r="N62" s="788">
        <f>'прочие поступ строка 1980 (510)'!K21+'прочие поступ строка 1980 (510)'!L21+'прочие поступ строка 1980 (510)'!M21+'прочие поступ строка 1980 (510)'!N21</f>
        <v>0</v>
      </c>
      <c r="O62" s="392">
        <v>0</v>
      </c>
      <c r="P62" s="381"/>
      <c r="Q62" s="381"/>
      <c r="R62" s="381"/>
    </row>
    <row r="63" spans="1:18" s="365" customFormat="1" ht="16.149999999999999" customHeight="1" x14ac:dyDescent="0.25">
      <c r="A63" s="473" t="s">
        <v>514</v>
      </c>
      <c r="B63" s="420"/>
      <c r="C63" s="404"/>
      <c r="D63" s="404" t="s">
        <v>483</v>
      </c>
      <c r="E63" s="404" t="s">
        <v>509</v>
      </c>
      <c r="F63" s="404" t="s">
        <v>356</v>
      </c>
      <c r="G63" s="404" t="s">
        <v>484</v>
      </c>
      <c r="H63" s="647" t="s">
        <v>356</v>
      </c>
      <c r="I63" s="647" t="s">
        <v>356</v>
      </c>
      <c r="J63" s="404" t="s">
        <v>485</v>
      </c>
      <c r="K63" s="404" t="s">
        <v>483</v>
      </c>
      <c r="L63" s="724">
        <v>0</v>
      </c>
      <c r="M63" s="724">
        <v>0</v>
      </c>
      <c r="N63" s="735">
        <v>0</v>
      </c>
      <c r="O63" s="373">
        <v>0</v>
      </c>
      <c r="P63" s="381"/>
      <c r="Q63" s="381"/>
      <c r="R63" s="381"/>
    </row>
    <row r="64" spans="1:18" s="365" customFormat="1" ht="16.149999999999999" customHeight="1" x14ac:dyDescent="0.25">
      <c r="A64" s="473" t="s">
        <v>515</v>
      </c>
      <c r="B64" s="420" t="s">
        <v>310</v>
      </c>
      <c r="C64" s="404" t="s">
        <v>356</v>
      </c>
      <c r="D64" s="404" t="s">
        <v>483</v>
      </c>
      <c r="E64" s="404" t="s">
        <v>509</v>
      </c>
      <c r="F64" s="404" t="s">
        <v>356</v>
      </c>
      <c r="G64" s="404" t="s">
        <v>484</v>
      </c>
      <c r="H64" s="647" t="s">
        <v>356</v>
      </c>
      <c r="I64" s="647" t="s">
        <v>356</v>
      </c>
      <c r="J64" s="404" t="s">
        <v>485</v>
      </c>
      <c r="K64" s="404" t="s">
        <v>483</v>
      </c>
      <c r="L64" s="724">
        <v>0</v>
      </c>
      <c r="M64" s="724">
        <v>0</v>
      </c>
      <c r="N64" s="735">
        <v>0</v>
      </c>
      <c r="O64" s="373">
        <v>0</v>
      </c>
      <c r="P64" s="381"/>
      <c r="Q64" s="381"/>
      <c r="R64" s="381"/>
    </row>
    <row r="65" spans="1:18" s="365" customFormat="1" ht="15" customHeight="1" x14ac:dyDescent="0.25">
      <c r="A65" s="473" t="s">
        <v>516</v>
      </c>
      <c r="B65" s="420" t="s">
        <v>510</v>
      </c>
      <c r="C65" s="404" t="s">
        <v>356</v>
      </c>
      <c r="D65" s="404" t="s">
        <v>483</v>
      </c>
      <c r="E65" s="404" t="s">
        <v>509</v>
      </c>
      <c r="F65" s="404" t="s">
        <v>356</v>
      </c>
      <c r="G65" s="404" t="s">
        <v>484</v>
      </c>
      <c r="H65" s="647" t="s">
        <v>356</v>
      </c>
      <c r="I65" s="647" t="s">
        <v>356</v>
      </c>
      <c r="J65" s="404" t="s">
        <v>485</v>
      </c>
      <c r="K65" s="404" t="s">
        <v>483</v>
      </c>
      <c r="L65" s="724">
        <v>0</v>
      </c>
      <c r="M65" s="724">
        <v>0</v>
      </c>
      <c r="N65" s="735">
        <v>0</v>
      </c>
      <c r="O65" s="373">
        <v>0</v>
      </c>
      <c r="P65" s="381"/>
      <c r="Q65" s="381"/>
      <c r="R65" s="381"/>
    </row>
    <row r="66" spans="1:18" s="381" customFormat="1" ht="15" x14ac:dyDescent="0.25">
      <c r="A66" s="460" t="s">
        <v>322</v>
      </c>
      <c r="B66" s="374" t="s">
        <v>517</v>
      </c>
      <c r="C66" s="375" t="s">
        <v>267</v>
      </c>
      <c r="D66" s="376" t="s">
        <v>483</v>
      </c>
      <c r="E66" s="376"/>
      <c r="F66" s="376" t="s">
        <v>356</v>
      </c>
      <c r="G66" s="376" t="s">
        <v>484</v>
      </c>
      <c r="H66" s="641" t="s">
        <v>356</v>
      </c>
      <c r="I66" s="641"/>
      <c r="J66" s="376" t="s">
        <v>485</v>
      </c>
      <c r="K66" s="376" t="s">
        <v>483</v>
      </c>
      <c r="L66" s="719">
        <f>L67+L79+L86+L90+L97+L99</f>
        <v>100986000</v>
      </c>
      <c r="M66" s="719">
        <f>M67+M79+M86+M90+M97+M99+M109+M113</f>
        <v>101279600</v>
      </c>
      <c r="N66" s="736">
        <f>N67+N79+N86+N90+N97+N99+N109+N113</f>
        <v>100866800</v>
      </c>
      <c r="O66" s="377">
        <v>0</v>
      </c>
      <c r="P66" s="366"/>
    </row>
    <row r="67" spans="1:18" s="381" customFormat="1" ht="30" x14ac:dyDescent="0.25">
      <c r="A67" s="474" t="s">
        <v>518</v>
      </c>
      <c r="B67" s="378" t="s">
        <v>519</v>
      </c>
      <c r="C67" s="379" t="s">
        <v>267</v>
      </c>
      <c r="D67" s="380" t="s">
        <v>483</v>
      </c>
      <c r="E67" s="380"/>
      <c r="F67" s="380" t="s">
        <v>356</v>
      </c>
      <c r="G67" s="380" t="s">
        <v>484</v>
      </c>
      <c r="H67" s="642" t="s">
        <v>356</v>
      </c>
      <c r="I67" s="642"/>
      <c r="J67" s="380" t="s">
        <v>485</v>
      </c>
      <c r="K67" s="380" t="s">
        <v>483</v>
      </c>
      <c r="L67" s="720">
        <f>L68+L69+L70+L71</f>
        <v>90279700</v>
      </c>
      <c r="M67" s="720">
        <f>M68+M69+M70+M71</f>
        <v>90279700</v>
      </c>
      <c r="N67" s="733">
        <f>N68+N69+N70+N71</f>
        <v>90279700</v>
      </c>
      <c r="O67" s="412">
        <v>0</v>
      </c>
    </row>
    <row r="68" spans="1:18" s="365" customFormat="1" ht="30" x14ac:dyDescent="0.25">
      <c r="A68" s="469" t="s">
        <v>520</v>
      </c>
      <c r="B68" s="408" t="s">
        <v>521</v>
      </c>
      <c r="C68" s="409" t="s">
        <v>522</v>
      </c>
      <c r="D68" s="410" t="s">
        <v>483</v>
      </c>
      <c r="E68" s="410"/>
      <c r="F68" s="410" t="s">
        <v>351</v>
      </c>
      <c r="G68" s="410" t="s">
        <v>342</v>
      </c>
      <c r="H68" s="413" t="s">
        <v>356</v>
      </c>
      <c r="I68" s="413"/>
      <c r="J68" s="410" t="s">
        <v>496</v>
      </c>
      <c r="K68" s="410" t="s">
        <v>483</v>
      </c>
      <c r="L68" s="414">
        <f>КВР!C11+КВР!D11+КВР!E11+КВР!F11</f>
        <v>68111100</v>
      </c>
      <c r="M68" s="414">
        <f>КВР!G11+КВР!H11+КВР!I11+КВР!J11</f>
        <v>68111100</v>
      </c>
      <c r="N68" s="415">
        <f>КВР!K11+КВР!L11+КВР!M11+КВР!N11</f>
        <v>68111100</v>
      </c>
      <c r="O68" s="411">
        <v>0</v>
      </c>
      <c r="P68" s="366"/>
      <c r="Q68" s="366"/>
      <c r="R68" s="366"/>
    </row>
    <row r="69" spans="1:18" s="365" customFormat="1" ht="30" x14ac:dyDescent="0.25">
      <c r="A69" s="471" t="s">
        <v>323</v>
      </c>
      <c r="B69" s="371" t="s">
        <v>523</v>
      </c>
      <c r="C69" s="372" t="s">
        <v>524</v>
      </c>
      <c r="D69" s="404" t="s">
        <v>483</v>
      </c>
      <c r="E69" s="404"/>
      <c r="F69" s="404" t="s">
        <v>356</v>
      </c>
      <c r="G69" s="404" t="s">
        <v>484</v>
      </c>
      <c r="H69" s="647" t="s">
        <v>356</v>
      </c>
      <c r="I69" s="647"/>
      <c r="J69" s="404" t="s">
        <v>496</v>
      </c>
      <c r="K69" s="404" t="s">
        <v>483</v>
      </c>
      <c r="L69" s="414">
        <f>КВР!C18+КВР!D18+КВР!E18+КВР!F18</f>
        <v>1599000</v>
      </c>
      <c r="M69" s="414">
        <f>КВР!G18+КВР!H18+КВР!I18+КВР!J18</f>
        <v>1599000</v>
      </c>
      <c r="N69" s="415">
        <f>КВР!K18+КВР!L18+КВР!M18+КВР!N18</f>
        <v>1599000</v>
      </c>
      <c r="O69" s="373">
        <v>0</v>
      </c>
      <c r="P69" s="366"/>
      <c r="Q69" s="366"/>
      <c r="R69" s="381"/>
    </row>
    <row r="70" spans="1:18" s="365" customFormat="1" ht="30" x14ac:dyDescent="0.25">
      <c r="A70" s="468" t="s">
        <v>324</v>
      </c>
      <c r="B70" s="371" t="s">
        <v>525</v>
      </c>
      <c r="C70" s="372" t="s">
        <v>526</v>
      </c>
      <c r="D70" s="404" t="s">
        <v>483</v>
      </c>
      <c r="E70" s="404"/>
      <c r="F70" s="404" t="s">
        <v>233</v>
      </c>
      <c r="G70" s="404" t="s">
        <v>484</v>
      </c>
      <c r="H70" s="647" t="s">
        <v>348</v>
      </c>
      <c r="I70" s="647"/>
      <c r="J70" s="404" t="s">
        <v>496</v>
      </c>
      <c r="K70" s="404" t="s">
        <v>483</v>
      </c>
      <c r="L70" s="414">
        <f>КВР!C31+КВР!D31+КВР!E31+КВР!F31</f>
        <v>0</v>
      </c>
      <c r="M70" s="414">
        <f>КВР!G31+КВР!H31+КВР!I31+КВР!J31</f>
        <v>0</v>
      </c>
      <c r="N70" s="415">
        <f>КВР!K31+КВР!L31+КВР!M31+КВР!N31</f>
        <v>0</v>
      </c>
      <c r="O70" s="373">
        <v>0</v>
      </c>
      <c r="P70" s="381"/>
      <c r="Q70" s="381"/>
      <c r="R70" s="366"/>
    </row>
    <row r="71" spans="1:18" s="365" customFormat="1" ht="32.450000000000003" customHeight="1" x14ac:dyDescent="0.25">
      <c r="A71" s="475" t="s">
        <v>325</v>
      </c>
      <c r="B71" s="421" t="s">
        <v>527</v>
      </c>
      <c r="C71" s="422" t="s">
        <v>528</v>
      </c>
      <c r="D71" s="423" t="s">
        <v>483</v>
      </c>
      <c r="E71" s="423"/>
      <c r="F71" s="423" t="s">
        <v>356</v>
      </c>
      <c r="G71" s="423" t="s">
        <v>484</v>
      </c>
      <c r="H71" s="649" t="s">
        <v>356</v>
      </c>
      <c r="I71" s="649"/>
      <c r="J71" s="423" t="s">
        <v>485</v>
      </c>
      <c r="K71" s="423" t="s">
        <v>483</v>
      </c>
      <c r="L71" s="725">
        <f>L72+L73</f>
        <v>20569600</v>
      </c>
      <c r="M71" s="725">
        <f>M72+M73</f>
        <v>20569600</v>
      </c>
      <c r="N71" s="737">
        <f>N72+N73</f>
        <v>20569600</v>
      </c>
      <c r="O71" s="424">
        <f>O72+O73</f>
        <v>0</v>
      </c>
      <c r="P71" s="366"/>
      <c r="Q71" s="381"/>
      <c r="R71" s="366"/>
    </row>
    <row r="72" spans="1:18" s="365" customFormat="1" ht="30" x14ac:dyDescent="0.25">
      <c r="A72" s="476" t="s">
        <v>529</v>
      </c>
      <c r="B72" s="371" t="s">
        <v>530</v>
      </c>
      <c r="C72" s="372" t="s">
        <v>528</v>
      </c>
      <c r="D72" s="404" t="s">
        <v>483</v>
      </c>
      <c r="E72" s="404"/>
      <c r="F72" s="404" t="s">
        <v>350</v>
      </c>
      <c r="G72" s="404" t="s">
        <v>342</v>
      </c>
      <c r="H72" s="647" t="s">
        <v>349</v>
      </c>
      <c r="I72" s="647"/>
      <c r="J72" s="404" t="s">
        <v>496</v>
      </c>
      <c r="K72" s="404" t="s">
        <v>483</v>
      </c>
      <c r="L72" s="414">
        <f>КВР!C39+КВР!D39+КВР!E39+КВР!F39</f>
        <v>20569600</v>
      </c>
      <c r="M72" s="414">
        <f>КВР!G39+КВР!H39+КВР!I39+КВР!J39</f>
        <v>20569600</v>
      </c>
      <c r="N72" s="415">
        <f>КВР!K39+КВР!L39+КВР!M39+КВР!N39</f>
        <v>20569600</v>
      </c>
      <c r="O72" s="373">
        <v>0</v>
      </c>
      <c r="P72" s="366"/>
      <c r="Q72" s="381"/>
      <c r="R72" s="366"/>
    </row>
    <row r="73" spans="1:18" s="365" customFormat="1" ht="15.75" thickBot="1" x14ac:dyDescent="0.3">
      <c r="A73" s="477" t="s">
        <v>326</v>
      </c>
      <c r="B73" s="425" t="s">
        <v>531</v>
      </c>
      <c r="C73" s="426" t="s">
        <v>528</v>
      </c>
      <c r="D73" s="427" t="s">
        <v>483</v>
      </c>
      <c r="E73" s="427"/>
      <c r="F73" s="427" t="s">
        <v>356</v>
      </c>
      <c r="G73" s="427" t="s">
        <v>484</v>
      </c>
      <c r="H73" s="650" t="s">
        <v>356</v>
      </c>
      <c r="I73" s="650"/>
      <c r="J73" s="427" t="s">
        <v>485</v>
      </c>
      <c r="K73" s="427" t="s">
        <v>483</v>
      </c>
      <c r="L73" s="726">
        <v>0</v>
      </c>
      <c r="M73" s="726">
        <v>0</v>
      </c>
      <c r="N73" s="738">
        <v>0</v>
      </c>
      <c r="O73" s="428">
        <v>0</v>
      </c>
      <c r="P73" s="381"/>
      <c r="Q73" s="381"/>
      <c r="R73" s="366"/>
    </row>
    <row r="74" spans="1:18" s="365" customFormat="1" ht="30" x14ac:dyDescent="0.25">
      <c r="A74" s="471" t="s">
        <v>532</v>
      </c>
      <c r="B74" s="371" t="s">
        <v>533</v>
      </c>
      <c r="C74" s="372" t="s">
        <v>495</v>
      </c>
      <c r="D74" s="404" t="s">
        <v>483</v>
      </c>
      <c r="E74" s="404"/>
      <c r="F74" s="404" t="s">
        <v>356</v>
      </c>
      <c r="G74" s="404" t="s">
        <v>484</v>
      </c>
      <c r="H74" s="647" t="s">
        <v>356</v>
      </c>
      <c r="I74" s="647"/>
      <c r="J74" s="404" t="s">
        <v>485</v>
      </c>
      <c r="K74" s="404" t="s">
        <v>483</v>
      </c>
      <c r="L74" s="718">
        <v>0</v>
      </c>
      <c r="M74" s="718">
        <v>0</v>
      </c>
      <c r="N74" s="730">
        <v>0</v>
      </c>
      <c r="O74" s="373">
        <v>0</v>
      </c>
      <c r="P74" s="381"/>
      <c r="Q74" s="381"/>
      <c r="R74" s="366"/>
    </row>
    <row r="75" spans="1:18" s="365" customFormat="1" ht="45" x14ac:dyDescent="0.25">
      <c r="A75" s="468" t="s">
        <v>534</v>
      </c>
      <c r="B75" s="371" t="s">
        <v>535</v>
      </c>
      <c r="C75" s="372" t="s">
        <v>536</v>
      </c>
      <c r="D75" s="404" t="s">
        <v>483</v>
      </c>
      <c r="E75" s="404"/>
      <c r="F75" s="404" t="s">
        <v>356</v>
      </c>
      <c r="G75" s="404" t="s">
        <v>484</v>
      </c>
      <c r="H75" s="647" t="s">
        <v>356</v>
      </c>
      <c r="I75" s="647"/>
      <c r="J75" s="404" t="s">
        <v>485</v>
      </c>
      <c r="K75" s="404" t="s">
        <v>483</v>
      </c>
      <c r="L75" s="718">
        <v>0</v>
      </c>
      <c r="M75" s="718">
        <v>0</v>
      </c>
      <c r="N75" s="730">
        <v>0</v>
      </c>
      <c r="O75" s="373">
        <v>0</v>
      </c>
      <c r="P75" s="381"/>
      <c r="Q75" s="381"/>
      <c r="R75" s="366"/>
    </row>
    <row r="76" spans="1:18" s="365" customFormat="1" ht="30" x14ac:dyDescent="0.25">
      <c r="A76" s="468" t="s">
        <v>537</v>
      </c>
      <c r="B76" s="371" t="s">
        <v>538</v>
      </c>
      <c r="C76" s="372" t="s">
        <v>539</v>
      </c>
      <c r="D76" s="404" t="s">
        <v>483</v>
      </c>
      <c r="E76" s="404"/>
      <c r="F76" s="404" t="s">
        <v>356</v>
      </c>
      <c r="G76" s="404" t="s">
        <v>484</v>
      </c>
      <c r="H76" s="647" t="s">
        <v>356</v>
      </c>
      <c r="I76" s="647"/>
      <c r="J76" s="404" t="s">
        <v>485</v>
      </c>
      <c r="K76" s="404" t="s">
        <v>483</v>
      </c>
      <c r="L76" s="718">
        <v>0</v>
      </c>
      <c r="M76" s="718">
        <v>0</v>
      </c>
      <c r="N76" s="730">
        <v>0</v>
      </c>
      <c r="O76" s="373">
        <v>0</v>
      </c>
      <c r="P76" s="381"/>
      <c r="Q76" s="381"/>
      <c r="R76" s="366"/>
    </row>
    <row r="77" spans="1:18" s="365" customFormat="1" ht="45" x14ac:dyDescent="0.25">
      <c r="A77" s="468" t="s">
        <v>540</v>
      </c>
      <c r="B77" s="371" t="s">
        <v>541</v>
      </c>
      <c r="C77" s="372" t="s">
        <v>542</v>
      </c>
      <c r="D77" s="404" t="s">
        <v>483</v>
      </c>
      <c r="E77" s="404"/>
      <c r="F77" s="404" t="s">
        <v>356</v>
      </c>
      <c r="G77" s="404" t="s">
        <v>484</v>
      </c>
      <c r="H77" s="647" t="s">
        <v>356</v>
      </c>
      <c r="I77" s="647"/>
      <c r="J77" s="404" t="s">
        <v>485</v>
      </c>
      <c r="K77" s="404" t="s">
        <v>483</v>
      </c>
      <c r="L77" s="718">
        <v>0</v>
      </c>
      <c r="M77" s="718">
        <v>0</v>
      </c>
      <c r="N77" s="730">
        <v>0</v>
      </c>
      <c r="O77" s="373">
        <v>0</v>
      </c>
      <c r="P77" s="381"/>
      <c r="Q77" s="381"/>
      <c r="R77" s="381"/>
    </row>
    <row r="78" spans="1:18" s="365" customFormat="1" ht="30" x14ac:dyDescent="0.25">
      <c r="A78" s="476" t="s">
        <v>543</v>
      </c>
      <c r="B78" s="371" t="s">
        <v>544</v>
      </c>
      <c r="C78" s="372" t="s">
        <v>542</v>
      </c>
      <c r="D78" s="404" t="s">
        <v>483</v>
      </c>
      <c r="E78" s="404"/>
      <c r="F78" s="404" t="s">
        <v>356</v>
      </c>
      <c r="G78" s="404" t="s">
        <v>484</v>
      </c>
      <c r="H78" s="647" t="s">
        <v>356</v>
      </c>
      <c r="I78" s="647"/>
      <c r="J78" s="404" t="s">
        <v>485</v>
      </c>
      <c r="K78" s="404" t="s">
        <v>483</v>
      </c>
      <c r="L78" s="718">
        <v>0</v>
      </c>
      <c r="M78" s="718">
        <v>0</v>
      </c>
      <c r="N78" s="730">
        <v>0</v>
      </c>
      <c r="O78" s="373">
        <v>0</v>
      </c>
    </row>
    <row r="79" spans="1:18" s="381" customFormat="1" ht="15" x14ac:dyDescent="0.25">
      <c r="A79" s="461" t="s">
        <v>327</v>
      </c>
      <c r="B79" s="378" t="s">
        <v>545</v>
      </c>
      <c r="C79" s="379" t="s">
        <v>546</v>
      </c>
      <c r="D79" s="380" t="s">
        <v>483</v>
      </c>
      <c r="E79" s="380"/>
      <c r="F79" s="380" t="s">
        <v>356</v>
      </c>
      <c r="G79" s="380" t="s">
        <v>484</v>
      </c>
      <c r="H79" s="642" t="s">
        <v>356</v>
      </c>
      <c r="I79" s="642"/>
      <c r="J79" s="380" t="s">
        <v>485</v>
      </c>
      <c r="K79" s="380" t="s">
        <v>483</v>
      </c>
      <c r="L79" s="720">
        <f>L80</f>
        <v>100000</v>
      </c>
      <c r="M79" s="720">
        <f t="shared" ref="M79:O79" si="7">M80</f>
        <v>0</v>
      </c>
      <c r="N79" s="733">
        <f t="shared" si="7"/>
        <v>0</v>
      </c>
      <c r="O79" s="412">
        <f t="shared" si="7"/>
        <v>0</v>
      </c>
    </row>
    <row r="80" spans="1:18" s="365" customFormat="1" ht="45" x14ac:dyDescent="0.25">
      <c r="A80" s="468" t="s">
        <v>547</v>
      </c>
      <c r="B80" s="371" t="s">
        <v>548</v>
      </c>
      <c r="C80" s="372" t="s">
        <v>549</v>
      </c>
      <c r="D80" s="404" t="s">
        <v>483</v>
      </c>
      <c r="E80" s="404"/>
      <c r="F80" s="404" t="s">
        <v>356</v>
      </c>
      <c r="G80" s="404" t="s">
        <v>484</v>
      </c>
      <c r="H80" s="647" t="s">
        <v>356</v>
      </c>
      <c r="I80" s="647"/>
      <c r="J80" s="404" t="s">
        <v>485</v>
      </c>
      <c r="K80" s="404" t="s">
        <v>483</v>
      </c>
      <c r="L80" s="414">
        <f>L81</f>
        <v>100000</v>
      </c>
      <c r="M80" s="718">
        <f>M81</f>
        <v>0</v>
      </c>
      <c r="N80" s="730">
        <f>N81</f>
        <v>0</v>
      </c>
      <c r="O80" s="373">
        <f>O81</f>
        <v>0</v>
      </c>
    </row>
    <row r="81" spans="1:18" s="365" customFormat="1" ht="45" x14ac:dyDescent="0.25">
      <c r="A81" s="476" t="s">
        <v>550</v>
      </c>
      <c r="B81" s="371" t="s">
        <v>551</v>
      </c>
      <c r="C81" s="372" t="s">
        <v>552</v>
      </c>
      <c r="D81" s="404" t="s">
        <v>553</v>
      </c>
      <c r="E81" s="404"/>
      <c r="F81" s="404" t="s">
        <v>353</v>
      </c>
      <c r="G81" s="404" t="s">
        <v>343</v>
      </c>
      <c r="H81" s="647" t="s">
        <v>352</v>
      </c>
      <c r="I81" s="647"/>
      <c r="J81" s="404" t="s">
        <v>496</v>
      </c>
      <c r="K81" s="404" t="s">
        <v>553</v>
      </c>
      <c r="L81" s="414">
        <f>КВР!C84+КВР!D84+КВР!E84+КВР!F84</f>
        <v>100000</v>
      </c>
      <c r="M81" s="414">
        <f>КВР!G84+КВР!H84+КВР!I84+КВР!J84</f>
        <v>0</v>
      </c>
      <c r="N81" s="415">
        <f>КВР!K84+КВР!L84+КВР!M84+КВР!N84</f>
        <v>0</v>
      </c>
      <c r="O81" s="373">
        <v>0</v>
      </c>
    </row>
    <row r="82" spans="1:18" s="365" customFormat="1" ht="30.6" customHeight="1" x14ac:dyDescent="0.25">
      <c r="A82" s="476" t="s">
        <v>554</v>
      </c>
      <c r="B82" s="371" t="s">
        <v>555</v>
      </c>
      <c r="C82" s="372" t="s">
        <v>556</v>
      </c>
      <c r="D82" s="404" t="s">
        <v>483</v>
      </c>
      <c r="E82" s="404" t="s">
        <v>509</v>
      </c>
      <c r="F82" s="404" t="s">
        <v>356</v>
      </c>
      <c r="G82" s="404" t="s">
        <v>484</v>
      </c>
      <c r="H82" s="647" t="s">
        <v>356</v>
      </c>
      <c r="I82" s="647"/>
      <c r="J82" s="404" t="s">
        <v>485</v>
      </c>
      <c r="K82" s="404" t="s">
        <v>483</v>
      </c>
      <c r="L82" s="414">
        <v>0</v>
      </c>
      <c r="M82" s="718">
        <v>0</v>
      </c>
      <c r="N82" s="730">
        <v>0</v>
      </c>
      <c r="O82" s="373">
        <v>0</v>
      </c>
    </row>
    <row r="83" spans="1:18" s="365" customFormat="1" ht="45" x14ac:dyDescent="0.25">
      <c r="A83" s="468" t="s">
        <v>407</v>
      </c>
      <c r="B83" s="371" t="s">
        <v>557</v>
      </c>
      <c r="C83" s="372" t="s">
        <v>558</v>
      </c>
      <c r="D83" s="404" t="s">
        <v>483</v>
      </c>
      <c r="E83" s="404"/>
      <c r="F83" s="404" t="s">
        <v>356</v>
      </c>
      <c r="G83" s="404" t="s">
        <v>484</v>
      </c>
      <c r="H83" s="647" t="s">
        <v>356</v>
      </c>
      <c r="I83" s="647"/>
      <c r="J83" s="404" t="s">
        <v>485</v>
      </c>
      <c r="K83" s="404" t="s">
        <v>483</v>
      </c>
      <c r="L83" s="414">
        <v>0</v>
      </c>
      <c r="M83" s="718">
        <v>0</v>
      </c>
      <c r="N83" s="730">
        <v>0</v>
      </c>
      <c r="O83" s="373">
        <v>0</v>
      </c>
    </row>
    <row r="84" spans="1:18" s="365" customFormat="1" ht="60" x14ac:dyDescent="0.25">
      <c r="A84" s="468" t="s">
        <v>559</v>
      </c>
      <c r="B84" s="371" t="s">
        <v>560</v>
      </c>
      <c r="C84" s="372" t="s">
        <v>561</v>
      </c>
      <c r="D84" s="404" t="s">
        <v>483</v>
      </c>
      <c r="E84" s="404"/>
      <c r="F84" s="404" t="s">
        <v>356</v>
      </c>
      <c r="G84" s="404" t="s">
        <v>484</v>
      </c>
      <c r="H84" s="647" t="s">
        <v>356</v>
      </c>
      <c r="I84" s="647"/>
      <c r="J84" s="404" t="s">
        <v>485</v>
      </c>
      <c r="K84" s="404" t="s">
        <v>483</v>
      </c>
      <c r="L84" s="718">
        <v>0</v>
      </c>
      <c r="M84" s="718">
        <v>0</v>
      </c>
      <c r="N84" s="730">
        <v>0</v>
      </c>
      <c r="O84" s="373">
        <v>0</v>
      </c>
    </row>
    <row r="85" spans="1:18" s="365" customFormat="1" ht="15" x14ac:dyDescent="0.25">
      <c r="A85" s="468" t="s">
        <v>408</v>
      </c>
      <c r="B85" s="371" t="s">
        <v>562</v>
      </c>
      <c r="C85" s="372" t="s">
        <v>563</v>
      </c>
      <c r="D85" s="404" t="s">
        <v>483</v>
      </c>
      <c r="E85" s="404"/>
      <c r="F85" s="404" t="s">
        <v>356</v>
      </c>
      <c r="G85" s="404" t="s">
        <v>484</v>
      </c>
      <c r="H85" s="647" t="s">
        <v>356</v>
      </c>
      <c r="I85" s="647"/>
      <c r="J85" s="404" t="s">
        <v>485</v>
      </c>
      <c r="K85" s="404" t="s">
        <v>483</v>
      </c>
      <c r="L85" s="718">
        <v>0</v>
      </c>
      <c r="M85" s="718">
        <v>0</v>
      </c>
      <c r="N85" s="730">
        <v>0</v>
      </c>
      <c r="O85" s="373">
        <v>0</v>
      </c>
    </row>
    <row r="86" spans="1:18" s="365" customFormat="1" ht="15" x14ac:dyDescent="0.25">
      <c r="A86" s="461" t="s">
        <v>328</v>
      </c>
      <c r="B86" s="378" t="s">
        <v>564</v>
      </c>
      <c r="C86" s="379" t="s">
        <v>565</v>
      </c>
      <c r="D86" s="380" t="s">
        <v>483</v>
      </c>
      <c r="E86" s="380"/>
      <c r="F86" s="380" t="s">
        <v>356</v>
      </c>
      <c r="G86" s="380" t="s">
        <v>484</v>
      </c>
      <c r="H86" s="642" t="s">
        <v>356</v>
      </c>
      <c r="I86" s="642"/>
      <c r="J86" s="380" t="s">
        <v>485</v>
      </c>
      <c r="K86" s="380" t="s">
        <v>483</v>
      </c>
      <c r="L86" s="720">
        <f>L87+L88+L89</f>
        <v>0</v>
      </c>
      <c r="M86" s="720">
        <f t="shared" ref="M86:O86" si="8">M87+M88+M89</f>
        <v>0</v>
      </c>
      <c r="N86" s="733">
        <f t="shared" si="8"/>
        <v>0</v>
      </c>
      <c r="O86" s="412">
        <f t="shared" si="8"/>
        <v>0</v>
      </c>
    </row>
    <row r="87" spans="1:18" s="365" customFormat="1" ht="30" x14ac:dyDescent="0.25">
      <c r="A87" s="468" t="s">
        <v>329</v>
      </c>
      <c r="B87" s="371" t="s">
        <v>566</v>
      </c>
      <c r="C87" s="372" t="s">
        <v>567</v>
      </c>
      <c r="D87" s="404" t="s">
        <v>483</v>
      </c>
      <c r="E87" s="404"/>
      <c r="F87" s="404" t="s">
        <v>356</v>
      </c>
      <c r="G87" s="404" t="s">
        <v>484</v>
      </c>
      <c r="H87" s="647" t="s">
        <v>356</v>
      </c>
      <c r="I87" s="647"/>
      <c r="J87" s="404" t="s">
        <v>485</v>
      </c>
      <c r="K87" s="404" t="s">
        <v>483</v>
      </c>
      <c r="L87" s="718">
        <v>0</v>
      </c>
      <c r="M87" s="718">
        <v>0</v>
      </c>
      <c r="N87" s="730">
        <v>0</v>
      </c>
      <c r="O87" s="373">
        <v>0</v>
      </c>
    </row>
    <row r="88" spans="1:18" s="365" customFormat="1" ht="45" x14ac:dyDescent="0.25">
      <c r="A88" s="468" t="s">
        <v>330</v>
      </c>
      <c r="B88" s="371" t="s">
        <v>568</v>
      </c>
      <c r="C88" s="372" t="s">
        <v>569</v>
      </c>
      <c r="D88" s="404" t="s">
        <v>483</v>
      </c>
      <c r="E88" s="404"/>
      <c r="F88" s="404" t="s">
        <v>355</v>
      </c>
      <c r="G88" s="404" t="s">
        <v>340</v>
      </c>
      <c r="H88" s="647" t="s">
        <v>354</v>
      </c>
      <c r="I88" s="647"/>
      <c r="J88" s="404" t="s">
        <v>496</v>
      </c>
      <c r="K88" s="404" t="s">
        <v>483</v>
      </c>
      <c r="L88" s="414">
        <f>КВР!E96</f>
        <v>0</v>
      </c>
      <c r="M88" s="414">
        <f>КВР!I96</f>
        <v>0</v>
      </c>
      <c r="N88" s="415">
        <f>КВР!J96</f>
        <v>0</v>
      </c>
      <c r="O88" s="373">
        <v>0</v>
      </c>
      <c r="P88" s="366"/>
      <c r="Q88" s="381"/>
      <c r="R88" s="381"/>
    </row>
    <row r="89" spans="1:18" s="365" customFormat="1" ht="30" x14ac:dyDescent="0.25">
      <c r="A89" s="468" t="s">
        <v>331</v>
      </c>
      <c r="B89" s="371" t="s">
        <v>570</v>
      </c>
      <c r="C89" s="372" t="s">
        <v>571</v>
      </c>
      <c r="D89" s="404" t="s">
        <v>483</v>
      </c>
      <c r="E89" s="404"/>
      <c r="F89" s="404" t="s">
        <v>358</v>
      </c>
      <c r="G89" s="404" t="s">
        <v>340</v>
      </c>
      <c r="H89" s="647" t="s">
        <v>357</v>
      </c>
      <c r="I89" s="647"/>
      <c r="J89" s="404" t="s">
        <v>496</v>
      </c>
      <c r="K89" s="404" t="s">
        <v>483</v>
      </c>
      <c r="L89" s="414">
        <f>КВР!E97</f>
        <v>0</v>
      </c>
      <c r="M89" s="414">
        <f>КВР!F97</f>
        <v>0</v>
      </c>
      <c r="N89" s="415">
        <f>КВР!G97</f>
        <v>0</v>
      </c>
      <c r="O89" s="373">
        <v>0</v>
      </c>
      <c r="P89" s="381"/>
      <c r="Q89" s="381"/>
      <c r="R89" s="381"/>
    </row>
    <row r="90" spans="1:18" s="365" customFormat="1" ht="30" x14ac:dyDescent="0.25">
      <c r="A90" s="461" t="s">
        <v>332</v>
      </c>
      <c r="B90" s="378" t="s">
        <v>572</v>
      </c>
      <c r="C90" s="379" t="s">
        <v>267</v>
      </c>
      <c r="D90" s="380" t="s">
        <v>483</v>
      </c>
      <c r="E90" s="380"/>
      <c r="F90" s="380" t="s">
        <v>356</v>
      </c>
      <c r="G90" s="380" t="s">
        <v>484</v>
      </c>
      <c r="H90" s="642" t="s">
        <v>356</v>
      </c>
      <c r="I90" s="642"/>
      <c r="J90" s="380" t="s">
        <v>485</v>
      </c>
      <c r="K90" s="380" t="s">
        <v>483</v>
      </c>
      <c r="L90" s="720">
        <f>L91+L92+L93+L94+L95+L96</f>
        <v>0</v>
      </c>
      <c r="M90" s="720">
        <f t="shared" ref="M90:O90" si="9">M91+M92+M93+M94+M95+M96</f>
        <v>0</v>
      </c>
      <c r="N90" s="733">
        <f t="shared" si="9"/>
        <v>0</v>
      </c>
      <c r="O90" s="412">
        <f t="shared" si="9"/>
        <v>0</v>
      </c>
      <c r="P90" s="381"/>
      <c r="Q90" s="381"/>
      <c r="R90" s="381"/>
    </row>
    <row r="91" spans="1:18" s="365" customFormat="1" ht="30" x14ac:dyDescent="0.25">
      <c r="A91" s="468" t="s">
        <v>573</v>
      </c>
      <c r="B91" s="371" t="s">
        <v>574</v>
      </c>
      <c r="C91" s="372" t="s">
        <v>575</v>
      </c>
      <c r="D91" s="404" t="s">
        <v>483</v>
      </c>
      <c r="E91" s="404"/>
      <c r="F91" s="404" t="s">
        <v>356</v>
      </c>
      <c r="G91" s="404" t="s">
        <v>484</v>
      </c>
      <c r="H91" s="647" t="s">
        <v>356</v>
      </c>
      <c r="I91" s="647"/>
      <c r="J91" s="404" t="s">
        <v>485</v>
      </c>
      <c r="K91" s="404" t="s">
        <v>483</v>
      </c>
      <c r="L91" s="718">
        <v>0</v>
      </c>
      <c r="M91" s="718">
        <v>0</v>
      </c>
      <c r="N91" s="730">
        <v>0</v>
      </c>
      <c r="O91" s="373">
        <v>0</v>
      </c>
      <c r="P91" s="381"/>
      <c r="Q91" s="381"/>
      <c r="R91" s="381"/>
    </row>
    <row r="92" spans="1:18" s="365" customFormat="1" ht="15" x14ac:dyDescent="0.25">
      <c r="A92" s="468" t="s">
        <v>381</v>
      </c>
      <c r="B92" s="371" t="s">
        <v>576</v>
      </c>
      <c r="C92" s="372" t="s">
        <v>577</v>
      </c>
      <c r="D92" s="404" t="s">
        <v>483</v>
      </c>
      <c r="E92" s="404"/>
      <c r="F92" s="404" t="s">
        <v>356</v>
      </c>
      <c r="G92" s="404" t="s">
        <v>484</v>
      </c>
      <c r="H92" s="647" t="s">
        <v>356</v>
      </c>
      <c r="I92" s="647"/>
      <c r="J92" s="404" t="s">
        <v>485</v>
      </c>
      <c r="K92" s="404" t="s">
        <v>483</v>
      </c>
      <c r="L92" s="718">
        <v>0</v>
      </c>
      <c r="M92" s="718">
        <v>0</v>
      </c>
      <c r="N92" s="730">
        <v>0</v>
      </c>
      <c r="O92" s="373">
        <v>0</v>
      </c>
      <c r="P92" s="381"/>
      <c r="Q92" s="381"/>
      <c r="R92" s="381"/>
    </row>
    <row r="93" spans="1:18" s="365" customFormat="1" ht="45" x14ac:dyDescent="0.25">
      <c r="A93" s="468" t="s">
        <v>578</v>
      </c>
      <c r="B93" s="371" t="s">
        <v>579</v>
      </c>
      <c r="C93" s="372" t="s">
        <v>580</v>
      </c>
      <c r="D93" s="404"/>
      <c r="E93" s="404"/>
      <c r="F93" s="404"/>
      <c r="G93" s="404"/>
      <c r="H93" s="647"/>
      <c r="I93" s="647"/>
      <c r="J93" s="404"/>
      <c r="K93" s="404"/>
      <c r="L93" s="718">
        <v>0</v>
      </c>
      <c r="M93" s="718">
        <v>0</v>
      </c>
      <c r="N93" s="730">
        <v>0</v>
      </c>
      <c r="O93" s="373">
        <v>0</v>
      </c>
      <c r="P93" s="381"/>
      <c r="Q93" s="381"/>
      <c r="R93" s="381"/>
    </row>
    <row r="94" spans="1:18" s="365" customFormat="1" ht="30" x14ac:dyDescent="0.25">
      <c r="A94" s="468" t="s">
        <v>409</v>
      </c>
      <c r="B94" s="371" t="s">
        <v>581</v>
      </c>
      <c r="C94" s="372" t="s">
        <v>582</v>
      </c>
      <c r="D94" s="404" t="s">
        <v>483</v>
      </c>
      <c r="E94" s="404"/>
      <c r="F94" s="404" t="s">
        <v>356</v>
      </c>
      <c r="G94" s="404" t="s">
        <v>484</v>
      </c>
      <c r="H94" s="647" t="s">
        <v>356</v>
      </c>
      <c r="I94" s="647"/>
      <c r="J94" s="404" t="s">
        <v>485</v>
      </c>
      <c r="K94" s="404" t="s">
        <v>483</v>
      </c>
      <c r="L94" s="718">
        <v>0</v>
      </c>
      <c r="M94" s="718">
        <v>0</v>
      </c>
      <c r="N94" s="730">
        <v>0</v>
      </c>
      <c r="O94" s="373">
        <v>0</v>
      </c>
      <c r="P94" s="381"/>
      <c r="Q94" s="381"/>
      <c r="R94" s="381"/>
    </row>
    <row r="95" spans="1:18" s="365" customFormat="1" ht="15" x14ac:dyDescent="0.25">
      <c r="A95" s="468" t="s">
        <v>333</v>
      </c>
      <c r="B95" s="371" t="s">
        <v>583</v>
      </c>
      <c r="C95" s="372" t="s">
        <v>584</v>
      </c>
      <c r="D95" s="404" t="s">
        <v>483</v>
      </c>
      <c r="E95" s="404"/>
      <c r="F95" s="404" t="s">
        <v>356</v>
      </c>
      <c r="G95" s="404" t="s">
        <v>484</v>
      </c>
      <c r="H95" s="647" t="s">
        <v>356</v>
      </c>
      <c r="I95" s="647"/>
      <c r="J95" s="404" t="s">
        <v>485</v>
      </c>
      <c r="K95" s="404" t="s">
        <v>483</v>
      </c>
      <c r="L95" s="718">
        <v>0</v>
      </c>
      <c r="M95" s="718">
        <v>0</v>
      </c>
      <c r="N95" s="730">
        <v>0</v>
      </c>
      <c r="O95" s="373">
        <v>0</v>
      </c>
      <c r="P95" s="381"/>
      <c r="Q95" s="381"/>
      <c r="R95" s="381"/>
    </row>
    <row r="96" spans="1:18" s="365" customFormat="1" ht="30.6" customHeight="1" x14ac:dyDescent="0.25">
      <c r="A96" s="468" t="s">
        <v>410</v>
      </c>
      <c r="B96" s="371" t="s">
        <v>585</v>
      </c>
      <c r="C96" s="372" t="s">
        <v>586</v>
      </c>
      <c r="D96" s="404" t="s">
        <v>483</v>
      </c>
      <c r="E96" s="404"/>
      <c r="F96" s="404" t="s">
        <v>356</v>
      </c>
      <c r="G96" s="404" t="s">
        <v>484</v>
      </c>
      <c r="H96" s="647" t="s">
        <v>356</v>
      </c>
      <c r="I96" s="647"/>
      <c r="J96" s="404" t="s">
        <v>485</v>
      </c>
      <c r="K96" s="404" t="s">
        <v>483</v>
      </c>
      <c r="L96" s="718">
        <v>0</v>
      </c>
      <c r="M96" s="718">
        <v>0</v>
      </c>
      <c r="N96" s="730">
        <v>0</v>
      </c>
      <c r="O96" s="373">
        <v>0</v>
      </c>
      <c r="P96" s="381"/>
      <c r="Q96" s="381"/>
      <c r="R96" s="429"/>
    </row>
    <row r="97" spans="1:18" s="365" customFormat="1" ht="30" x14ac:dyDescent="0.25">
      <c r="A97" s="461" t="s">
        <v>334</v>
      </c>
      <c r="B97" s="378" t="s">
        <v>587</v>
      </c>
      <c r="C97" s="379" t="s">
        <v>267</v>
      </c>
      <c r="D97" s="380" t="s">
        <v>483</v>
      </c>
      <c r="E97" s="380"/>
      <c r="F97" s="380" t="s">
        <v>356</v>
      </c>
      <c r="G97" s="380" t="s">
        <v>484</v>
      </c>
      <c r="H97" s="642" t="s">
        <v>356</v>
      </c>
      <c r="I97" s="642"/>
      <c r="J97" s="380" t="s">
        <v>485</v>
      </c>
      <c r="K97" s="380" t="s">
        <v>483</v>
      </c>
      <c r="L97" s="720">
        <f>L98</f>
        <v>0</v>
      </c>
      <c r="M97" s="720">
        <f t="shared" ref="M97:O97" si="10">M98</f>
        <v>0</v>
      </c>
      <c r="N97" s="733">
        <f t="shared" si="10"/>
        <v>0</v>
      </c>
      <c r="O97" s="412">
        <f t="shared" si="10"/>
        <v>0</v>
      </c>
      <c r="P97" s="381"/>
      <c r="Q97" s="381"/>
      <c r="R97" s="429"/>
    </row>
    <row r="98" spans="1:18" s="365" customFormat="1" ht="45" x14ac:dyDescent="0.25">
      <c r="A98" s="468" t="s">
        <v>335</v>
      </c>
      <c r="B98" s="371" t="s">
        <v>588</v>
      </c>
      <c r="C98" s="372" t="s">
        <v>589</v>
      </c>
      <c r="D98" s="404" t="s">
        <v>483</v>
      </c>
      <c r="E98" s="404"/>
      <c r="F98" s="404" t="s">
        <v>356</v>
      </c>
      <c r="G98" s="404" t="s">
        <v>484</v>
      </c>
      <c r="H98" s="647" t="s">
        <v>356</v>
      </c>
      <c r="I98" s="647"/>
      <c r="J98" s="404" t="s">
        <v>485</v>
      </c>
      <c r="K98" s="404" t="s">
        <v>483</v>
      </c>
      <c r="L98" s="718">
        <v>0</v>
      </c>
      <c r="M98" s="718">
        <v>0</v>
      </c>
      <c r="N98" s="730">
        <v>0</v>
      </c>
      <c r="O98" s="373">
        <v>0</v>
      </c>
      <c r="P98" s="381"/>
      <c r="Q98" s="381"/>
      <c r="R98" s="429"/>
    </row>
    <row r="99" spans="1:18" s="381" customFormat="1" ht="15" x14ac:dyDescent="0.25">
      <c r="A99" s="461" t="s">
        <v>590</v>
      </c>
      <c r="B99" s="378" t="s">
        <v>591</v>
      </c>
      <c r="C99" s="379" t="s">
        <v>267</v>
      </c>
      <c r="D99" s="380" t="s">
        <v>483</v>
      </c>
      <c r="E99" s="380"/>
      <c r="F99" s="380" t="s">
        <v>356</v>
      </c>
      <c r="G99" s="380" t="s">
        <v>484</v>
      </c>
      <c r="H99" s="642" t="s">
        <v>356</v>
      </c>
      <c r="I99" s="642"/>
      <c r="J99" s="380" t="s">
        <v>485</v>
      </c>
      <c r="K99" s="380" t="s">
        <v>483</v>
      </c>
      <c r="L99" s="720">
        <f>L102+L104+L101+L103+L105+L108</f>
        <v>10606300</v>
      </c>
      <c r="M99" s="720">
        <f>M102+M104+M101+M103+M105+M108</f>
        <v>10999900</v>
      </c>
      <c r="N99" s="733">
        <f>N102+N104+N101+N103+N105+N108</f>
        <v>10587100</v>
      </c>
      <c r="O99" s="412">
        <f>O102+O104+O101+O103+O105+O108</f>
        <v>0</v>
      </c>
    </row>
    <row r="100" spans="1:18" s="365" customFormat="1" ht="42" customHeight="1" thickBot="1" x14ac:dyDescent="0.3">
      <c r="A100" s="468" t="s">
        <v>592</v>
      </c>
      <c r="B100" s="371" t="s">
        <v>593</v>
      </c>
      <c r="C100" s="372" t="s">
        <v>594</v>
      </c>
      <c r="D100" s="404" t="s">
        <v>483</v>
      </c>
      <c r="E100" s="404"/>
      <c r="F100" s="404" t="s">
        <v>356</v>
      </c>
      <c r="G100" s="404" t="s">
        <v>484</v>
      </c>
      <c r="H100" s="647" t="s">
        <v>356</v>
      </c>
      <c r="I100" s="647"/>
      <c r="J100" s="404" t="s">
        <v>485</v>
      </c>
      <c r="K100" s="404" t="s">
        <v>483</v>
      </c>
      <c r="L100" s="718">
        <v>0</v>
      </c>
      <c r="M100" s="718">
        <v>0</v>
      </c>
      <c r="N100" s="730">
        <v>0</v>
      </c>
      <c r="O100" s="373">
        <v>0</v>
      </c>
      <c r="P100" s="381"/>
      <c r="Q100" s="381"/>
      <c r="R100" s="381"/>
    </row>
    <row r="101" spans="1:18" s="365" customFormat="1" ht="30" x14ac:dyDescent="0.25">
      <c r="A101" s="468" t="s">
        <v>336</v>
      </c>
      <c r="B101" s="430" t="s">
        <v>595</v>
      </c>
      <c r="C101" s="431" t="s">
        <v>596</v>
      </c>
      <c r="D101" s="432" t="s">
        <v>483</v>
      </c>
      <c r="E101" s="432"/>
      <c r="F101" s="432" t="s">
        <v>356</v>
      </c>
      <c r="G101" s="432" t="s">
        <v>484</v>
      </c>
      <c r="H101" s="651" t="s">
        <v>356</v>
      </c>
      <c r="I101" s="651"/>
      <c r="J101" s="432" t="s">
        <v>485</v>
      </c>
      <c r="K101" s="432" t="s">
        <v>483</v>
      </c>
      <c r="L101" s="727">
        <v>0</v>
      </c>
      <c r="M101" s="727">
        <v>0</v>
      </c>
      <c r="N101" s="739">
        <v>0</v>
      </c>
      <c r="O101" s="433">
        <v>0</v>
      </c>
      <c r="P101" s="381"/>
      <c r="Q101" s="381"/>
      <c r="R101" s="381"/>
    </row>
    <row r="102" spans="1:18" s="365" customFormat="1" ht="15" x14ac:dyDescent="0.25">
      <c r="A102" s="471" t="s">
        <v>597</v>
      </c>
      <c r="B102" s="389" t="s">
        <v>598</v>
      </c>
      <c r="C102" s="390" t="s">
        <v>599</v>
      </c>
      <c r="D102" s="391" t="s">
        <v>483</v>
      </c>
      <c r="E102" s="391"/>
      <c r="F102" s="391" t="s">
        <v>356</v>
      </c>
      <c r="G102" s="391" t="s">
        <v>484</v>
      </c>
      <c r="H102" s="644" t="s">
        <v>356</v>
      </c>
      <c r="I102" s="644"/>
      <c r="J102" s="391" t="s">
        <v>496</v>
      </c>
      <c r="K102" s="391" t="s">
        <v>483</v>
      </c>
      <c r="L102" s="784">
        <f>КВР!C46+КВР!D46+КВР!E46+КВР!F46</f>
        <v>9590800</v>
      </c>
      <c r="M102" s="784">
        <f>КВР!G46+КВР!H46+КВР!I46+КВР!J46</f>
        <v>9920400</v>
      </c>
      <c r="N102" s="788">
        <f>КВР!K46+КВР!L46+КВР!M46+КВР!N46</f>
        <v>9439100</v>
      </c>
      <c r="O102" s="401">
        <v>0</v>
      </c>
      <c r="P102" s="381"/>
      <c r="Q102" s="381"/>
    </row>
    <row r="103" spans="1:18" s="365" customFormat="1" ht="45" x14ac:dyDescent="0.25">
      <c r="A103" s="468" t="s">
        <v>600</v>
      </c>
      <c r="B103" s="371" t="s">
        <v>601</v>
      </c>
      <c r="C103" s="372" t="s">
        <v>602</v>
      </c>
      <c r="D103" s="404" t="s">
        <v>483</v>
      </c>
      <c r="E103" s="404"/>
      <c r="F103" s="404" t="s">
        <v>356</v>
      </c>
      <c r="G103" s="404" t="s">
        <v>484</v>
      </c>
      <c r="H103" s="647" t="s">
        <v>356</v>
      </c>
      <c r="I103" s="647"/>
      <c r="J103" s="404" t="s">
        <v>485</v>
      </c>
      <c r="K103" s="404" t="s">
        <v>483</v>
      </c>
      <c r="L103" s="414">
        <v>0</v>
      </c>
      <c r="M103" s="414">
        <v>0</v>
      </c>
      <c r="N103" s="415">
        <v>0</v>
      </c>
      <c r="O103" s="411">
        <v>0</v>
      </c>
      <c r="P103" s="381"/>
      <c r="Q103" s="381"/>
    </row>
    <row r="104" spans="1:18" s="365" customFormat="1" ht="15" x14ac:dyDescent="0.25">
      <c r="A104" s="468" t="s">
        <v>404</v>
      </c>
      <c r="B104" s="371" t="s">
        <v>603</v>
      </c>
      <c r="C104" s="372" t="s">
        <v>604</v>
      </c>
      <c r="D104" s="404" t="s">
        <v>483</v>
      </c>
      <c r="E104" s="404"/>
      <c r="F104" s="404" t="s">
        <v>356</v>
      </c>
      <c r="G104" s="404" t="s">
        <v>484</v>
      </c>
      <c r="H104" s="647" t="s">
        <v>605</v>
      </c>
      <c r="I104" s="647"/>
      <c r="J104" s="404" t="s">
        <v>496</v>
      </c>
      <c r="K104" s="404" t="s">
        <v>483</v>
      </c>
      <c r="L104" s="414">
        <f>КВР!C74+КВР!D74+КВР!E74+КВР!F74</f>
        <v>1015500</v>
      </c>
      <c r="M104" s="414">
        <f>КВР!G74+КВР!H74+КВР!I74+КВР!J74</f>
        <v>1079500</v>
      </c>
      <c r="N104" s="415">
        <f>КВР!K74+КВР!L74+КВР!M74+КВР!N74</f>
        <v>1148000</v>
      </c>
      <c r="O104" s="411">
        <v>0</v>
      </c>
      <c r="P104" s="381"/>
      <c r="Q104" s="381"/>
    </row>
    <row r="105" spans="1:18" s="365" customFormat="1" ht="30" x14ac:dyDescent="0.25">
      <c r="A105" s="468" t="s">
        <v>606</v>
      </c>
      <c r="B105" s="371" t="s">
        <v>607</v>
      </c>
      <c r="C105" s="372" t="s">
        <v>608</v>
      </c>
      <c r="D105" s="404" t="s">
        <v>483</v>
      </c>
      <c r="E105" s="404"/>
      <c r="F105" s="404" t="s">
        <v>356</v>
      </c>
      <c r="G105" s="404" t="s">
        <v>484</v>
      </c>
      <c r="H105" s="647" t="s">
        <v>356</v>
      </c>
      <c r="I105" s="647"/>
      <c r="J105" s="404" t="s">
        <v>485</v>
      </c>
      <c r="K105" s="404" t="s">
        <v>483</v>
      </c>
      <c r="L105" s="414">
        <f>L106+L107</f>
        <v>0</v>
      </c>
      <c r="M105" s="414">
        <f t="shared" ref="M105:O105" si="11">M106+M107</f>
        <v>0</v>
      </c>
      <c r="N105" s="415">
        <f t="shared" si="11"/>
        <v>0</v>
      </c>
      <c r="O105" s="411">
        <f t="shared" si="11"/>
        <v>0</v>
      </c>
      <c r="P105" s="381"/>
      <c r="Q105" s="381"/>
    </row>
    <row r="106" spans="1:18" s="365" customFormat="1" ht="45" x14ac:dyDescent="0.25">
      <c r="A106" s="476" t="s">
        <v>609</v>
      </c>
      <c r="B106" s="371" t="s">
        <v>610</v>
      </c>
      <c r="C106" s="372" t="s">
        <v>611</v>
      </c>
      <c r="D106" s="404" t="s">
        <v>483</v>
      </c>
      <c r="E106" s="404"/>
      <c r="F106" s="404" t="s">
        <v>356</v>
      </c>
      <c r="G106" s="404" t="s">
        <v>484</v>
      </c>
      <c r="H106" s="647" t="s">
        <v>356</v>
      </c>
      <c r="I106" s="647"/>
      <c r="J106" s="404" t="s">
        <v>485</v>
      </c>
      <c r="K106" s="404" t="s">
        <v>483</v>
      </c>
      <c r="L106" s="718">
        <v>0</v>
      </c>
      <c r="M106" s="718">
        <v>0</v>
      </c>
      <c r="N106" s="730">
        <v>0</v>
      </c>
      <c r="O106" s="373">
        <v>0</v>
      </c>
      <c r="P106" s="381"/>
      <c r="Q106" s="381"/>
    </row>
    <row r="107" spans="1:18" s="365" customFormat="1" ht="45" x14ac:dyDescent="0.25">
      <c r="A107" s="476" t="s">
        <v>612</v>
      </c>
      <c r="B107" s="371" t="s">
        <v>613</v>
      </c>
      <c r="C107" s="372" t="s">
        <v>614</v>
      </c>
      <c r="D107" s="404" t="s">
        <v>483</v>
      </c>
      <c r="E107" s="404"/>
      <c r="F107" s="404" t="s">
        <v>356</v>
      </c>
      <c r="G107" s="404" t="s">
        <v>484</v>
      </c>
      <c r="H107" s="647" t="s">
        <v>356</v>
      </c>
      <c r="I107" s="647"/>
      <c r="J107" s="404" t="s">
        <v>485</v>
      </c>
      <c r="K107" s="404" t="s">
        <v>483</v>
      </c>
      <c r="L107" s="718">
        <v>0</v>
      </c>
      <c r="M107" s="718">
        <v>0</v>
      </c>
      <c r="N107" s="730">
        <v>0</v>
      </c>
      <c r="O107" s="373">
        <v>0</v>
      </c>
    </row>
    <row r="108" spans="1:18" s="365" customFormat="1" ht="15" x14ac:dyDescent="0.25">
      <c r="A108" s="478" t="s">
        <v>615</v>
      </c>
      <c r="B108" s="371" t="s">
        <v>616</v>
      </c>
      <c r="C108" s="372" t="s">
        <v>617</v>
      </c>
      <c r="D108" s="404" t="s">
        <v>483</v>
      </c>
      <c r="E108" s="404"/>
      <c r="F108" s="404" t="s">
        <v>356</v>
      </c>
      <c r="G108" s="404" t="s">
        <v>484</v>
      </c>
      <c r="H108" s="647" t="s">
        <v>356</v>
      </c>
      <c r="I108" s="647"/>
      <c r="J108" s="404" t="s">
        <v>485</v>
      </c>
      <c r="K108" s="404" t="s">
        <v>483</v>
      </c>
      <c r="L108" s="718">
        <v>0</v>
      </c>
      <c r="M108" s="718">
        <v>0</v>
      </c>
      <c r="N108" s="730">
        <v>0</v>
      </c>
      <c r="O108" s="373">
        <v>0</v>
      </c>
    </row>
    <row r="109" spans="1:18" s="365" customFormat="1" ht="15" x14ac:dyDescent="0.25">
      <c r="A109" s="479" t="s">
        <v>618</v>
      </c>
      <c r="B109" s="434" t="s">
        <v>619</v>
      </c>
      <c r="C109" s="435" t="s">
        <v>620</v>
      </c>
      <c r="D109" s="380" t="s">
        <v>483</v>
      </c>
      <c r="E109" s="380"/>
      <c r="F109" s="380" t="s">
        <v>356</v>
      </c>
      <c r="G109" s="380" t="s">
        <v>340</v>
      </c>
      <c r="H109" s="642" t="s">
        <v>621</v>
      </c>
      <c r="I109" s="642" t="s">
        <v>383</v>
      </c>
      <c r="J109" s="380" t="s">
        <v>485</v>
      </c>
      <c r="K109" s="380" t="s">
        <v>483</v>
      </c>
      <c r="L109" s="720">
        <f>L110+L111+L112</f>
        <v>0</v>
      </c>
      <c r="M109" s="720">
        <f t="shared" ref="M109:O109" si="12">M110+M111+M112</f>
        <v>0</v>
      </c>
      <c r="N109" s="733">
        <f t="shared" si="12"/>
        <v>0</v>
      </c>
      <c r="O109" s="412">
        <f t="shared" si="12"/>
        <v>0</v>
      </c>
    </row>
    <row r="110" spans="1:18" s="365" customFormat="1" ht="30" x14ac:dyDescent="0.25">
      <c r="A110" s="480" t="s">
        <v>622</v>
      </c>
      <c r="B110" s="371" t="s">
        <v>623</v>
      </c>
      <c r="C110" s="372"/>
      <c r="D110" s="404" t="s">
        <v>483</v>
      </c>
      <c r="E110" s="404"/>
      <c r="F110" s="404" t="s">
        <v>356</v>
      </c>
      <c r="G110" s="404" t="s">
        <v>340</v>
      </c>
      <c r="H110" s="647" t="s">
        <v>621</v>
      </c>
      <c r="I110" s="647" t="s">
        <v>383</v>
      </c>
      <c r="J110" s="404" t="s">
        <v>496</v>
      </c>
      <c r="K110" s="404" t="s">
        <v>483</v>
      </c>
      <c r="L110" s="414">
        <v>0</v>
      </c>
      <c r="M110" s="414">
        <v>0</v>
      </c>
      <c r="N110" s="415">
        <v>0</v>
      </c>
      <c r="O110" s="786">
        <v>0</v>
      </c>
    </row>
    <row r="111" spans="1:18" s="365" customFormat="1" ht="15" x14ac:dyDescent="0.25">
      <c r="A111" s="480" t="s">
        <v>624</v>
      </c>
      <c r="B111" s="371" t="s">
        <v>625</v>
      </c>
      <c r="C111" s="372"/>
      <c r="D111" s="404" t="s">
        <v>483</v>
      </c>
      <c r="E111" s="404"/>
      <c r="F111" s="404" t="s">
        <v>356</v>
      </c>
      <c r="G111" s="404" t="s">
        <v>340</v>
      </c>
      <c r="H111" s="647" t="s">
        <v>621</v>
      </c>
      <c r="I111" s="647" t="s">
        <v>383</v>
      </c>
      <c r="J111" s="404" t="s">
        <v>496</v>
      </c>
      <c r="K111" s="404" t="s">
        <v>483</v>
      </c>
      <c r="L111" s="414">
        <v>0</v>
      </c>
      <c r="M111" s="414">
        <v>0</v>
      </c>
      <c r="N111" s="415">
        <v>0</v>
      </c>
      <c r="O111" s="786">
        <v>0</v>
      </c>
    </row>
    <row r="112" spans="1:18" s="365" customFormat="1" ht="15" x14ac:dyDescent="0.25">
      <c r="A112" s="480" t="s">
        <v>626</v>
      </c>
      <c r="B112" s="371" t="s">
        <v>627</v>
      </c>
      <c r="C112" s="372"/>
      <c r="D112" s="404" t="s">
        <v>483</v>
      </c>
      <c r="E112" s="404"/>
      <c r="F112" s="404" t="s">
        <v>356</v>
      </c>
      <c r="G112" s="404" t="s">
        <v>340</v>
      </c>
      <c r="H112" s="647" t="s">
        <v>621</v>
      </c>
      <c r="I112" s="647" t="s">
        <v>383</v>
      </c>
      <c r="J112" s="404" t="s">
        <v>485</v>
      </c>
      <c r="K112" s="404" t="s">
        <v>483</v>
      </c>
      <c r="L112" s="414">
        <v>0</v>
      </c>
      <c r="M112" s="414">
        <v>0</v>
      </c>
      <c r="N112" s="415">
        <v>0</v>
      </c>
      <c r="O112" s="786">
        <v>0</v>
      </c>
    </row>
    <row r="113" spans="1:15" s="365" customFormat="1" ht="15" x14ac:dyDescent="0.25">
      <c r="A113" s="479" t="s">
        <v>628</v>
      </c>
      <c r="B113" s="434" t="s">
        <v>629</v>
      </c>
      <c r="C113" s="435" t="s">
        <v>267</v>
      </c>
      <c r="D113" s="380" t="s">
        <v>483</v>
      </c>
      <c r="E113" s="380"/>
      <c r="F113" s="380" t="s">
        <v>356</v>
      </c>
      <c r="G113" s="380" t="s">
        <v>484</v>
      </c>
      <c r="H113" s="642" t="s">
        <v>356</v>
      </c>
      <c r="I113" s="642" t="s">
        <v>630</v>
      </c>
      <c r="J113" s="380" t="s">
        <v>485</v>
      </c>
      <c r="K113" s="380" t="s">
        <v>483</v>
      </c>
      <c r="L113" s="720">
        <f>L114+L115+L116+L117</f>
        <v>0</v>
      </c>
      <c r="M113" s="720">
        <f t="shared" ref="M113:O113" si="13">M114+M115+M116+M117</f>
        <v>0</v>
      </c>
      <c r="N113" s="733">
        <f t="shared" si="13"/>
        <v>0</v>
      </c>
      <c r="O113" s="412">
        <f t="shared" si="13"/>
        <v>0</v>
      </c>
    </row>
    <row r="114" spans="1:15" s="365" customFormat="1" ht="30" x14ac:dyDescent="0.25">
      <c r="A114" s="480" t="s">
        <v>337</v>
      </c>
      <c r="B114" s="371" t="s">
        <v>631</v>
      </c>
      <c r="C114" s="372" t="s">
        <v>630</v>
      </c>
      <c r="D114" s="404"/>
      <c r="E114" s="404"/>
      <c r="F114" s="404"/>
      <c r="G114" s="404"/>
      <c r="H114" s="647"/>
      <c r="I114" s="647"/>
      <c r="J114" s="404"/>
      <c r="K114" s="404"/>
      <c r="L114" s="718">
        <f>'поступления 831, 841 25-27'!H20</f>
        <v>0</v>
      </c>
      <c r="M114" s="718">
        <v>0</v>
      </c>
      <c r="N114" s="730">
        <v>0</v>
      </c>
      <c r="O114" s="373">
        <v>0</v>
      </c>
    </row>
    <row r="115" spans="1:15" s="365" customFormat="1" ht="17.45" customHeight="1" x14ac:dyDescent="0.25">
      <c r="A115" s="473" t="s">
        <v>632</v>
      </c>
      <c r="B115" s="420" t="s">
        <v>517</v>
      </c>
      <c r="C115" s="404" t="s">
        <v>356</v>
      </c>
      <c r="D115" s="404" t="s">
        <v>483</v>
      </c>
      <c r="E115" s="404" t="s">
        <v>509</v>
      </c>
      <c r="F115" s="404" t="s">
        <v>356</v>
      </c>
      <c r="G115" s="404" t="s">
        <v>484</v>
      </c>
      <c r="H115" s="647" t="s">
        <v>356</v>
      </c>
      <c r="I115" s="647"/>
      <c r="J115" s="404" t="s">
        <v>485</v>
      </c>
      <c r="K115" s="404" t="s">
        <v>483</v>
      </c>
      <c r="L115" s="724">
        <v>0</v>
      </c>
      <c r="M115" s="724">
        <v>0</v>
      </c>
      <c r="N115" s="735">
        <v>0</v>
      </c>
      <c r="O115" s="373">
        <v>0</v>
      </c>
    </row>
    <row r="116" spans="1:15" s="365" customFormat="1" ht="16.149999999999999" customHeight="1" x14ac:dyDescent="0.25">
      <c r="A116" s="473" t="s">
        <v>633</v>
      </c>
      <c r="B116" s="420" t="s">
        <v>572</v>
      </c>
      <c r="C116" s="404" t="s">
        <v>356</v>
      </c>
      <c r="D116" s="404" t="s">
        <v>483</v>
      </c>
      <c r="E116" s="404" t="s">
        <v>509</v>
      </c>
      <c r="F116" s="404" t="s">
        <v>356</v>
      </c>
      <c r="G116" s="404" t="s">
        <v>484</v>
      </c>
      <c r="H116" s="647" t="s">
        <v>356</v>
      </c>
      <c r="I116" s="647"/>
      <c r="J116" s="404" t="s">
        <v>485</v>
      </c>
      <c r="K116" s="404" t="s">
        <v>483</v>
      </c>
      <c r="L116" s="724">
        <v>0</v>
      </c>
      <c r="M116" s="724">
        <v>0</v>
      </c>
      <c r="N116" s="735">
        <v>0</v>
      </c>
      <c r="O116" s="373">
        <v>0</v>
      </c>
    </row>
    <row r="117" spans="1:15" s="365" customFormat="1" ht="28.15" customHeight="1" thickBot="1" x14ac:dyDescent="0.3">
      <c r="A117" s="481" t="s">
        <v>634</v>
      </c>
      <c r="B117" s="436" t="s">
        <v>579</v>
      </c>
      <c r="C117" s="437" t="s">
        <v>635</v>
      </c>
      <c r="D117" s="437" t="s">
        <v>483</v>
      </c>
      <c r="E117" s="437" t="s">
        <v>509</v>
      </c>
      <c r="F117" s="437" t="s">
        <v>356</v>
      </c>
      <c r="G117" s="437" t="s">
        <v>484</v>
      </c>
      <c r="H117" s="652" t="s">
        <v>356</v>
      </c>
      <c r="I117" s="652"/>
      <c r="J117" s="437" t="s">
        <v>485</v>
      </c>
      <c r="K117" s="437" t="s">
        <v>483</v>
      </c>
      <c r="L117" s="728">
        <v>0</v>
      </c>
      <c r="M117" s="728">
        <v>0</v>
      </c>
      <c r="N117" s="728">
        <v>0</v>
      </c>
      <c r="O117" s="428">
        <v>0</v>
      </c>
    </row>
    <row r="118" spans="1:15" s="364" customFormat="1" ht="32.25" customHeight="1" x14ac:dyDescent="0.2">
      <c r="A118" s="364" t="s">
        <v>680</v>
      </c>
      <c r="B118" s="1466" t="s">
        <v>891</v>
      </c>
      <c r="C118" s="1466"/>
      <c r="D118" s="1466"/>
    </row>
    <row r="119" spans="1:15" s="364" customFormat="1" ht="15.6" hidden="1" customHeight="1" x14ac:dyDescent="0.2">
      <c r="B119" s="451"/>
      <c r="C119" s="451"/>
      <c r="D119" s="451"/>
    </row>
    <row r="120" spans="1:15" s="364" customFormat="1" ht="15.75" x14ac:dyDescent="0.2">
      <c r="A120" s="364" t="s">
        <v>681</v>
      </c>
      <c r="B120" s="451"/>
      <c r="C120" s="451"/>
      <c r="D120" s="451"/>
    </row>
    <row r="121" spans="1:15" s="364" customFormat="1" ht="15.75" x14ac:dyDescent="0.2">
      <c r="A121" s="452" t="s">
        <v>274</v>
      </c>
      <c r="B121" s="482" t="s">
        <v>892</v>
      </c>
      <c r="C121" s="452"/>
      <c r="D121" s="452"/>
      <c r="E121" s="452"/>
      <c r="F121" s="452"/>
      <c r="G121" s="452"/>
      <c r="H121" s="452"/>
      <c r="I121" s="452"/>
      <c r="J121" s="452"/>
      <c r="K121" s="452"/>
      <c r="L121" s="452"/>
      <c r="M121" s="452"/>
      <c r="N121" s="452"/>
      <c r="O121" s="452"/>
    </row>
    <row r="122" spans="1:15" s="364" customFormat="1" ht="15.75" x14ac:dyDescent="0.2">
      <c r="A122" s="1454" t="s">
        <v>665</v>
      </c>
      <c r="B122" s="1454"/>
      <c r="C122" s="1454"/>
      <c r="D122" s="1454"/>
      <c r="E122" s="1454"/>
      <c r="F122" s="1454"/>
      <c r="G122" s="1454"/>
      <c r="H122" s="1454"/>
      <c r="I122" s="1454"/>
      <c r="J122" s="1454"/>
      <c r="K122" s="1454"/>
      <c r="L122" s="1454"/>
      <c r="M122" s="1454"/>
    </row>
    <row r="123" spans="1:15" s="364" customFormat="1" ht="15.75" x14ac:dyDescent="0.2">
      <c r="A123" s="1455" t="s">
        <v>666</v>
      </c>
      <c r="B123" s="1455"/>
      <c r="C123" s="1455"/>
      <c r="D123" s="1455"/>
      <c r="E123" s="1455"/>
      <c r="F123" s="1455"/>
      <c r="G123" s="1455"/>
      <c r="H123" s="1455"/>
      <c r="I123" s="1455"/>
      <c r="J123" s="1455"/>
      <c r="K123" s="1455"/>
      <c r="L123" s="1455"/>
      <c r="M123" s="1455"/>
    </row>
    <row r="124" spans="1:15" s="364" customFormat="1" ht="15.75" x14ac:dyDescent="0.2">
      <c r="A124" s="1455" t="s">
        <v>667</v>
      </c>
      <c r="B124" s="1455"/>
      <c r="C124" s="1455"/>
      <c r="D124" s="1455"/>
      <c r="E124" s="1455"/>
      <c r="F124" s="1455"/>
      <c r="G124" s="1455"/>
      <c r="H124" s="1455"/>
      <c r="I124" s="1455"/>
      <c r="J124" s="1455"/>
      <c r="K124" s="1455"/>
      <c r="L124" s="1455"/>
      <c r="M124" s="1455"/>
    </row>
    <row r="125" spans="1:15" s="364" customFormat="1" ht="15.75" x14ac:dyDescent="0.2">
      <c r="A125" s="1455" t="s">
        <v>668</v>
      </c>
      <c r="B125" s="1455"/>
      <c r="C125" s="1455"/>
      <c r="D125" s="1455"/>
      <c r="E125" s="1455"/>
      <c r="F125" s="1455"/>
      <c r="G125" s="1455"/>
      <c r="H125" s="1455"/>
      <c r="I125" s="1455"/>
      <c r="J125" s="1455"/>
      <c r="K125" s="1455"/>
      <c r="L125" s="1455"/>
      <c r="M125" s="1455"/>
    </row>
    <row r="126" spans="1:15" s="364" customFormat="1" ht="15.75" x14ac:dyDescent="0.2">
      <c r="A126" s="1455" t="s">
        <v>669</v>
      </c>
      <c r="B126" s="1455"/>
      <c r="C126" s="1455"/>
      <c r="D126" s="1455"/>
      <c r="E126" s="1455"/>
      <c r="F126" s="1455"/>
      <c r="G126" s="1455"/>
      <c r="H126" s="1455"/>
      <c r="I126" s="1455"/>
      <c r="J126" s="1455"/>
      <c r="K126" s="1455"/>
      <c r="L126" s="1455"/>
      <c r="M126" s="1455"/>
    </row>
    <row r="127" spans="1:15" s="364" customFormat="1" ht="15.75" x14ac:dyDescent="0.2">
      <c r="A127" s="1455" t="s">
        <v>670</v>
      </c>
      <c r="B127" s="1455"/>
      <c r="C127" s="1455"/>
      <c r="D127" s="1455"/>
      <c r="E127" s="1455"/>
      <c r="F127" s="1455"/>
      <c r="G127" s="1455"/>
      <c r="H127" s="1455"/>
      <c r="I127" s="1455"/>
      <c r="J127" s="1455"/>
      <c r="K127" s="1455"/>
      <c r="L127" s="1455"/>
      <c r="M127" s="1455"/>
    </row>
    <row r="128" spans="1:15" s="364" customFormat="1" ht="15.75" x14ac:dyDescent="0.2">
      <c r="A128" s="1452" t="s">
        <v>671</v>
      </c>
      <c r="B128" s="1452"/>
      <c r="C128" s="1452"/>
      <c r="D128" s="1452"/>
      <c r="E128" s="1452"/>
      <c r="F128" s="1452"/>
      <c r="G128" s="1452"/>
      <c r="H128" s="1452"/>
      <c r="I128" s="1452"/>
      <c r="J128" s="1452"/>
      <c r="K128" s="1452"/>
      <c r="L128" s="1452"/>
      <c r="M128" s="1452"/>
    </row>
    <row r="129" spans="1:13" s="364" customFormat="1" ht="15.75" x14ac:dyDescent="0.2">
      <c r="A129" s="1455" t="s">
        <v>672</v>
      </c>
      <c r="B129" s="1455"/>
      <c r="C129" s="1455"/>
      <c r="D129" s="1455"/>
      <c r="E129" s="1455"/>
      <c r="F129" s="1455"/>
      <c r="G129" s="1455"/>
      <c r="H129" s="1455"/>
      <c r="I129" s="1455"/>
      <c r="J129" s="1455"/>
      <c r="K129" s="1455"/>
      <c r="L129" s="1455"/>
      <c r="M129" s="1455"/>
    </row>
    <row r="130" spans="1:13" s="364" customFormat="1" ht="32.450000000000003" customHeight="1" x14ac:dyDescent="0.2">
      <c r="A130" s="1452" t="s">
        <v>673</v>
      </c>
      <c r="B130" s="1452"/>
      <c r="C130" s="1452"/>
      <c r="D130" s="1452"/>
      <c r="E130" s="1452"/>
      <c r="F130" s="1452"/>
      <c r="G130" s="1452"/>
      <c r="H130" s="1452"/>
      <c r="I130" s="1452"/>
      <c r="J130" s="1452"/>
      <c r="K130" s="1452"/>
      <c r="L130" s="1452"/>
      <c r="M130" s="1452"/>
    </row>
    <row r="131" spans="1:13" s="364" customFormat="1" ht="48.6" customHeight="1" x14ac:dyDescent="0.2">
      <c r="A131" s="1452" t="s">
        <v>674</v>
      </c>
      <c r="B131" s="1452"/>
      <c r="C131" s="1452"/>
      <c r="D131" s="1452"/>
      <c r="E131" s="1452"/>
      <c r="F131" s="1452"/>
      <c r="G131" s="1452"/>
      <c r="H131" s="1452"/>
      <c r="I131" s="1452"/>
      <c r="J131" s="1452"/>
      <c r="K131" s="1452"/>
      <c r="L131" s="1452"/>
      <c r="M131" s="1452"/>
    </row>
    <row r="132" spans="1:13" s="364" customFormat="1" ht="18.600000000000001" customHeight="1" x14ac:dyDescent="0.2">
      <c r="A132" s="1455" t="s">
        <v>675</v>
      </c>
      <c r="B132" s="1455"/>
      <c r="C132" s="1455"/>
      <c r="D132" s="1455"/>
      <c r="E132" s="1455"/>
      <c r="F132" s="1455"/>
      <c r="G132" s="1455"/>
      <c r="H132" s="1455"/>
      <c r="I132" s="1455"/>
      <c r="J132" s="1455"/>
      <c r="K132" s="1455"/>
      <c r="L132" s="1455"/>
      <c r="M132" s="1455"/>
    </row>
    <row r="133" spans="1:13" s="364" customFormat="1" ht="15.75" x14ac:dyDescent="0.2">
      <c r="A133" s="1455" t="s">
        <v>676</v>
      </c>
      <c r="B133" s="1455"/>
      <c r="C133" s="1455"/>
      <c r="D133" s="1455"/>
      <c r="E133" s="1455"/>
      <c r="F133" s="1455"/>
      <c r="G133" s="1455"/>
      <c r="H133" s="1455"/>
      <c r="I133" s="1455"/>
      <c r="J133" s="1455"/>
      <c r="K133" s="1455"/>
      <c r="L133" s="1455"/>
      <c r="M133" s="1455"/>
    </row>
    <row r="134" spans="1:13" s="364" customFormat="1" ht="51.6" customHeight="1" x14ac:dyDescent="0.2">
      <c r="A134" s="1452" t="s">
        <v>679</v>
      </c>
      <c r="B134" s="1452"/>
      <c r="C134" s="1452"/>
      <c r="D134" s="1452"/>
      <c r="E134" s="1452"/>
      <c r="F134" s="1452"/>
      <c r="G134" s="1452"/>
      <c r="H134" s="1452"/>
      <c r="I134" s="1452"/>
      <c r="J134" s="1452"/>
      <c r="K134" s="1452"/>
      <c r="L134" s="1452"/>
      <c r="M134" s="1452"/>
    </row>
  </sheetData>
  <mergeCells count="52">
    <mergeCell ref="R36:S36"/>
    <mergeCell ref="R37:S37"/>
    <mergeCell ref="M17:N17"/>
    <mergeCell ref="M18:N18"/>
    <mergeCell ref="A13:M13"/>
    <mergeCell ref="K17:L17"/>
    <mergeCell ref="K18:L18"/>
    <mergeCell ref="A24:O24"/>
    <mergeCell ref="A27:A29"/>
    <mergeCell ref="B27:B29"/>
    <mergeCell ref="C27:C29"/>
    <mergeCell ref="D27:D29"/>
    <mergeCell ref="E27:E29"/>
    <mergeCell ref="F27:F29"/>
    <mergeCell ref="G27:G29"/>
    <mergeCell ref="L27:O27"/>
    <mergeCell ref="O28:O29"/>
    <mergeCell ref="B15:H15"/>
    <mergeCell ref="J8:K8"/>
    <mergeCell ref="N8:O8"/>
    <mergeCell ref="U7:V7"/>
    <mergeCell ref="R9:V9"/>
    <mergeCell ref="T1:V1"/>
    <mergeCell ref="R2:V2"/>
    <mergeCell ref="R4:V4"/>
    <mergeCell ref="R5:V5"/>
    <mergeCell ref="R6:V6"/>
    <mergeCell ref="A133:M133"/>
    <mergeCell ref="A134:M134"/>
    <mergeCell ref="A125:M125"/>
    <mergeCell ref="A126:M126"/>
    <mergeCell ref="A127:M127"/>
    <mergeCell ref="A128:M128"/>
    <mergeCell ref="A129:M129"/>
    <mergeCell ref="A131:M131"/>
    <mergeCell ref="A132:M132"/>
    <mergeCell ref="J1:O1"/>
    <mergeCell ref="A130:M130"/>
    <mergeCell ref="N7:O7"/>
    <mergeCell ref="A122:M122"/>
    <mergeCell ref="A123:M123"/>
    <mergeCell ref="A124:M124"/>
    <mergeCell ref="A11:M11"/>
    <mergeCell ref="A12:M12"/>
    <mergeCell ref="H27:H29"/>
    <mergeCell ref="I27:I29"/>
    <mergeCell ref="J27:J29"/>
    <mergeCell ref="K27:K29"/>
    <mergeCell ref="J3:O3"/>
    <mergeCell ref="J4:O4"/>
    <mergeCell ref="J9:M9"/>
    <mergeCell ref="B118:D118"/>
  </mergeCells>
  <pageMargins left="0.59055118110236227" right="0.51181102362204722" top="0.78740157480314965" bottom="0.31496062992125984" header="0.19685039370078741" footer="0.19685039370078741"/>
  <pageSetup paperSize="9" scale="36" fitToHeight="0" orientation="landscape" r:id="rId1"/>
  <rowBreaks count="2" manualBreakCount="2">
    <brk id="65" max="26" man="1"/>
    <brk id="121" max="26"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CC"/>
  </sheetPr>
  <dimension ref="A2:G78"/>
  <sheetViews>
    <sheetView view="pageBreakPreview" zoomScale="90" zoomScaleNormal="90" zoomScaleSheetLayoutView="90" workbookViewId="0">
      <pane ySplit="6" topLeftCell="A60" activePane="bottomLeft" state="frozen"/>
      <selection pane="bottomLeft" activeCell="A69" sqref="A69"/>
    </sheetView>
  </sheetViews>
  <sheetFormatPr defaultColWidth="9.33203125" defaultRowHeight="15" x14ac:dyDescent="0.25"/>
  <cols>
    <col min="1" max="1" width="85.33203125" style="298" customWidth="1"/>
    <col min="2" max="2" width="7.83203125" style="340" customWidth="1"/>
    <col min="3" max="3" width="19.1640625" style="298" customWidth="1"/>
    <col min="4" max="4" width="20.5" style="298" customWidth="1"/>
    <col min="5" max="5" width="19.1640625" style="298" customWidth="1"/>
    <col min="6" max="6" width="16" style="298" customWidth="1"/>
    <col min="7" max="16384" width="9.33203125" style="298"/>
  </cols>
  <sheetData>
    <row r="2" spans="1:6" x14ac:dyDescent="0.25">
      <c r="A2" s="1485" t="s">
        <v>824</v>
      </c>
      <c r="B2" s="1485"/>
      <c r="C2" s="1485"/>
      <c r="D2" s="1485"/>
      <c r="E2" s="1485"/>
      <c r="F2" s="1485"/>
    </row>
    <row r="3" spans="1:6" x14ac:dyDescent="0.25">
      <c r="A3" s="519"/>
      <c r="B3" s="542"/>
      <c r="C3" s="519"/>
      <c r="D3" s="519"/>
      <c r="E3" s="519"/>
      <c r="F3" s="543"/>
    </row>
    <row r="4" spans="1:6" ht="21.6" customHeight="1" x14ac:dyDescent="0.25">
      <c r="A4" s="1486" t="s">
        <v>183</v>
      </c>
      <c r="B4" s="1487" t="s">
        <v>184</v>
      </c>
      <c r="C4" s="1486" t="s">
        <v>185</v>
      </c>
      <c r="D4" s="1486"/>
      <c r="E4" s="1486"/>
      <c r="F4" s="1488" t="s">
        <v>245</v>
      </c>
    </row>
    <row r="5" spans="1:6" ht="24" customHeight="1" x14ac:dyDescent="0.25">
      <c r="A5" s="1486"/>
      <c r="B5" s="1487"/>
      <c r="C5" s="1296" t="s">
        <v>461</v>
      </c>
      <c r="D5" s="1296" t="s">
        <v>723</v>
      </c>
      <c r="E5" s="1296" t="s">
        <v>871</v>
      </c>
      <c r="F5" s="1489"/>
    </row>
    <row r="6" spans="1:6" x14ac:dyDescent="0.25">
      <c r="A6" s="1297">
        <v>1</v>
      </c>
      <c r="B6" s="1298">
        <v>2</v>
      </c>
      <c r="C6" s="1297">
        <v>3</v>
      </c>
      <c r="D6" s="1297">
        <v>4</v>
      </c>
      <c r="E6" s="1297">
        <v>5</v>
      </c>
      <c r="F6" s="1297">
        <v>6</v>
      </c>
    </row>
    <row r="7" spans="1:6" x14ac:dyDescent="0.25">
      <c r="A7" s="1490" t="s">
        <v>794</v>
      </c>
      <c r="B7" s="1491"/>
      <c r="C7" s="1491"/>
      <c r="D7" s="1491"/>
      <c r="E7" s="1491"/>
      <c r="F7" s="1492"/>
    </row>
    <row r="8" spans="1:6" ht="28.5" x14ac:dyDescent="0.25">
      <c r="A8" s="305" t="s">
        <v>246</v>
      </c>
      <c r="B8" s="339" t="s">
        <v>417</v>
      </c>
      <c r="C8" s="1297"/>
      <c r="D8" s="1297"/>
      <c r="E8" s="1297"/>
      <c r="F8" s="544"/>
    </row>
    <row r="9" spans="1:6" ht="42.75" x14ac:dyDescent="0.25">
      <c r="A9" s="305" t="s">
        <v>247</v>
      </c>
      <c r="B9" s="339" t="s">
        <v>418</v>
      </c>
      <c r="C9" s="1297"/>
      <c r="D9" s="1297"/>
      <c r="E9" s="1297"/>
      <c r="F9" s="544"/>
    </row>
    <row r="10" spans="1:6" s="310" customFormat="1" x14ac:dyDescent="0.25">
      <c r="A10" s="355" t="s">
        <v>248</v>
      </c>
      <c r="B10" s="356" t="s">
        <v>419</v>
      </c>
      <c r="C10" s="357">
        <f>C11+C13+C14+C15+C16+C17+C18+C19+C20+C12</f>
        <v>0</v>
      </c>
      <c r="D10" s="357">
        <f>D11+D13+D14+D15+D16+D17+D18+D19+D20+D12</f>
        <v>0</v>
      </c>
      <c r="E10" s="357">
        <f>E11+E13+E14+E15+E16+E17+E18+E19+E20+E12</f>
        <v>0</v>
      </c>
      <c r="F10" s="357">
        <f>F11+F13+F14+F15+F16+F17+F18+F19+F20</f>
        <v>0</v>
      </c>
    </row>
    <row r="11" spans="1:6" x14ac:dyDescent="0.25">
      <c r="A11" s="303" t="s">
        <v>203</v>
      </c>
      <c r="B11" s="1484" t="s">
        <v>420</v>
      </c>
      <c r="C11" s="326"/>
      <c r="D11" s="313"/>
      <c r="E11" s="313"/>
      <c r="F11" s="313"/>
    </row>
    <row r="12" spans="1:6" ht="30" x14ac:dyDescent="0.25">
      <c r="A12" s="303" t="s">
        <v>249</v>
      </c>
      <c r="B12" s="1484"/>
      <c r="C12" s="538">
        <f>'поступления 810 25-27'!N18</f>
        <v>0</v>
      </c>
      <c r="D12" s="522">
        <f>'поступления 810 25-27'!O18</f>
        <v>0</v>
      </c>
      <c r="E12" s="522">
        <f>'поступления 810 25-27'!P18</f>
        <v>0</v>
      </c>
      <c r="F12" s="545">
        <v>0</v>
      </c>
    </row>
    <row r="13" spans="1:6" x14ac:dyDescent="0.25">
      <c r="A13" s="303" t="s">
        <v>250</v>
      </c>
      <c r="B13" s="1293" t="s">
        <v>421</v>
      </c>
      <c r="C13" s="538"/>
      <c r="D13" s="522"/>
      <c r="E13" s="522"/>
      <c r="F13" s="545"/>
    </row>
    <row r="14" spans="1:6" ht="30" x14ac:dyDescent="0.25">
      <c r="A14" s="303" t="s">
        <v>251</v>
      </c>
      <c r="B14" s="1293" t="s">
        <v>422</v>
      </c>
      <c r="C14" s="360"/>
      <c r="D14" s="522"/>
      <c r="E14" s="522"/>
      <c r="F14" s="545"/>
    </row>
    <row r="15" spans="1:6" ht="30" x14ac:dyDescent="0.25">
      <c r="A15" s="303" t="s">
        <v>252</v>
      </c>
      <c r="B15" s="1293" t="s">
        <v>423</v>
      </c>
      <c r="C15" s="360"/>
      <c r="D15" s="522"/>
      <c r="E15" s="522"/>
      <c r="F15" s="545"/>
    </row>
    <row r="16" spans="1:6" x14ac:dyDescent="0.25">
      <c r="A16" s="303" t="s">
        <v>253</v>
      </c>
      <c r="B16" s="1293" t="s">
        <v>424</v>
      </c>
      <c r="C16" s="360"/>
      <c r="D16" s="522"/>
      <c r="E16" s="522"/>
      <c r="F16" s="545"/>
    </row>
    <row r="17" spans="1:6" x14ac:dyDescent="0.25">
      <c r="A17" s="303" t="s">
        <v>254</v>
      </c>
      <c r="B17" s="1293" t="s">
        <v>425</v>
      </c>
      <c r="C17" s="360"/>
      <c r="D17" s="522"/>
      <c r="E17" s="522"/>
      <c r="F17" s="545"/>
    </row>
    <row r="18" spans="1:6" ht="42.75" x14ac:dyDescent="0.25">
      <c r="A18" s="305" t="s">
        <v>255</v>
      </c>
      <c r="B18" s="342" t="s">
        <v>426</v>
      </c>
      <c r="C18" s="360"/>
      <c r="D18" s="522"/>
      <c r="E18" s="522"/>
      <c r="F18" s="545"/>
    </row>
    <row r="19" spans="1:6" ht="28.5" x14ac:dyDescent="0.25">
      <c r="A19" s="305" t="s">
        <v>256</v>
      </c>
      <c r="B19" s="342" t="s">
        <v>427</v>
      </c>
      <c r="C19" s="360"/>
      <c r="D19" s="522"/>
      <c r="E19" s="522"/>
      <c r="F19" s="545"/>
    </row>
    <row r="20" spans="1:6" ht="28.5" x14ac:dyDescent="0.25">
      <c r="A20" s="305" t="s">
        <v>257</v>
      </c>
      <c r="B20" s="342" t="s">
        <v>428</v>
      </c>
      <c r="C20" s="360"/>
      <c r="D20" s="522"/>
      <c r="E20" s="522"/>
      <c r="F20" s="545"/>
    </row>
    <row r="21" spans="1:6" ht="28.5" x14ac:dyDescent="0.25">
      <c r="A21" s="305" t="s">
        <v>258</v>
      </c>
      <c r="B21" s="342" t="s">
        <v>429</v>
      </c>
      <c r="C21" s="522"/>
      <c r="D21" s="522"/>
      <c r="E21" s="522"/>
      <c r="F21" s="545"/>
    </row>
    <row r="22" spans="1:6" ht="28.5" x14ac:dyDescent="0.25">
      <c r="A22" s="305" t="s">
        <v>259</v>
      </c>
      <c r="B22" s="342" t="s">
        <v>430</v>
      </c>
      <c r="C22" s="522"/>
      <c r="D22" s="522"/>
      <c r="E22" s="522"/>
      <c r="F22" s="545"/>
    </row>
    <row r="23" spans="1:6" s="301" customFormat="1" ht="28.5" x14ac:dyDescent="0.2">
      <c r="A23" s="300" t="s">
        <v>432</v>
      </c>
      <c r="B23" s="339" t="s">
        <v>431</v>
      </c>
      <c r="C23" s="361">
        <f>C8-C9+C10-C21+C22</f>
        <v>0</v>
      </c>
      <c r="D23" s="361">
        <f>D8-D9+D10-D21+D22</f>
        <v>0</v>
      </c>
      <c r="E23" s="361">
        <f>E8-E9+E10-E21+E22</f>
        <v>0</v>
      </c>
      <c r="F23" s="361">
        <f>F8-F9+F10-F21+F22</f>
        <v>0</v>
      </c>
    </row>
    <row r="24" spans="1:6" ht="41.25" customHeight="1" x14ac:dyDescent="0.25">
      <c r="A24" s="1490" t="s">
        <v>761</v>
      </c>
      <c r="B24" s="1491"/>
      <c r="C24" s="1491"/>
      <c r="D24" s="1491"/>
      <c r="E24" s="1491"/>
      <c r="F24" s="1492"/>
    </row>
    <row r="25" spans="1:6" ht="28.5" x14ac:dyDescent="0.25">
      <c r="A25" s="300" t="s">
        <v>246</v>
      </c>
      <c r="B25" s="339" t="s">
        <v>417</v>
      </c>
      <c r="C25" s="522"/>
      <c r="D25" s="522"/>
      <c r="E25" s="522"/>
      <c r="F25" s="545"/>
    </row>
    <row r="26" spans="1:6" ht="42.75" x14ac:dyDescent="0.25">
      <c r="A26" s="300" t="s">
        <v>247</v>
      </c>
      <c r="B26" s="339" t="s">
        <v>418</v>
      </c>
      <c r="C26" s="522"/>
      <c r="D26" s="522"/>
      <c r="E26" s="522"/>
      <c r="F26" s="545"/>
    </row>
    <row r="27" spans="1:6" ht="28.5" x14ac:dyDescent="0.25">
      <c r="A27" s="355" t="s">
        <v>268</v>
      </c>
      <c r="B27" s="356" t="s">
        <v>419</v>
      </c>
      <c r="C27" s="357">
        <f>C29+C30+C31+C32+C34</f>
        <v>97184600</v>
      </c>
      <c r="D27" s="357">
        <f>D29+D30+D31+D32+D34</f>
        <v>97578200</v>
      </c>
      <c r="E27" s="357">
        <f>E29+E30+E31+E32+E34</f>
        <v>97165400</v>
      </c>
      <c r="F27" s="357">
        <f>F29+F30+F31+F32</f>
        <v>0</v>
      </c>
    </row>
    <row r="28" spans="1:6" x14ac:dyDescent="0.25">
      <c r="A28" s="303" t="s">
        <v>203</v>
      </c>
      <c r="B28" s="1484" t="s">
        <v>420</v>
      </c>
      <c r="C28" s="1302"/>
      <c r="D28" s="1302"/>
      <c r="E28" s="546"/>
      <c r="F28" s="546"/>
    </row>
    <row r="29" spans="1:6" x14ac:dyDescent="0.25">
      <c r="A29" s="303" t="s">
        <v>648</v>
      </c>
      <c r="B29" s="1484"/>
      <c r="C29" s="1295">
        <f>'поступления 831, 841 25-27'!F9</f>
        <v>93604800</v>
      </c>
      <c r="D29" s="1295">
        <f>'поступления 831, 841 25-27'!H9</f>
        <v>93797900</v>
      </c>
      <c r="E29" s="1295">
        <f>'поступления 831, 841 25-27'!I9</f>
        <v>93215000</v>
      </c>
      <c r="F29" s="494">
        <v>0</v>
      </c>
    </row>
    <row r="30" spans="1:6" ht="30" x14ac:dyDescent="0.25">
      <c r="A30" s="303" t="s">
        <v>269</v>
      </c>
      <c r="B30" s="1293" t="s">
        <v>421</v>
      </c>
      <c r="C30" s="1295">
        <f>'поступления 810 25-27'!E60</f>
        <v>3579800</v>
      </c>
      <c r="D30" s="1295">
        <f>'поступления 810 25-27'!G60</f>
        <v>3780300</v>
      </c>
      <c r="E30" s="1295">
        <f>'поступления 810 25-27'!H60</f>
        <v>3950400</v>
      </c>
      <c r="F30" s="349">
        <v>0</v>
      </c>
    </row>
    <row r="31" spans="1:6" ht="45" x14ac:dyDescent="0.25">
      <c r="A31" s="303" t="s">
        <v>270</v>
      </c>
      <c r="B31" s="1293" t="s">
        <v>422</v>
      </c>
      <c r="C31" s="360"/>
      <c r="D31" s="360"/>
      <c r="E31" s="360"/>
      <c r="F31" s="349">
        <v>0</v>
      </c>
    </row>
    <row r="32" spans="1:6" ht="45" x14ac:dyDescent="0.25">
      <c r="A32" s="347" t="s">
        <v>271</v>
      </c>
      <c r="B32" s="1293" t="s">
        <v>423</v>
      </c>
      <c r="C32" s="360"/>
      <c r="D32" s="360"/>
      <c r="E32" s="360"/>
      <c r="F32" s="349">
        <v>0</v>
      </c>
    </row>
    <row r="33" spans="1:6" x14ac:dyDescent="0.25">
      <c r="A33" s="1303" t="s">
        <v>677</v>
      </c>
      <c r="B33" s="1293" t="s">
        <v>424</v>
      </c>
      <c r="C33" s="360"/>
      <c r="D33" s="360"/>
      <c r="E33" s="360"/>
      <c r="F33" s="349"/>
    </row>
    <row r="34" spans="1:6" ht="30" x14ac:dyDescent="0.25">
      <c r="A34" s="1304" t="s">
        <v>320</v>
      </c>
      <c r="B34" s="1293" t="s">
        <v>425</v>
      </c>
      <c r="C34" s="360">
        <f>'поступления 810 25-27'!F60</f>
        <v>0</v>
      </c>
      <c r="D34" s="360"/>
      <c r="E34" s="360"/>
      <c r="F34" s="349"/>
    </row>
    <row r="35" spans="1:6" ht="28.5" x14ac:dyDescent="0.25">
      <c r="A35" s="525" t="s">
        <v>258</v>
      </c>
      <c r="B35" s="339" t="s">
        <v>429</v>
      </c>
      <c r="C35" s="522"/>
      <c r="D35" s="522"/>
      <c r="E35" s="522"/>
      <c r="F35" s="545"/>
    </row>
    <row r="36" spans="1:6" ht="28.5" x14ac:dyDescent="0.25">
      <c r="A36" s="300" t="s">
        <v>259</v>
      </c>
      <c r="B36" s="339" t="s">
        <v>430</v>
      </c>
      <c r="C36" s="522"/>
      <c r="D36" s="522"/>
      <c r="E36" s="522"/>
      <c r="F36" s="545"/>
    </row>
    <row r="37" spans="1:6" ht="28.5" x14ac:dyDescent="0.25">
      <c r="A37" s="300" t="s">
        <v>380</v>
      </c>
      <c r="B37" s="339" t="s">
        <v>431</v>
      </c>
      <c r="C37" s="361">
        <f>C25-C26+C27-C35+C36</f>
        <v>97184600</v>
      </c>
      <c r="D37" s="361">
        <f>D25-D26+D27-D35+D36</f>
        <v>97578200</v>
      </c>
      <c r="E37" s="361">
        <f>E25-E26+E27-E35+E36</f>
        <v>97165400</v>
      </c>
      <c r="F37" s="361">
        <f>F25-F26+F27-F35+F36</f>
        <v>0</v>
      </c>
    </row>
    <row r="38" spans="1:6" ht="33.75" customHeight="1" x14ac:dyDescent="0.25">
      <c r="A38" s="1500" t="s">
        <v>762</v>
      </c>
      <c r="B38" s="1501"/>
      <c r="C38" s="1501"/>
      <c r="D38" s="1501"/>
      <c r="E38" s="1501"/>
      <c r="F38" s="1502"/>
    </row>
    <row r="39" spans="1:6" ht="28.5" x14ac:dyDescent="0.25">
      <c r="A39" s="300" t="s">
        <v>246</v>
      </c>
      <c r="B39" s="339" t="s">
        <v>417</v>
      </c>
      <c r="C39" s="1297"/>
      <c r="D39" s="1297"/>
      <c r="E39" s="1297"/>
      <c r="F39" s="313"/>
    </row>
    <row r="40" spans="1:6" ht="28.5" x14ac:dyDescent="0.25">
      <c r="A40" s="300" t="s">
        <v>276</v>
      </c>
      <c r="B40" s="339" t="s">
        <v>418</v>
      </c>
      <c r="C40" s="1297"/>
      <c r="D40" s="1297"/>
      <c r="E40" s="1297"/>
      <c r="F40" s="313"/>
    </row>
    <row r="41" spans="1:6" ht="28.5" x14ac:dyDescent="0.25">
      <c r="A41" s="355" t="s">
        <v>277</v>
      </c>
      <c r="B41" s="356" t="s">
        <v>419</v>
      </c>
      <c r="C41" s="357">
        <f>C42+C44+C45</f>
        <v>0</v>
      </c>
      <c r="D41" s="357">
        <f t="shared" ref="D41:F41" si="0">D42+D44+D45</f>
        <v>0</v>
      </c>
      <c r="E41" s="357">
        <f t="shared" si="0"/>
        <v>0</v>
      </c>
      <c r="F41" s="357">
        <f t="shared" si="0"/>
        <v>0</v>
      </c>
    </row>
    <row r="42" spans="1:6" s="345" customFormat="1" x14ac:dyDescent="0.25">
      <c r="A42" s="347" t="s">
        <v>203</v>
      </c>
      <c r="B42" s="1503" t="s">
        <v>420</v>
      </c>
      <c r="C42" s="1504"/>
      <c r="D42" s="1505"/>
      <c r="E42" s="1505"/>
      <c r="F42" s="752"/>
    </row>
    <row r="43" spans="1:6" s="345" customFormat="1" x14ac:dyDescent="0.25">
      <c r="A43" s="347" t="s">
        <v>278</v>
      </c>
      <c r="B43" s="1503"/>
      <c r="C43" s="1504"/>
      <c r="D43" s="1506"/>
      <c r="E43" s="1506"/>
      <c r="F43" s="752"/>
    </row>
    <row r="44" spans="1:6" s="345" customFormat="1" x14ac:dyDescent="0.25">
      <c r="A44" s="347" t="s">
        <v>279</v>
      </c>
      <c r="B44" s="1294" t="s">
        <v>421</v>
      </c>
      <c r="C44" s="1295"/>
      <c r="D44" s="1295"/>
      <c r="E44" s="1295"/>
      <c r="F44" s="752"/>
    </row>
    <row r="45" spans="1:6" s="345" customFormat="1" x14ac:dyDescent="0.25">
      <c r="A45" s="347" t="s">
        <v>280</v>
      </c>
      <c r="B45" s="1294" t="s">
        <v>422</v>
      </c>
      <c r="C45" s="1295"/>
      <c r="D45" s="1295"/>
      <c r="E45" s="1295"/>
      <c r="F45" s="752"/>
    </row>
    <row r="46" spans="1:6" ht="28.5" x14ac:dyDescent="0.25">
      <c r="A46" s="300" t="s">
        <v>258</v>
      </c>
      <c r="B46" s="339" t="s">
        <v>429</v>
      </c>
      <c r="C46" s="1297"/>
      <c r="D46" s="1297"/>
      <c r="E46" s="1297"/>
      <c r="F46" s="313"/>
    </row>
    <row r="47" spans="1:6" ht="28.5" x14ac:dyDescent="0.25">
      <c r="A47" s="300" t="s">
        <v>281</v>
      </c>
      <c r="B47" s="339" t="s">
        <v>430</v>
      </c>
      <c r="C47" s="1297"/>
      <c r="D47" s="1297"/>
      <c r="E47" s="1297"/>
      <c r="F47" s="313"/>
    </row>
    <row r="48" spans="1:6" ht="42.75" x14ac:dyDescent="0.25">
      <c r="A48" s="300" t="s">
        <v>395</v>
      </c>
      <c r="B48" s="339" t="s">
        <v>431</v>
      </c>
      <c r="C48" s="361">
        <f>C39-C40+C41-C46+C47</f>
        <v>0</v>
      </c>
      <c r="D48" s="361">
        <f>D39-D40+D41-D46+D47</f>
        <v>0</v>
      </c>
      <c r="E48" s="361">
        <f>E39-E40+E41-E46+E47</f>
        <v>0</v>
      </c>
      <c r="F48" s="361">
        <f>F39-F40+F41-F46+F47</f>
        <v>0</v>
      </c>
    </row>
    <row r="49" spans="1:7" x14ac:dyDescent="0.25">
      <c r="A49" s="1496" t="s">
        <v>763</v>
      </c>
      <c r="B49" s="1497"/>
      <c r="C49" s="1497"/>
      <c r="D49" s="1497"/>
      <c r="E49" s="1497"/>
      <c r="F49" s="1498"/>
      <c r="G49" s="627"/>
    </row>
    <row r="50" spans="1:7" ht="28.5" x14ac:dyDescent="0.25">
      <c r="A50" s="305" t="s">
        <v>246</v>
      </c>
      <c r="B50" s="342" t="s">
        <v>417</v>
      </c>
      <c r="C50" s="522"/>
      <c r="D50" s="313"/>
      <c r="E50" s="313"/>
      <c r="F50" s="313"/>
    </row>
    <row r="51" spans="1:7" ht="42.75" x14ac:dyDescent="0.25">
      <c r="A51" s="305" t="s">
        <v>247</v>
      </c>
      <c r="B51" s="342" t="s">
        <v>418</v>
      </c>
      <c r="C51" s="522"/>
      <c r="D51" s="313"/>
      <c r="E51" s="313"/>
      <c r="F51" s="313"/>
    </row>
    <row r="52" spans="1:7" x14ac:dyDescent="0.25">
      <c r="A52" s="355" t="s">
        <v>282</v>
      </c>
      <c r="B52" s="356" t="s">
        <v>419</v>
      </c>
      <c r="C52" s="357">
        <f>C53+C55+C56+C57</f>
        <v>0</v>
      </c>
      <c r="D52" s="357">
        <f t="shared" ref="D52:E52" si="1">D53+D55+D56+D57</f>
        <v>0</v>
      </c>
      <c r="E52" s="357">
        <f t="shared" si="1"/>
        <v>0</v>
      </c>
      <c r="F52" s="357">
        <f t="shared" ref="F52" si="2">F53+F55+F56+F57</f>
        <v>0</v>
      </c>
    </row>
    <row r="53" spans="1:7" x14ac:dyDescent="0.25">
      <c r="A53" s="303" t="s">
        <v>203</v>
      </c>
      <c r="B53" s="1484" t="s">
        <v>420</v>
      </c>
      <c r="C53" s="522"/>
      <c r="D53" s="313"/>
      <c r="E53" s="313"/>
      <c r="F53" s="313"/>
    </row>
    <row r="54" spans="1:7" ht="30" x14ac:dyDescent="0.25">
      <c r="A54" s="303" t="s">
        <v>283</v>
      </c>
      <c r="B54" s="1484"/>
      <c r="C54" s="522"/>
      <c r="D54" s="313"/>
      <c r="E54" s="313"/>
      <c r="F54" s="313"/>
    </row>
    <row r="55" spans="1:7" ht="30" x14ac:dyDescent="0.25">
      <c r="A55" s="303" t="s">
        <v>284</v>
      </c>
      <c r="B55" s="1293" t="s">
        <v>421</v>
      </c>
      <c r="C55" s="522"/>
      <c r="D55" s="313"/>
      <c r="E55" s="313"/>
      <c r="F55" s="313"/>
    </row>
    <row r="56" spans="1:7" x14ac:dyDescent="0.25">
      <c r="A56" s="303" t="s">
        <v>285</v>
      </c>
      <c r="B56" s="1293" t="s">
        <v>422</v>
      </c>
      <c r="C56" s="522"/>
      <c r="D56" s="313"/>
      <c r="E56" s="313"/>
      <c r="F56" s="313"/>
    </row>
    <row r="57" spans="1:7" ht="45" x14ac:dyDescent="0.25">
      <c r="A57" s="303" t="s">
        <v>286</v>
      </c>
      <c r="B57" s="1293" t="s">
        <v>423</v>
      </c>
      <c r="C57" s="1295">
        <f>'постуления 820 25-27'!H9</f>
        <v>0</v>
      </c>
      <c r="D57" s="1295">
        <f>'постуления 820 25-27'!J9</f>
        <v>0</v>
      </c>
      <c r="E57" s="1295">
        <f>'постуления 820 25-27'!K9</f>
        <v>0</v>
      </c>
      <c r="F57" s="494"/>
    </row>
    <row r="58" spans="1:7" ht="28.5" x14ac:dyDescent="0.25">
      <c r="A58" s="300" t="s">
        <v>258</v>
      </c>
      <c r="B58" s="342" t="s">
        <v>429</v>
      </c>
      <c r="C58" s="522"/>
      <c r="D58" s="313"/>
      <c r="E58" s="313"/>
      <c r="F58" s="313"/>
    </row>
    <row r="59" spans="1:7" ht="28.5" x14ac:dyDescent="0.25">
      <c r="A59" s="300" t="s">
        <v>259</v>
      </c>
      <c r="B59" s="342" t="s">
        <v>430</v>
      </c>
      <c r="C59" s="522"/>
      <c r="D59" s="313"/>
      <c r="E59" s="313"/>
      <c r="F59" s="313"/>
    </row>
    <row r="60" spans="1:7" ht="28.5" x14ac:dyDescent="0.25">
      <c r="A60" s="300" t="s">
        <v>380</v>
      </c>
      <c r="B60" s="342" t="s">
        <v>431</v>
      </c>
      <c r="C60" s="361">
        <f>C50-C51+C52-C58+C59</f>
        <v>0</v>
      </c>
      <c r="D60" s="361">
        <f t="shared" ref="D60:E60" si="3">D50-D51+D52-D58+D59</f>
        <v>0</v>
      </c>
      <c r="E60" s="361">
        <f t="shared" si="3"/>
        <v>0</v>
      </c>
      <c r="F60" s="361">
        <f t="shared" ref="F60" si="4">F50-F51+F52-F58+F59</f>
        <v>0</v>
      </c>
    </row>
    <row r="61" spans="1:7" x14ac:dyDescent="0.25">
      <c r="A61" s="1499" t="s">
        <v>795</v>
      </c>
      <c r="B61" s="1499"/>
      <c r="C61" s="1499"/>
      <c r="D61" s="1499"/>
      <c r="E61" s="1499"/>
      <c r="F61" s="1499"/>
      <c r="G61" s="627"/>
    </row>
    <row r="62" spans="1:7" ht="28.5" x14ac:dyDescent="0.25">
      <c r="A62" s="305" t="s">
        <v>246</v>
      </c>
      <c r="B62" s="342" t="s">
        <v>417</v>
      </c>
      <c r="C62" s="313"/>
      <c r="D62" s="313"/>
      <c r="E62" s="313"/>
      <c r="F62" s="313"/>
    </row>
    <row r="63" spans="1:7" ht="42.75" x14ac:dyDescent="0.25">
      <c r="A63" s="305" t="s">
        <v>247</v>
      </c>
      <c r="B63" s="342" t="s">
        <v>418</v>
      </c>
      <c r="C63" s="313"/>
      <c r="D63" s="313"/>
      <c r="E63" s="313"/>
      <c r="F63" s="313"/>
    </row>
    <row r="64" spans="1:7" x14ac:dyDescent="0.25">
      <c r="A64" s="355" t="s">
        <v>291</v>
      </c>
      <c r="B64" s="356" t="s">
        <v>419</v>
      </c>
      <c r="C64" s="357">
        <f>SUM(C65:C68)</f>
        <v>3801400</v>
      </c>
      <c r="D64" s="357">
        <f t="shared" ref="D64:F64" si="5">SUM(D65:D68)</f>
        <v>3701400</v>
      </c>
      <c r="E64" s="357">
        <f t="shared" si="5"/>
        <v>3701400</v>
      </c>
      <c r="F64" s="357">
        <f t="shared" si="5"/>
        <v>0</v>
      </c>
    </row>
    <row r="65" spans="1:7" x14ac:dyDescent="0.25">
      <c r="A65" s="303" t="s">
        <v>203</v>
      </c>
      <c r="B65" s="1493" t="s">
        <v>420</v>
      </c>
      <c r="C65" s="313"/>
      <c r="D65" s="313"/>
      <c r="E65" s="313"/>
      <c r="F65" s="313"/>
    </row>
    <row r="66" spans="1:7" x14ac:dyDescent="0.25">
      <c r="A66" s="303" t="s">
        <v>791</v>
      </c>
      <c r="B66" s="1494"/>
      <c r="C66" s="552">
        <f>'поступления 831, 841 25-27'!F21+'поступления 831, 841 25-27'!H21</f>
        <v>3801400</v>
      </c>
      <c r="D66" s="552">
        <f>'поступления 831, 841 25-27'!J21</f>
        <v>3701400</v>
      </c>
      <c r="E66" s="552">
        <f>'поступления 831, 841 25-27'!L21</f>
        <v>3701400</v>
      </c>
      <c r="F66" s="313"/>
    </row>
    <row r="67" spans="1:7" x14ac:dyDescent="0.25">
      <c r="A67" s="303" t="s">
        <v>792</v>
      </c>
      <c r="B67" s="1495"/>
      <c r="C67" s="552">
        <f>'поступления 831, 841 25-27'!G21+'поступления 831, 841 25-27'!I21</f>
        <v>0</v>
      </c>
      <c r="D67" s="552">
        <f>'поступления 831, 841 25-27'!K21</f>
        <v>0</v>
      </c>
      <c r="E67" s="552">
        <f>'поступления 831, 841 25-27'!M21</f>
        <v>0</v>
      </c>
      <c r="F67" s="313"/>
    </row>
    <row r="68" spans="1:7" x14ac:dyDescent="0.25">
      <c r="A68" s="303" t="s">
        <v>293</v>
      </c>
      <c r="B68" s="1293" t="s">
        <v>421</v>
      </c>
      <c r="C68" s="313"/>
      <c r="D68" s="313"/>
      <c r="E68" s="313"/>
      <c r="F68" s="313"/>
      <c r="G68" s="298" t="s">
        <v>793</v>
      </c>
    </row>
    <row r="69" spans="1:7" ht="28.5" x14ac:dyDescent="0.25">
      <c r="A69" s="305" t="s">
        <v>258</v>
      </c>
      <c r="B69" s="342" t="s">
        <v>429</v>
      </c>
      <c r="C69" s="313"/>
      <c r="D69" s="313"/>
      <c r="E69" s="313"/>
      <c r="F69" s="313"/>
    </row>
    <row r="70" spans="1:7" ht="28.5" x14ac:dyDescent="0.25">
      <c r="A70" s="305" t="s">
        <v>259</v>
      </c>
      <c r="B70" s="342" t="s">
        <v>430</v>
      </c>
      <c r="C70" s="313"/>
      <c r="D70" s="313"/>
      <c r="E70" s="313"/>
      <c r="F70" s="313"/>
    </row>
    <row r="71" spans="1:7" ht="28.5" x14ac:dyDescent="0.25">
      <c r="A71" s="305" t="s">
        <v>380</v>
      </c>
      <c r="B71" s="342" t="s">
        <v>431</v>
      </c>
      <c r="C71" s="553">
        <f>C62-C63+C64-C69+C70</f>
        <v>3801400</v>
      </c>
      <c r="D71" s="553">
        <f t="shared" ref="D71:F71" si="6">D62-D63+D64-D69+D70</f>
        <v>3701400</v>
      </c>
      <c r="E71" s="553">
        <f t="shared" si="6"/>
        <v>3701400</v>
      </c>
      <c r="F71" s="553">
        <f t="shared" si="6"/>
        <v>0</v>
      </c>
    </row>
    <row r="72" spans="1:7" x14ac:dyDescent="0.25">
      <c r="A72" s="768" t="s">
        <v>97</v>
      </c>
      <c r="B72" s="753"/>
      <c r="C72" s="754">
        <f>C10+C27+C41+C52+C64</f>
        <v>100986000</v>
      </c>
      <c r="D72" s="754">
        <f>D10+D27+D41+D52+D64</f>
        <v>101279600</v>
      </c>
      <c r="E72" s="754">
        <f>E10+E27+E41+E52+E64</f>
        <v>100866800</v>
      </c>
      <c r="F72" s="755"/>
    </row>
    <row r="73" spans="1:7" x14ac:dyDescent="0.25">
      <c r="C73" s="740">
        <f>'поступления 810 25-27'!E60+'поступления 831, 841 25-27'!F9+'поступления 831, 841 25-27'!F21+'постуления 820 25-27'!H9</f>
        <v>100986000</v>
      </c>
      <c r="D73" s="740">
        <f>'поступления 810 25-27'!G60+'поступления 831, 841 25-27'!H9+'поступления 831, 841 25-27'!J21+'поступления 831, 841 25-27'!K21</f>
        <v>101279600</v>
      </c>
      <c r="E73" s="740">
        <f>'поступления 810 25-27'!H60+'поступления 831, 841 25-27'!I9+'поступления 831, 841 25-27'!L21+'поступления 831, 841 25-27'!M21</f>
        <v>100866800</v>
      </c>
      <c r="F73" s="740"/>
    </row>
    <row r="74" spans="1:7" x14ac:dyDescent="0.25">
      <c r="A74" s="298" t="s">
        <v>128</v>
      </c>
      <c r="C74" s="676">
        <f>C72-C73</f>
        <v>0</v>
      </c>
      <c r="D74" s="676">
        <f>D72-D73</f>
        <v>0</v>
      </c>
      <c r="E74" s="676">
        <f>E72-E73</f>
        <v>0</v>
      </c>
    </row>
    <row r="75" spans="1:7" x14ac:dyDescent="0.25">
      <c r="A75" s="298" t="s">
        <v>890</v>
      </c>
      <c r="C75" s="676">
        <f>C73-'поступления 810 25-27'!E60-'поступления 831, 841 25-27'!F9-'поступления 831, 841 25-27'!F21-'постуления 820 25-27'!H9</f>
        <v>0</v>
      </c>
      <c r="D75" s="676">
        <f>D72-'поступления 810 25-27'!G60-'поступления 831, 841 25-27'!H9-'поступления 831, 841 25-27'!J21-'поступления 831, 841 25-27'!K21-'постуления 820 25-27'!J9</f>
        <v>0</v>
      </c>
      <c r="E75" s="676">
        <f>E72-'поступления 810 25-27'!H60-'поступления 831, 841 25-27'!I9-'поступления 831, 841 25-27'!L21-'поступления 831, 841 25-27'!M21-'постуления 820 25-27'!K9</f>
        <v>0</v>
      </c>
    </row>
    <row r="78" spans="1:7" x14ac:dyDescent="0.25">
      <c r="C78" s="740"/>
    </row>
  </sheetData>
  <mergeCells count="18">
    <mergeCell ref="B65:B67"/>
    <mergeCell ref="A49:F49"/>
    <mergeCell ref="B53:B54"/>
    <mergeCell ref="A61:F61"/>
    <mergeCell ref="A24:F24"/>
    <mergeCell ref="A38:F38"/>
    <mergeCell ref="B42:B43"/>
    <mergeCell ref="C42:C43"/>
    <mergeCell ref="D42:D43"/>
    <mergeCell ref="E42:E43"/>
    <mergeCell ref="B28:B29"/>
    <mergeCell ref="B11:B12"/>
    <mergeCell ref="A2:F2"/>
    <mergeCell ref="A4:A5"/>
    <mergeCell ref="B4:B5"/>
    <mergeCell ref="C4:E4"/>
    <mergeCell ref="F4:F5"/>
    <mergeCell ref="A7:F7"/>
  </mergeCells>
  <pageMargins left="0.70866141732283472" right="0.70866141732283472" top="0.74803149606299213" bottom="0.74803149606299213" header="0.31496062992125984" footer="0.31496062992125984"/>
  <pageSetup paperSize="9" scale="79" orientation="landscape" r:id="rId1"/>
  <rowBreaks count="1" manualBreakCount="1">
    <brk id="47"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THL209"/>
  <sheetViews>
    <sheetView view="pageBreakPreview" topLeftCell="A2" zoomScale="80" zoomScaleNormal="80" zoomScaleSheetLayoutView="80" workbookViewId="0">
      <selection activeCell="G45" sqref="A45:XFD45"/>
    </sheetView>
  </sheetViews>
  <sheetFormatPr defaultColWidth="9.33203125" defaultRowHeight="15" x14ac:dyDescent="0.25"/>
  <cols>
    <col min="1" max="1" width="9.33203125" style="318"/>
    <col min="2" max="3" width="12.33203125" style="318" customWidth="1"/>
    <col min="4" max="4" width="26.83203125" style="318" customWidth="1"/>
    <col min="5" max="5" width="17.5" style="318" customWidth="1"/>
    <col min="6" max="6" width="11.33203125" style="318" customWidth="1"/>
    <col min="7" max="7" width="17.33203125" style="318" customWidth="1"/>
    <col min="8" max="8" width="18.33203125" style="318" customWidth="1"/>
    <col min="9" max="9" width="13.5" style="318" customWidth="1"/>
    <col min="10" max="10" width="10.33203125" style="318" customWidth="1"/>
    <col min="11" max="11" width="12.5" style="318" customWidth="1"/>
    <col min="12" max="12" width="14.5" style="318" customWidth="1"/>
    <col min="13" max="13" width="9.5" style="318" customWidth="1"/>
    <col min="14" max="14" width="14.6640625" style="318" customWidth="1"/>
    <col min="15" max="15" width="15.6640625" style="318" customWidth="1"/>
    <col min="16" max="16" width="9.1640625" style="318" customWidth="1"/>
    <col min="17" max="17" width="11.6640625" style="318" customWidth="1"/>
    <col min="18" max="18" width="15.6640625" style="318" customWidth="1"/>
    <col min="19" max="19" width="10.33203125" style="318" customWidth="1"/>
    <col min="20" max="21" width="15" style="318" customWidth="1"/>
    <col min="22" max="22" width="11.83203125" style="318" customWidth="1"/>
    <col min="23" max="24" width="10" style="318" customWidth="1"/>
    <col min="25" max="25" width="10.5" style="318" bestFit="1" customWidth="1"/>
    <col min="26" max="26" width="8.33203125" style="318" bestFit="1" customWidth="1"/>
    <col min="27" max="27" width="15.33203125" style="318" customWidth="1"/>
    <col min="28" max="30" width="12" style="1117" customWidth="1"/>
    <col min="31" max="31" width="18.5" style="318" customWidth="1"/>
    <col min="32" max="32" width="16.5" style="318" customWidth="1"/>
    <col min="33" max="33" width="16.6640625" style="320" customWidth="1"/>
    <col min="34" max="34" width="19.83203125" style="320" customWidth="1"/>
    <col min="35" max="35" width="12.83203125" style="318" bestFit="1" customWidth="1"/>
    <col min="36" max="16384" width="9.33203125" style="318"/>
  </cols>
  <sheetData>
    <row r="1" spans="1:34" x14ac:dyDescent="0.25">
      <c r="AF1" s="319"/>
    </row>
    <row r="2" spans="1:34" ht="25.5" x14ac:dyDescent="0.25">
      <c r="D2" s="1536" t="s">
        <v>872</v>
      </c>
      <c r="E2" s="1536"/>
      <c r="F2" s="1536"/>
      <c r="G2" s="1536"/>
      <c r="H2" s="1536"/>
      <c r="I2" s="1536"/>
      <c r="J2" s="1536"/>
      <c r="K2" s="1536"/>
      <c r="L2" s="1536"/>
      <c r="M2" s="1536"/>
      <c r="N2" s="1536"/>
      <c r="O2" s="1536"/>
      <c r="P2" s="1536"/>
      <c r="Q2" s="1536"/>
      <c r="R2" s="1536"/>
      <c r="S2" s="1536"/>
      <c r="T2" s="1536"/>
      <c r="U2" s="1536"/>
      <c r="V2" s="1536"/>
      <c r="W2" s="1536"/>
      <c r="X2" s="1536"/>
      <c r="Y2" s="1536"/>
      <c r="Z2" s="1536"/>
      <c r="AA2" s="1536"/>
      <c r="AB2" s="1536"/>
      <c r="AC2" s="1536"/>
      <c r="AD2" s="1536"/>
      <c r="AE2" s="1536"/>
      <c r="AF2" s="1536"/>
      <c r="AG2" s="1536"/>
      <c r="AH2" s="1536"/>
    </row>
    <row r="3" spans="1:34" ht="33" x14ac:dyDescent="0.45">
      <c r="D3" s="321"/>
      <c r="E3" s="321"/>
      <c r="F3" s="321"/>
      <c r="G3" s="321"/>
      <c r="H3" s="321"/>
      <c r="I3" s="321"/>
      <c r="J3" s="321"/>
      <c r="K3" s="321"/>
      <c r="L3" s="321"/>
      <c r="M3" s="321"/>
      <c r="N3" s="321"/>
      <c r="O3" s="321"/>
      <c r="P3" s="321"/>
      <c r="Q3" s="321"/>
      <c r="R3" s="321"/>
      <c r="S3" s="321"/>
      <c r="T3" s="321"/>
      <c r="U3" s="321"/>
      <c r="V3" s="321"/>
      <c r="W3" s="321"/>
      <c r="X3" s="321"/>
      <c r="Y3" s="321"/>
      <c r="Z3" s="321"/>
      <c r="AA3" s="321"/>
      <c r="AB3" s="1118"/>
      <c r="AC3" s="1118"/>
      <c r="AD3" s="1118"/>
      <c r="AE3" s="321"/>
      <c r="AF3" s="321"/>
    </row>
    <row r="4" spans="1:34" ht="20.25" x14ac:dyDescent="0.25">
      <c r="D4" s="1514" t="s">
        <v>824</v>
      </c>
      <c r="E4" s="1514"/>
      <c r="F4" s="1514"/>
      <c r="G4" s="1514"/>
      <c r="H4" s="1514"/>
      <c r="I4" s="1514"/>
      <c r="J4" s="1514"/>
      <c r="K4" s="1514"/>
      <c r="L4" s="1514"/>
      <c r="M4" s="1514"/>
      <c r="N4" s="1514"/>
      <c r="O4" s="1514"/>
      <c r="P4" s="1514"/>
      <c r="Q4" s="1514"/>
      <c r="R4" s="1514"/>
      <c r="S4" s="1514"/>
      <c r="T4" s="1514"/>
      <c r="U4" s="1514"/>
      <c r="V4" s="1514"/>
      <c r="W4" s="1514"/>
      <c r="X4" s="1514"/>
      <c r="Y4" s="1514"/>
      <c r="Z4" s="1514"/>
      <c r="AA4" s="1514"/>
      <c r="AB4" s="1514"/>
      <c r="AC4" s="1514"/>
      <c r="AD4" s="1514"/>
      <c r="AE4" s="1514"/>
      <c r="AF4" s="1514"/>
      <c r="AG4" s="1514"/>
      <c r="AH4" s="1514"/>
    </row>
    <row r="5" spans="1:34" x14ac:dyDescent="0.25">
      <c r="D5" s="1515" t="s">
        <v>260</v>
      </c>
      <c r="E5" s="1515"/>
      <c r="F5" s="1515"/>
      <c r="G5" s="1515"/>
      <c r="H5" s="1515"/>
      <c r="I5" s="1515"/>
      <c r="J5" s="1515"/>
      <c r="K5" s="1515"/>
      <c r="L5" s="1515"/>
      <c r="M5" s="1515"/>
      <c r="N5" s="1515"/>
      <c r="O5" s="1515"/>
      <c r="P5" s="1515"/>
      <c r="Q5" s="1515"/>
      <c r="R5" s="1515"/>
      <c r="S5" s="1515"/>
      <c r="T5" s="1515"/>
      <c r="U5" s="1515"/>
      <c r="V5" s="1515"/>
      <c r="W5" s="1515"/>
      <c r="X5" s="1515"/>
      <c r="Y5" s="1515"/>
      <c r="Z5" s="1515"/>
      <c r="AA5" s="1515"/>
      <c r="AB5" s="1515"/>
      <c r="AC5" s="1515"/>
      <c r="AD5" s="1515"/>
      <c r="AE5" s="1515"/>
      <c r="AF5" s="1515"/>
      <c r="AG5" s="1515"/>
      <c r="AH5" s="1515"/>
    </row>
    <row r="6" spans="1:34" ht="26.25" hidden="1" x14ac:dyDescent="0.4">
      <c r="D6" s="321"/>
      <c r="E6" s="321"/>
      <c r="F6" s="321"/>
      <c r="G6" s="321"/>
      <c r="H6" s="321"/>
      <c r="I6" s="321"/>
      <c r="J6" s="321"/>
      <c r="K6" s="321"/>
      <c r="L6" s="321"/>
      <c r="M6" s="321"/>
      <c r="N6" s="321"/>
      <c r="O6" s="321"/>
      <c r="P6" s="321"/>
      <c r="Q6" s="321"/>
      <c r="R6" s="321"/>
      <c r="S6" s="321"/>
      <c r="T6" s="321"/>
      <c r="U6" s="321"/>
      <c r="V6" s="321"/>
      <c r="W6" s="321"/>
      <c r="X6" s="321"/>
      <c r="Y6" s="321"/>
      <c r="Z6" s="321"/>
      <c r="AA6" s="321"/>
      <c r="AB6" s="1119"/>
      <c r="AC6" s="1119"/>
      <c r="AD6" s="1119"/>
      <c r="AE6" s="321"/>
      <c r="AF6" s="321"/>
      <c r="AG6" s="321"/>
      <c r="AH6" s="321"/>
    </row>
    <row r="7" spans="1:34" s="633" customFormat="1" ht="20.25" hidden="1" customHeight="1" x14ac:dyDescent="0.45">
      <c r="A7" s="1539" t="s">
        <v>706</v>
      </c>
      <c r="B7" s="1539"/>
      <c r="C7" s="1539"/>
      <c r="D7" s="1539"/>
      <c r="E7" s="1539"/>
      <c r="F7" s="1539"/>
      <c r="G7" s="1539"/>
      <c r="H7" s="1539"/>
      <c r="I7" s="1539"/>
      <c r="J7" s="1539"/>
      <c r="K7" s="1539"/>
      <c r="L7" s="1539"/>
      <c r="M7" s="1539"/>
      <c r="N7" s="1539"/>
      <c r="O7" s="1539"/>
      <c r="P7" s="1539"/>
      <c r="Q7" s="1539"/>
      <c r="R7" s="1539"/>
      <c r="S7" s="710"/>
      <c r="T7" s="711"/>
      <c r="U7" s="711"/>
      <c r="V7" s="711"/>
      <c r="W7" s="711"/>
      <c r="X7" s="711"/>
      <c r="Y7" s="711"/>
      <c r="Z7" s="711"/>
      <c r="AA7" s="711"/>
      <c r="AB7" s="1120"/>
      <c r="AC7" s="1120"/>
      <c r="AD7" s="1120"/>
      <c r="AE7" s="711"/>
      <c r="AF7" s="711"/>
    </row>
    <row r="8" spans="1:34" ht="31.5" hidden="1" x14ac:dyDescent="0.45">
      <c r="D8" s="321"/>
      <c r="E8" s="504"/>
      <c r="F8" s="505"/>
      <c r="G8" s="504"/>
      <c r="H8" s="504"/>
      <c r="I8" s="504"/>
      <c r="J8" s="504"/>
      <c r="K8" s="504"/>
      <c r="L8" s="504"/>
      <c r="M8" s="504"/>
      <c r="N8" s="504"/>
      <c r="O8" s="504"/>
      <c r="P8" s="504"/>
      <c r="Q8" s="504"/>
      <c r="R8" s="504"/>
      <c r="S8" s="505"/>
      <c r="T8" s="321"/>
      <c r="U8" s="321"/>
      <c r="V8" s="321"/>
      <c r="W8" s="321"/>
      <c r="X8" s="321"/>
      <c r="Y8" s="321"/>
      <c r="Z8" s="321"/>
      <c r="AA8" s="321"/>
      <c r="AB8" s="1121"/>
      <c r="AC8" s="1121"/>
      <c r="AD8" s="1121"/>
      <c r="AE8" s="321"/>
      <c r="AF8" s="321"/>
    </row>
    <row r="9" spans="1:34" ht="51.75" hidden="1" customHeight="1" x14ac:dyDescent="0.25">
      <c r="A9" s="1532" t="s">
        <v>718</v>
      </c>
      <c r="B9" s="1532" t="s">
        <v>471</v>
      </c>
      <c r="C9" s="1532" t="s">
        <v>347</v>
      </c>
      <c r="D9" s="1537" t="s">
        <v>261</v>
      </c>
      <c r="E9" s="1522" t="s">
        <v>262</v>
      </c>
      <c r="F9" s="1523"/>
      <c r="G9" s="1524"/>
      <c r="H9" s="1522" t="s">
        <v>263</v>
      </c>
      <c r="I9" s="1523"/>
      <c r="J9" s="1524"/>
      <c r="K9" s="1541" t="s">
        <v>264</v>
      </c>
      <c r="L9" s="1542"/>
      <c r="M9" s="1543"/>
      <c r="N9" s="1544" t="s">
        <v>265</v>
      </c>
      <c r="O9" s="1545"/>
      <c r="P9" s="1546"/>
      <c r="Q9" s="1537" t="s">
        <v>245</v>
      </c>
      <c r="T9" s="520"/>
      <c r="U9" s="520"/>
      <c r="V9" s="520"/>
      <c r="W9" s="520"/>
      <c r="X9" s="520"/>
      <c r="Y9" s="520"/>
      <c r="Z9" s="520"/>
      <c r="AA9" s="520"/>
      <c r="AB9" s="1122"/>
      <c r="AC9" s="1122"/>
      <c r="AD9" s="1123"/>
      <c r="AE9" s="520"/>
      <c r="AF9" s="520"/>
    </row>
    <row r="10" spans="1:34" hidden="1" x14ac:dyDescent="0.25">
      <c r="A10" s="1532"/>
      <c r="B10" s="1532"/>
      <c r="C10" s="1532"/>
      <c r="D10" s="1547"/>
      <c r="E10" s="821" t="s">
        <v>820</v>
      </c>
      <c r="F10" s="821" t="s">
        <v>821</v>
      </c>
      <c r="G10" s="821" t="s">
        <v>822</v>
      </c>
      <c r="H10" s="821" t="s">
        <v>820</v>
      </c>
      <c r="I10" s="821" t="s">
        <v>821</v>
      </c>
      <c r="J10" s="821" t="s">
        <v>822</v>
      </c>
      <c r="K10" s="821" t="s">
        <v>820</v>
      </c>
      <c r="L10" s="821" t="s">
        <v>821</v>
      </c>
      <c r="M10" s="821" t="s">
        <v>822</v>
      </c>
      <c r="N10" s="821" t="s">
        <v>820</v>
      </c>
      <c r="O10" s="821" t="s">
        <v>821</v>
      </c>
      <c r="P10" s="821" t="s">
        <v>822</v>
      </c>
      <c r="Q10" s="1538"/>
      <c r="T10" s="520"/>
      <c r="U10" s="520"/>
      <c r="V10" s="520"/>
      <c r="W10" s="520"/>
      <c r="X10" s="520"/>
      <c r="Y10" s="520"/>
      <c r="Z10" s="520"/>
      <c r="AA10" s="520"/>
      <c r="AB10" s="1528" t="s">
        <v>884</v>
      </c>
      <c r="AC10" s="1529"/>
      <c r="AD10" s="1530"/>
      <c r="AE10" s="520"/>
      <c r="AF10" s="520"/>
    </row>
    <row r="11" spans="1:34" ht="21" hidden="1" customHeight="1" x14ac:dyDescent="0.25">
      <c r="A11" s="554">
        <v>1</v>
      </c>
      <c r="B11" s="554">
        <v>2</v>
      </c>
      <c r="C11" s="554">
        <v>3</v>
      </c>
      <c r="D11" s="554">
        <v>4</v>
      </c>
      <c r="E11" s="554">
        <v>5</v>
      </c>
      <c r="F11" s="554">
        <v>6</v>
      </c>
      <c r="G11" s="554">
        <v>7</v>
      </c>
      <c r="H11" s="554">
        <v>8</v>
      </c>
      <c r="I11" s="554">
        <v>9</v>
      </c>
      <c r="J11" s="554">
        <v>10</v>
      </c>
      <c r="K11" s="554">
        <v>11</v>
      </c>
      <c r="L11" s="554">
        <v>12</v>
      </c>
      <c r="M11" s="554">
        <v>13</v>
      </c>
      <c r="N11" s="554">
        <v>14</v>
      </c>
      <c r="O11" s="554">
        <v>15</v>
      </c>
      <c r="P11" s="554">
        <v>16</v>
      </c>
      <c r="Q11" s="554">
        <v>17</v>
      </c>
      <c r="T11" s="520"/>
      <c r="U11" s="520"/>
      <c r="V11" s="520"/>
      <c r="W11" s="520"/>
      <c r="X11" s="520"/>
      <c r="Y11" s="520"/>
      <c r="Z11" s="520"/>
      <c r="AA11" s="520"/>
      <c r="AB11" s="1131"/>
      <c r="AC11" s="1131"/>
      <c r="AD11" s="1131"/>
      <c r="AE11" s="520"/>
      <c r="AF11" s="520"/>
    </row>
    <row r="12" spans="1:34" ht="13.5" hidden="1" customHeight="1" x14ac:dyDescent="0.25">
      <c r="A12" s="1533">
        <v>1110</v>
      </c>
      <c r="B12" s="1533">
        <v>120</v>
      </c>
      <c r="C12" s="1533">
        <v>121</v>
      </c>
      <c r="D12" s="526" t="s">
        <v>266</v>
      </c>
      <c r="E12" s="527" t="s">
        <v>267</v>
      </c>
      <c r="F12" s="527" t="s">
        <v>267</v>
      </c>
      <c r="G12" s="527" t="s">
        <v>267</v>
      </c>
      <c r="H12" s="527" t="s">
        <v>267</v>
      </c>
      <c r="I12" s="527" t="s">
        <v>267</v>
      </c>
      <c r="J12" s="527" t="s">
        <v>267</v>
      </c>
      <c r="K12" s="527" t="s">
        <v>267</v>
      </c>
      <c r="L12" s="527" t="s">
        <v>267</v>
      </c>
      <c r="M12" s="527" t="s">
        <v>267</v>
      </c>
      <c r="N12" s="528">
        <f>N13+N14</f>
        <v>0</v>
      </c>
      <c r="O12" s="528">
        <f t="shared" ref="O12:P12" si="0">O13+O14</f>
        <v>0</v>
      </c>
      <c r="P12" s="528">
        <f t="shared" si="0"/>
        <v>0</v>
      </c>
      <c r="Q12" s="529"/>
      <c r="T12" s="520"/>
      <c r="U12" s="520"/>
      <c r="V12" s="520"/>
      <c r="W12" s="520"/>
      <c r="X12" s="520"/>
      <c r="Y12" s="520"/>
      <c r="Z12" s="520"/>
      <c r="AA12" s="520"/>
      <c r="AB12" s="1132"/>
      <c r="AC12" s="1132"/>
      <c r="AD12" s="1132"/>
      <c r="AE12" s="520"/>
      <c r="AF12" s="520"/>
    </row>
    <row r="13" spans="1:34" ht="21" hidden="1" customHeight="1" x14ac:dyDescent="0.25">
      <c r="A13" s="1534"/>
      <c r="B13" s="1534"/>
      <c r="C13" s="1534"/>
      <c r="D13" s="303" t="s">
        <v>232</v>
      </c>
      <c r="E13" s="303"/>
      <c r="F13" s="303"/>
      <c r="G13" s="303"/>
      <c r="H13" s="303"/>
      <c r="I13" s="303"/>
      <c r="J13" s="303"/>
      <c r="K13" s="303"/>
      <c r="L13" s="303"/>
      <c r="M13" s="303"/>
      <c r="N13" s="360"/>
      <c r="O13" s="360"/>
      <c r="P13" s="360"/>
      <c r="Q13" s="530"/>
      <c r="T13" s="520"/>
      <c r="U13" s="520"/>
      <c r="V13" s="520"/>
      <c r="W13" s="520"/>
      <c r="X13" s="520"/>
      <c r="Y13" s="520"/>
      <c r="Z13" s="520"/>
      <c r="AA13" s="520"/>
      <c r="AB13" s="1133"/>
      <c r="AC13" s="1133"/>
      <c r="AD13" s="1133"/>
      <c r="AE13" s="520"/>
      <c r="AF13" s="520"/>
    </row>
    <row r="14" spans="1:34" ht="19.5" hidden="1" customHeight="1" x14ac:dyDescent="0.25">
      <c r="A14" s="1534"/>
      <c r="B14" s="1534"/>
      <c r="C14" s="1534"/>
      <c r="D14" s="531"/>
      <c r="E14" s="353"/>
      <c r="F14" s="353"/>
      <c r="G14" s="353"/>
      <c r="H14" s="353"/>
      <c r="I14" s="353"/>
      <c r="J14" s="353"/>
      <c r="K14" s="353"/>
      <c r="L14" s="353"/>
      <c r="M14" s="353"/>
      <c r="N14" s="360">
        <f>E14*H14*K14</f>
        <v>0</v>
      </c>
      <c r="O14" s="360">
        <f>F14*I14*L14</f>
        <v>0</v>
      </c>
      <c r="P14" s="360">
        <f>G14*J14*M14</f>
        <v>0</v>
      </c>
      <c r="Q14" s="532"/>
      <c r="T14" s="520"/>
      <c r="U14" s="520"/>
      <c r="V14" s="520"/>
      <c r="W14" s="520"/>
      <c r="X14" s="520"/>
      <c r="Y14" s="520"/>
      <c r="Z14" s="520"/>
      <c r="AA14" s="520"/>
      <c r="AB14" s="1133"/>
      <c r="AC14" s="1133"/>
      <c r="AD14" s="1133"/>
      <c r="AE14" s="520"/>
      <c r="AF14" s="520"/>
    </row>
    <row r="15" spans="1:34" ht="21.75" hidden="1" customHeight="1" x14ac:dyDescent="0.25">
      <c r="A15" s="1534"/>
      <c r="B15" s="1534"/>
      <c r="C15" s="1534"/>
      <c r="D15" s="526" t="s">
        <v>273</v>
      </c>
      <c r="E15" s="528" t="s">
        <v>267</v>
      </c>
      <c r="F15" s="528" t="s">
        <v>267</v>
      </c>
      <c r="G15" s="528" t="s">
        <v>267</v>
      </c>
      <c r="H15" s="528" t="s">
        <v>267</v>
      </c>
      <c r="I15" s="528" t="s">
        <v>267</v>
      </c>
      <c r="J15" s="528" t="s">
        <v>267</v>
      </c>
      <c r="K15" s="528" t="s">
        <v>267</v>
      </c>
      <c r="L15" s="528" t="s">
        <v>267</v>
      </c>
      <c r="M15" s="528" t="s">
        <v>267</v>
      </c>
      <c r="N15" s="528">
        <f>N17</f>
        <v>0</v>
      </c>
      <c r="O15" s="528">
        <f>O17</f>
        <v>0</v>
      </c>
      <c r="P15" s="528">
        <f>P17</f>
        <v>0</v>
      </c>
      <c r="Q15" s="529"/>
      <c r="T15" s="520"/>
      <c r="U15" s="520"/>
      <c r="V15" s="520"/>
      <c r="W15" s="520"/>
      <c r="X15" s="520"/>
      <c r="Y15" s="520"/>
      <c r="Z15" s="520"/>
      <c r="AA15" s="520"/>
      <c r="AB15" s="1133"/>
      <c r="AC15" s="1133"/>
      <c r="AD15" s="1133"/>
      <c r="AE15" s="520"/>
      <c r="AF15" s="520"/>
    </row>
    <row r="16" spans="1:34" ht="12" hidden="1" customHeight="1" x14ac:dyDescent="0.25">
      <c r="A16" s="1534"/>
      <c r="B16" s="1534"/>
      <c r="C16" s="1534"/>
      <c r="D16" s="303" t="s">
        <v>232</v>
      </c>
      <c r="E16" s="360"/>
      <c r="F16" s="360"/>
      <c r="G16" s="360"/>
      <c r="H16" s="360"/>
      <c r="I16" s="360"/>
      <c r="J16" s="360"/>
      <c r="K16" s="360"/>
      <c r="L16" s="360"/>
      <c r="M16" s="360"/>
      <c r="N16" s="360"/>
      <c r="O16" s="360"/>
      <c r="P16" s="360"/>
      <c r="Q16" s="530"/>
      <c r="T16" s="520"/>
      <c r="U16" s="520"/>
      <c r="V16" s="520"/>
      <c r="W16" s="520"/>
      <c r="X16" s="520"/>
      <c r="Y16" s="520"/>
      <c r="Z16" s="520"/>
      <c r="AA16" s="520"/>
      <c r="AB16" s="1133"/>
      <c r="AC16" s="1133"/>
      <c r="AD16" s="1133"/>
      <c r="AE16" s="520"/>
      <c r="AF16" s="520"/>
    </row>
    <row r="17" spans="1:13740" ht="18" hidden="1" customHeight="1" x14ac:dyDescent="0.25">
      <c r="A17" s="1535"/>
      <c r="B17" s="1535"/>
      <c r="C17" s="1535"/>
      <c r="D17" s="303"/>
      <c r="E17" s="360"/>
      <c r="F17" s="360"/>
      <c r="G17" s="360"/>
      <c r="H17" s="360"/>
      <c r="I17" s="360"/>
      <c r="J17" s="360"/>
      <c r="K17" s="360"/>
      <c r="L17" s="360"/>
      <c r="M17" s="360"/>
      <c r="N17" s="360">
        <f>E17*H17*K17</f>
        <v>0</v>
      </c>
      <c r="O17" s="360">
        <f>F17*I17*L17</f>
        <v>0</v>
      </c>
      <c r="P17" s="360">
        <f>G17*J17*M17</f>
        <v>0</v>
      </c>
      <c r="Q17" s="530"/>
      <c r="T17" s="520"/>
      <c r="U17" s="520"/>
      <c r="V17" s="520"/>
      <c r="W17" s="520"/>
      <c r="X17" s="520"/>
      <c r="Y17" s="520"/>
      <c r="Z17" s="520"/>
      <c r="AA17" s="520"/>
      <c r="AB17" s="1133"/>
      <c r="AC17" s="1133"/>
      <c r="AD17" s="1133"/>
      <c r="AE17" s="520"/>
      <c r="AF17" s="520"/>
    </row>
    <row r="18" spans="1:13740" ht="25.5" hidden="1" customHeight="1" x14ac:dyDescent="0.25">
      <c r="A18" s="512"/>
      <c r="B18" s="512"/>
      <c r="C18" s="512"/>
      <c r="D18" s="305" t="s">
        <v>72</v>
      </c>
      <c r="E18" s="307" t="s">
        <v>267</v>
      </c>
      <c r="F18" s="307" t="s">
        <v>267</v>
      </c>
      <c r="G18" s="307" t="s">
        <v>267</v>
      </c>
      <c r="H18" s="307" t="s">
        <v>267</v>
      </c>
      <c r="I18" s="307" t="s">
        <v>267</v>
      </c>
      <c r="J18" s="307" t="s">
        <v>267</v>
      </c>
      <c r="K18" s="307" t="s">
        <v>267</v>
      </c>
      <c r="L18" s="307" t="s">
        <v>267</v>
      </c>
      <c r="M18" s="307" t="s">
        <v>267</v>
      </c>
      <c r="N18" s="307">
        <f>N12+N15</f>
        <v>0</v>
      </c>
      <c r="O18" s="307">
        <f t="shared" ref="O18:P18" si="1">O12+O15</f>
        <v>0</v>
      </c>
      <c r="P18" s="307">
        <f t="shared" si="1"/>
        <v>0</v>
      </c>
      <c r="Q18" s="533"/>
      <c r="T18" s="520"/>
      <c r="U18" s="520"/>
      <c r="V18" s="520"/>
      <c r="W18" s="520"/>
      <c r="X18" s="520"/>
      <c r="Y18" s="520"/>
      <c r="Z18" s="520"/>
      <c r="AA18" s="520"/>
      <c r="AB18" s="1133"/>
      <c r="AC18" s="1133"/>
      <c r="AD18" s="1133"/>
      <c r="AE18" s="520"/>
      <c r="AF18" s="520"/>
    </row>
    <row r="19" spans="1:13740" x14ac:dyDescent="0.25">
      <c r="D19" s="321"/>
      <c r="E19" s="321"/>
      <c r="F19" s="321"/>
      <c r="G19" s="321"/>
      <c r="H19" s="321"/>
      <c r="I19" s="321"/>
      <c r="J19" s="321"/>
      <c r="K19" s="321"/>
      <c r="L19" s="321"/>
      <c r="M19" s="321"/>
      <c r="N19" s="321"/>
      <c r="O19" s="321"/>
      <c r="P19" s="321"/>
      <c r="Q19" s="321"/>
      <c r="R19" s="321"/>
      <c r="S19" s="321"/>
      <c r="T19" s="321"/>
      <c r="U19" s="321"/>
      <c r="V19" s="321"/>
      <c r="W19" s="321"/>
      <c r="X19" s="321"/>
      <c r="Y19" s="321"/>
      <c r="Z19" s="321"/>
      <c r="AA19" s="321"/>
      <c r="AB19" s="1133"/>
      <c r="AC19" s="1133"/>
      <c r="AD19" s="1133"/>
      <c r="AE19" s="321"/>
      <c r="AF19" s="321"/>
    </row>
    <row r="20" spans="1:13740" x14ac:dyDescent="0.25">
      <c r="D20" s="321"/>
      <c r="E20" s="321"/>
      <c r="F20" s="321"/>
      <c r="G20" s="321"/>
      <c r="H20" s="321"/>
      <c r="I20" s="321"/>
      <c r="J20" s="321"/>
      <c r="K20" s="321"/>
      <c r="L20" s="321"/>
      <c r="M20" s="321"/>
      <c r="N20" s="321"/>
      <c r="O20" s="321"/>
      <c r="P20" s="321"/>
      <c r="Q20" s="321"/>
      <c r="R20" s="321"/>
      <c r="S20" s="321"/>
      <c r="T20" s="321"/>
      <c r="U20" s="321"/>
      <c r="V20" s="321"/>
      <c r="W20" s="321"/>
      <c r="X20" s="321"/>
      <c r="Y20" s="321"/>
      <c r="Z20" s="321"/>
      <c r="AA20" s="321"/>
      <c r="AB20" s="1133"/>
      <c r="AC20" s="1133"/>
      <c r="AD20" s="1133"/>
      <c r="AE20" s="321"/>
      <c r="AF20" s="321"/>
    </row>
    <row r="21" spans="1:13740" s="633" customFormat="1" ht="25.5" customHeight="1" x14ac:dyDescent="0.25">
      <c r="A21" s="1511" t="s">
        <v>719</v>
      </c>
      <c r="B21" s="1511"/>
      <c r="C21" s="1511"/>
      <c r="D21" s="1511"/>
      <c r="E21" s="1511"/>
      <c r="F21" s="1511"/>
      <c r="G21" s="1511"/>
      <c r="H21" s="1511"/>
      <c r="I21" s="1511"/>
      <c r="J21" s="1511"/>
      <c r="K21" s="1511"/>
      <c r="L21" s="1511"/>
      <c r="M21" s="1511"/>
      <c r="N21" s="1511"/>
      <c r="O21" s="1511"/>
      <c r="P21" s="1511"/>
      <c r="Q21" s="1511"/>
      <c r="R21" s="1511"/>
      <c r="S21" s="1511"/>
      <c r="T21" s="1511"/>
      <c r="U21" s="1511"/>
      <c r="V21" s="1511"/>
      <c r="W21" s="1511"/>
      <c r="X21" s="1511"/>
      <c r="Y21" s="1511"/>
      <c r="Z21" s="1511"/>
      <c r="AA21" s="1511"/>
      <c r="AB21" s="1511"/>
      <c r="AC21" s="1511"/>
      <c r="AD21" s="1511"/>
      <c r="AE21" s="1511"/>
      <c r="AF21" s="1511"/>
      <c r="AG21" s="1511"/>
    </row>
    <row r="22" spans="1:13740" ht="20.25" x14ac:dyDescent="0.25">
      <c r="D22" s="517"/>
      <c r="E22" s="518"/>
      <c r="F22" s="518"/>
      <c r="G22" s="518"/>
      <c r="H22" s="518"/>
      <c r="I22" s="518"/>
      <c r="J22" s="518"/>
      <c r="K22" s="518"/>
      <c r="L22" s="518"/>
      <c r="M22" s="518"/>
      <c r="N22" s="518"/>
      <c r="O22" s="518"/>
      <c r="P22" s="518"/>
      <c r="Q22" s="518"/>
      <c r="R22" s="518"/>
      <c r="S22" s="518"/>
      <c r="T22" s="518"/>
      <c r="U22" s="518"/>
      <c r="V22" s="518"/>
      <c r="W22" s="518"/>
      <c r="X22" s="518"/>
      <c r="Y22" s="518"/>
      <c r="Z22" s="518"/>
      <c r="AA22" s="518"/>
      <c r="AB22" s="1134"/>
      <c r="AC22" s="1134"/>
      <c r="AD22" s="1134"/>
      <c r="AE22" s="518"/>
      <c r="AF22" s="518"/>
      <c r="AG22" s="518"/>
    </row>
    <row r="23" spans="1:13740" s="513" customFormat="1" ht="15" customHeight="1" x14ac:dyDescent="0.25">
      <c r="A23" s="1513" t="s">
        <v>718</v>
      </c>
      <c r="B23" s="1513" t="s">
        <v>471</v>
      </c>
      <c r="C23" s="1513" t="s">
        <v>347</v>
      </c>
      <c r="D23" s="1540" t="s">
        <v>360</v>
      </c>
      <c r="E23" s="1519" t="s">
        <v>908</v>
      </c>
      <c r="F23" s="1548" t="s">
        <v>361</v>
      </c>
      <c r="G23" s="1531" t="s">
        <v>362</v>
      </c>
      <c r="H23" s="1531"/>
      <c r="I23" s="1531"/>
      <c r="J23" s="1531"/>
      <c r="K23" s="1531"/>
      <c r="L23" s="1531"/>
      <c r="M23" s="1531"/>
      <c r="N23" s="1531"/>
      <c r="O23" s="1531"/>
      <c r="P23" s="1531"/>
      <c r="Q23" s="1531"/>
      <c r="R23" s="1531"/>
      <c r="S23" s="1531"/>
      <c r="T23" s="1531"/>
      <c r="U23" s="1531"/>
      <c r="V23" s="1531"/>
      <c r="W23" s="1531"/>
      <c r="X23" s="1531"/>
      <c r="Y23" s="1531"/>
      <c r="Z23" s="1531"/>
      <c r="AA23" s="1531"/>
      <c r="AB23" s="1531"/>
      <c r="AC23" s="1531"/>
      <c r="AD23" s="1531"/>
      <c r="AE23" s="1519" t="s">
        <v>873</v>
      </c>
      <c r="AF23" s="1516" t="s">
        <v>909</v>
      </c>
      <c r="AG23" s="1516" t="s">
        <v>910</v>
      </c>
    </row>
    <row r="24" spans="1:13740" s="513" customFormat="1" ht="57" customHeight="1" x14ac:dyDescent="0.25">
      <c r="A24" s="1513"/>
      <c r="B24" s="1513"/>
      <c r="C24" s="1513"/>
      <c r="D24" s="1540"/>
      <c r="E24" s="1520"/>
      <c r="F24" s="1548"/>
      <c r="G24" s="1525" t="s">
        <v>720</v>
      </c>
      <c r="H24" s="1526"/>
      <c r="I24" s="1527"/>
      <c r="J24" s="1512" t="s">
        <v>363</v>
      </c>
      <c r="K24" s="1512"/>
      <c r="L24" s="1512"/>
      <c r="M24" s="1512" t="s">
        <v>721</v>
      </c>
      <c r="N24" s="1512"/>
      <c r="O24" s="1512"/>
      <c r="P24" s="1512" t="s">
        <v>722</v>
      </c>
      <c r="Q24" s="1512"/>
      <c r="R24" s="1512"/>
      <c r="S24" s="1512" t="s">
        <v>364</v>
      </c>
      <c r="T24" s="1512"/>
      <c r="U24" s="1512"/>
      <c r="V24" s="1512" t="s">
        <v>365</v>
      </c>
      <c r="W24" s="1512"/>
      <c r="X24" s="1512"/>
      <c r="Y24" s="1525" t="s">
        <v>366</v>
      </c>
      <c r="Z24" s="1526"/>
      <c r="AA24" s="1527"/>
      <c r="AB24" s="1525" t="s">
        <v>884</v>
      </c>
      <c r="AC24" s="1526"/>
      <c r="AD24" s="1527"/>
      <c r="AE24" s="1520"/>
      <c r="AF24" s="1517"/>
      <c r="AG24" s="1517"/>
      <c r="AH24" s="534"/>
      <c r="AI24" s="535"/>
      <c r="AJ24" s="535"/>
      <c r="AK24" s="535"/>
      <c r="AL24" s="535"/>
      <c r="AM24" s="535"/>
      <c r="AN24" s="535"/>
      <c r="AO24" s="535"/>
      <c r="AP24" s="535"/>
      <c r="AQ24" s="535"/>
      <c r="AR24" s="535"/>
      <c r="AS24" s="535"/>
      <c r="AT24" s="535"/>
      <c r="AU24" s="535"/>
      <c r="AV24" s="535"/>
      <c r="AW24" s="535"/>
      <c r="AX24" s="535"/>
      <c r="AY24" s="535"/>
      <c r="AZ24" s="535"/>
      <c r="BA24" s="535"/>
      <c r="BB24" s="535"/>
      <c r="BC24" s="535"/>
      <c r="BD24" s="535"/>
      <c r="BE24" s="535"/>
      <c r="BF24" s="535"/>
      <c r="BG24" s="535"/>
      <c r="BH24" s="535"/>
      <c r="BI24" s="535"/>
      <c r="BJ24" s="535"/>
      <c r="BK24" s="535"/>
      <c r="BL24" s="535"/>
      <c r="BM24" s="535"/>
      <c r="BN24" s="535"/>
      <c r="BO24" s="535"/>
      <c r="BP24" s="535"/>
      <c r="BQ24" s="535"/>
      <c r="BR24" s="535"/>
      <c r="BS24" s="535"/>
      <c r="BT24" s="535"/>
      <c r="BU24" s="535"/>
      <c r="BV24" s="535"/>
      <c r="BW24" s="535"/>
      <c r="BX24" s="535"/>
      <c r="BY24" s="535"/>
      <c r="BZ24" s="535"/>
      <c r="CA24" s="535"/>
      <c r="CB24" s="535"/>
      <c r="CC24" s="535"/>
      <c r="CD24" s="535"/>
      <c r="CE24" s="535"/>
      <c r="CF24" s="535"/>
      <c r="CG24" s="535"/>
      <c r="CH24" s="535"/>
      <c r="CI24" s="535"/>
      <c r="CJ24" s="535"/>
      <c r="CK24" s="535"/>
      <c r="CL24" s="535"/>
      <c r="CM24" s="535"/>
      <c r="CN24" s="535"/>
      <c r="CO24" s="535"/>
      <c r="CP24" s="535"/>
      <c r="CQ24" s="535"/>
      <c r="CR24" s="535"/>
      <c r="CS24" s="535"/>
      <c r="CT24" s="535"/>
      <c r="CU24" s="535"/>
      <c r="CV24" s="535"/>
      <c r="CW24" s="535"/>
      <c r="CX24" s="535"/>
      <c r="CY24" s="535"/>
      <c r="CZ24" s="535"/>
      <c r="DA24" s="535"/>
      <c r="DB24" s="535"/>
      <c r="DC24" s="535"/>
      <c r="DD24" s="535"/>
      <c r="DE24" s="535"/>
      <c r="DF24" s="535"/>
      <c r="DG24" s="535"/>
      <c r="DH24" s="535"/>
      <c r="DI24" s="535"/>
      <c r="DJ24" s="535"/>
      <c r="DK24" s="535"/>
      <c r="DL24" s="535"/>
      <c r="DM24" s="535"/>
      <c r="DN24" s="535"/>
      <c r="DO24" s="535"/>
      <c r="DP24" s="535"/>
      <c r="DQ24" s="535"/>
      <c r="DR24" s="535"/>
      <c r="DS24" s="535"/>
      <c r="DT24" s="535"/>
      <c r="DU24" s="535"/>
      <c r="DV24" s="535"/>
      <c r="DW24" s="535"/>
      <c r="DX24" s="535"/>
      <c r="DY24" s="535"/>
      <c r="DZ24" s="535"/>
      <c r="EA24" s="535"/>
      <c r="EB24" s="535"/>
      <c r="EC24" s="535"/>
      <c r="ED24" s="535"/>
      <c r="EE24" s="535"/>
      <c r="EF24" s="535"/>
      <c r="EG24" s="535"/>
      <c r="EH24" s="535"/>
      <c r="EI24" s="535"/>
      <c r="EJ24" s="535"/>
      <c r="EK24" s="535"/>
      <c r="EL24" s="535"/>
      <c r="EM24" s="535"/>
      <c r="EN24" s="535"/>
      <c r="EO24" s="535"/>
      <c r="EP24" s="535"/>
      <c r="EQ24" s="535"/>
      <c r="ER24" s="535"/>
      <c r="ES24" s="535"/>
      <c r="ET24" s="535"/>
      <c r="EU24" s="535"/>
      <c r="EV24" s="535"/>
      <c r="EW24" s="535"/>
      <c r="EX24" s="535"/>
      <c r="EY24" s="535"/>
      <c r="EZ24" s="535"/>
      <c r="FA24" s="535"/>
      <c r="FB24" s="535"/>
      <c r="FC24" s="535"/>
      <c r="FD24" s="535"/>
      <c r="FE24" s="535"/>
      <c r="FF24" s="535"/>
      <c r="FG24" s="535"/>
      <c r="FH24" s="535"/>
      <c r="FI24" s="535"/>
      <c r="FJ24" s="535"/>
      <c r="FK24" s="535"/>
      <c r="FL24" s="535"/>
      <c r="FM24" s="535"/>
      <c r="FN24" s="535"/>
      <c r="FO24" s="535"/>
      <c r="FP24" s="535"/>
      <c r="FQ24" s="535"/>
      <c r="FR24" s="535"/>
      <c r="FS24" s="535"/>
      <c r="FT24" s="535"/>
      <c r="FU24" s="535"/>
      <c r="FV24" s="535"/>
      <c r="FW24" s="535"/>
      <c r="FX24" s="535"/>
      <c r="FY24" s="535"/>
      <c r="FZ24" s="535"/>
      <c r="GA24" s="535"/>
      <c r="GB24" s="535"/>
      <c r="GC24" s="535"/>
      <c r="GD24" s="535"/>
      <c r="GE24" s="535"/>
      <c r="GF24" s="535"/>
      <c r="GG24" s="535"/>
      <c r="GH24" s="535"/>
      <c r="GI24" s="535"/>
      <c r="GJ24" s="535"/>
      <c r="GK24" s="535"/>
      <c r="GL24" s="535"/>
      <c r="GM24" s="535"/>
      <c r="GN24" s="535"/>
      <c r="GO24" s="535"/>
      <c r="GP24" s="535"/>
      <c r="GQ24" s="535"/>
      <c r="GR24" s="535"/>
      <c r="GS24" s="535"/>
      <c r="GT24" s="535"/>
      <c r="GU24" s="535"/>
      <c r="GV24" s="535"/>
      <c r="GW24" s="535"/>
      <c r="GX24" s="535"/>
      <c r="GY24" s="535"/>
      <c r="GZ24" s="535"/>
      <c r="HA24" s="535"/>
      <c r="HB24" s="535"/>
      <c r="HC24" s="535"/>
      <c r="HD24" s="535"/>
      <c r="HE24" s="535"/>
      <c r="HF24" s="535"/>
      <c r="HG24" s="535"/>
      <c r="HH24" s="535"/>
      <c r="HI24" s="535"/>
      <c r="HJ24" s="535"/>
      <c r="HK24" s="535"/>
      <c r="HL24" s="535"/>
      <c r="HM24" s="535"/>
      <c r="HN24" s="535"/>
      <c r="HO24" s="535"/>
      <c r="HP24" s="535"/>
      <c r="HQ24" s="535"/>
      <c r="HR24" s="535"/>
      <c r="HS24" s="535"/>
      <c r="HT24" s="535"/>
      <c r="HU24" s="535"/>
      <c r="HV24" s="535"/>
      <c r="HW24" s="535"/>
      <c r="HX24" s="535"/>
      <c r="HY24" s="535"/>
      <c r="HZ24" s="535"/>
      <c r="IA24" s="535"/>
      <c r="IB24" s="535"/>
      <c r="IC24" s="535"/>
      <c r="ID24" s="535"/>
      <c r="IE24" s="535"/>
      <c r="IF24" s="535"/>
      <c r="IG24" s="535"/>
      <c r="IH24" s="535"/>
      <c r="II24" s="535"/>
      <c r="IJ24" s="535"/>
      <c r="IK24" s="535"/>
      <c r="IL24" s="535"/>
      <c r="IM24" s="535"/>
      <c r="IN24" s="535"/>
      <c r="IO24" s="535"/>
      <c r="IP24" s="535"/>
      <c r="IQ24" s="535"/>
      <c r="IR24" s="535"/>
      <c r="IS24" s="535"/>
      <c r="IT24" s="535"/>
      <c r="IU24" s="535"/>
      <c r="IV24" s="535"/>
      <c r="IW24" s="535"/>
      <c r="IX24" s="535"/>
      <c r="IY24" s="535"/>
      <c r="IZ24" s="535"/>
      <c r="JA24" s="535"/>
      <c r="JB24" s="535"/>
      <c r="JC24" s="535"/>
      <c r="JD24" s="535"/>
      <c r="JE24" s="535"/>
      <c r="JF24" s="535"/>
      <c r="JG24" s="535"/>
      <c r="JH24" s="535"/>
      <c r="JI24" s="535"/>
      <c r="JJ24" s="535"/>
      <c r="JK24" s="535"/>
      <c r="JL24" s="535"/>
      <c r="JM24" s="535"/>
      <c r="JN24" s="535"/>
      <c r="JO24" s="535"/>
      <c r="JP24" s="535"/>
      <c r="JQ24" s="535"/>
      <c r="JR24" s="535"/>
      <c r="JS24" s="535"/>
      <c r="JT24" s="535"/>
      <c r="JU24" s="535"/>
      <c r="JV24" s="535"/>
      <c r="JW24" s="535"/>
      <c r="JX24" s="535"/>
      <c r="JY24" s="535"/>
      <c r="JZ24" s="535"/>
      <c r="KA24" s="535"/>
      <c r="KB24" s="535"/>
      <c r="KC24" s="535"/>
      <c r="KD24" s="535"/>
      <c r="KE24" s="535"/>
      <c r="KF24" s="535"/>
      <c r="KG24" s="535"/>
      <c r="KH24" s="535"/>
      <c r="KI24" s="535"/>
      <c r="KJ24" s="535"/>
      <c r="KK24" s="535"/>
      <c r="KL24" s="535"/>
      <c r="KM24" s="535"/>
      <c r="KN24" s="535"/>
      <c r="KO24" s="535"/>
      <c r="KP24" s="535"/>
      <c r="KQ24" s="535"/>
      <c r="KR24" s="535"/>
      <c r="KS24" s="535"/>
      <c r="KT24" s="535"/>
      <c r="KU24" s="535"/>
      <c r="KV24" s="535"/>
      <c r="KW24" s="535"/>
      <c r="KX24" s="535"/>
      <c r="KY24" s="535"/>
      <c r="KZ24" s="535"/>
      <c r="LA24" s="535"/>
      <c r="LB24" s="535"/>
      <c r="LC24" s="535"/>
      <c r="LD24" s="535"/>
      <c r="LE24" s="535"/>
      <c r="LF24" s="535"/>
      <c r="LG24" s="535"/>
      <c r="LH24" s="535"/>
      <c r="LI24" s="535"/>
      <c r="LJ24" s="535"/>
      <c r="LK24" s="535"/>
      <c r="LL24" s="535"/>
      <c r="LM24" s="535"/>
      <c r="LN24" s="535"/>
      <c r="LO24" s="535"/>
      <c r="LP24" s="535"/>
      <c r="LQ24" s="535"/>
      <c r="LR24" s="535"/>
      <c r="LS24" s="535"/>
      <c r="LT24" s="535"/>
      <c r="LU24" s="535"/>
      <c r="LV24" s="535"/>
      <c r="LW24" s="535"/>
      <c r="LX24" s="535"/>
      <c r="LY24" s="535"/>
      <c r="LZ24" s="535"/>
      <c r="MA24" s="535"/>
      <c r="MB24" s="535"/>
      <c r="MC24" s="535"/>
      <c r="MD24" s="535"/>
      <c r="ME24" s="535"/>
      <c r="MF24" s="535"/>
      <c r="MG24" s="535"/>
      <c r="MH24" s="535"/>
      <c r="MI24" s="535"/>
      <c r="MJ24" s="535"/>
      <c r="MK24" s="535"/>
      <c r="ML24" s="535"/>
      <c r="MM24" s="535"/>
      <c r="MN24" s="535"/>
      <c r="MO24" s="535"/>
      <c r="MP24" s="535"/>
      <c r="MQ24" s="535"/>
      <c r="MR24" s="535"/>
      <c r="MS24" s="535"/>
      <c r="MT24" s="535"/>
      <c r="MU24" s="535"/>
      <c r="MV24" s="535"/>
      <c r="MW24" s="535"/>
      <c r="MX24" s="535"/>
      <c r="MY24" s="535"/>
      <c r="MZ24" s="535"/>
      <c r="NA24" s="535"/>
      <c r="NB24" s="535"/>
      <c r="NC24" s="535"/>
      <c r="ND24" s="535"/>
      <c r="NE24" s="535"/>
      <c r="NF24" s="535"/>
      <c r="NG24" s="535"/>
      <c r="NH24" s="535"/>
      <c r="NI24" s="535"/>
      <c r="NJ24" s="535"/>
      <c r="NK24" s="535"/>
      <c r="NL24" s="535"/>
      <c r="NM24" s="535"/>
      <c r="NN24" s="535"/>
      <c r="NO24" s="535"/>
      <c r="NP24" s="535"/>
      <c r="NQ24" s="535"/>
      <c r="NR24" s="535"/>
      <c r="NS24" s="535"/>
      <c r="NT24" s="535"/>
      <c r="NU24" s="535"/>
      <c r="NV24" s="535"/>
      <c r="NW24" s="535"/>
      <c r="NX24" s="535"/>
      <c r="NY24" s="535"/>
      <c r="NZ24" s="535"/>
      <c r="OA24" s="535"/>
      <c r="OB24" s="535"/>
      <c r="OC24" s="535"/>
      <c r="OD24" s="535"/>
      <c r="OE24" s="535"/>
      <c r="OF24" s="535"/>
      <c r="OG24" s="535"/>
      <c r="OH24" s="535"/>
      <c r="OI24" s="535"/>
      <c r="OJ24" s="535"/>
      <c r="OK24" s="535"/>
      <c r="OL24" s="535"/>
      <c r="OM24" s="535"/>
      <c r="ON24" s="535"/>
      <c r="OO24" s="535"/>
      <c r="OP24" s="535"/>
      <c r="OQ24" s="535"/>
      <c r="OR24" s="535"/>
      <c r="OS24" s="535"/>
      <c r="OT24" s="535"/>
      <c r="OU24" s="535"/>
      <c r="OV24" s="535"/>
      <c r="OW24" s="535"/>
      <c r="OX24" s="535"/>
      <c r="OY24" s="535"/>
      <c r="OZ24" s="535"/>
      <c r="PA24" s="535"/>
      <c r="PB24" s="535"/>
      <c r="PC24" s="535"/>
      <c r="PD24" s="535"/>
      <c r="PE24" s="535"/>
      <c r="PF24" s="535"/>
      <c r="PG24" s="535"/>
      <c r="PH24" s="535"/>
      <c r="PI24" s="535"/>
      <c r="PJ24" s="535"/>
      <c r="PK24" s="535"/>
      <c r="PL24" s="535"/>
      <c r="PM24" s="535"/>
      <c r="PN24" s="535"/>
      <c r="PO24" s="535"/>
      <c r="PP24" s="535"/>
      <c r="PQ24" s="535"/>
      <c r="PR24" s="535"/>
      <c r="PS24" s="535"/>
      <c r="PT24" s="535"/>
      <c r="PU24" s="535"/>
      <c r="PV24" s="535"/>
      <c r="PW24" s="535"/>
      <c r="PX24" s="535"/>
      <c r="PY24" s="535"/>
      <c r="PZ24" s="535"/>
      <c r="QA24" s="535"/>
      <c r="QB24" s="535"/>
      <c r="QC24" s="535"/>
      <c r="QD24" s="535"/>
      <c r="QE24" s="535"/>
      <c r="QF24" s="535"/>
      <c r="QG24" s="535"/>
      <c r="QH24" s="535"/>
      <c r="QI24" s="535"/>
      <c r="QJ24" s="535"/>
      <c r="QK24" s="535"/>
      <c r="QL24" s="535"/>
      <c r="QM24" s="535"/>
      <c r="QN24" s="535"/>
      <c r="QO24" s="535"/>
      <c r="QP24" s="535"/>
      <c r="QQ24" s="535"/>
      <c r="QR24" s="535"/>
      <c r="QS24" s="535"/>
      <c r="QT24" s="535"/>
      <c r="QU24" s="535"/>
      <c r="QV24" s="535"/>
      <c r="QW24" s="535"/>
      <c r="QX24" s="535"/>
      <c r="QY24" s="535"/>
      <c r="QZ24" s="535"/>
      <c r="RA24" s="535"/>
      <c r="RB24" s="535"/>
      <c r="RC24" s="535"/>
      <c r="RD24" s="535"/>
      <c r="RE24" s="535"/>
      <c r="RF24" s="535"/>
      <c r="RG24" s="535"/>
      <c r="RH24" s="535"/>
      <c r="RI24" s="535"/>
      <c r="RJ24" s="535"/>
      <c r="RK24" s="535"/>
      <c r="RL24" s="535"/>
      <c r="RM24" s="535"/>
      <c r="RN24" s="535"/>
      <c r="RO24" s="535"/>
      <c r="RP24" s="535"/>
      <c r="RQ24" s="535"/>
      <c r="RR24" s="535"/>
      <c r="RS24" s="535"/>
      <c r="RT24" s="535"/>
      <c r="RU24" s="535"/>
      <c r="RV24" s="535"/>
      <c r="RW24" s="535"/>
      <c r="RX24" s="535"/>
      <c r="RY24" s="535"/>
      <c r="RZ24" s="535"/>
      <c r="SA24" s="535"/>
      <c r="SB24" s="535"/>
      <c r="SC24" s="535"/>
      <c r="SD24" s="535"/>
      <c r="SE24" s="535"/>
      <c r="SF24" s="535"/>
      <c r="SG24" s="535"/>
      <c r="SH24" s="535"/>
      <c r="SI24" s="535"/>
      <c r="SJ24" s="535"/>
      <c r="SK24" s="535"/>
      <c r="SL24" s="535"/>
      <c r="SM24" s="535"/>
      <c r="SN24" s="535"/>
      <c r="SO24" s="535"/>
      <c r="SP24" s="535"/>
      <c r="SQ24" s="535"/>
      <c r="SR24" s="535"/>
      <c r="SS24" s="535"/>
      <c r="ST24" s="535"/>
      <c r="SU24" s="535"/>
      <c r="SV24" s="535"/>
      <c r="SW24" s="535"/>
      <c r="SX24" s="535"/>
      <c r="SY24" s="535"/>
      <c r="SZ24" s="535"/>
      <c r="TA24" s="535"/>
      <c r="TB24" s="535"/>
      <c r="TC24" s="535"/>
      <c r="TD24" s="535"/>
      <c r="TE24" s="535"/>
      <c r="TF24" s="535"/>
      <c r="TG24" s="535"/>
      <c r="TH24" s="535"/>
      <c r="TI24" s="535"/>
      <c r="TJ24" s="535"/>
      <c r="TK24" s="535"/>
      <c r="TL24" s="535"/>
      <c r="TM24" s="535"/>
      <c r="TN24" s="535"/>
      <c r="TO24" s="535"/>
      <c r="TP24" s="535"/>
      <c r="TQ24" s="535"/>
      <c r="TR24" s="535"/>
      <c r="TS24" s="535"/>
      <c r="TT24" s="535"/>
      <c r="TU24" s="535"/>
      <c r="TV24" s="535"/>
      <c r="TW24" s="535"/>
      <c r="TX24" s="535"/>
      <c r="TY24" s="535"/>
      <c r="TZ24" s="535"/>
      <c r="UA24" s="535"/>
      <c r="UB24" s="535"/>
      <c r="UC24" s="535"/>
      <c r="UD24" s="535"/>
      <c r="UE24" s="535"/>
      <c r="UF24" s="535"/>
      <c r="UG24" s="535"/>
      <c r="UH24" s="535"/>
      <c r="UI24" s="535"/>
      <c r="UJ24" s="535"/>
      <c r="UK24" s="535"/>
      <c r="UL24" s="535"/>
      <c r="UM24" s="535"/>
      <c r="UN24" s="535"/>
      <c r="UO24" s="535"/>
      <c r="UP24" s="535"/>
      <c r="UQ24" s="535"/>
      <c r="UR24" s="535"/>
      <c r="US24" s="535"/>
      <c r="UT24" s="535"/>
      <c r="UU24" s="535"/>
      <c r="UV24" s="535"/>
      <c r="UW24" s="535"/>
      <c r="UX24" s="535"/>
      <c r="UY24" s="535"/>
      <c r="UZ24" s="535"/>
      <c r="VA24" s="535"/>
      <c r="VB24" s="535"/>
      <c r="VC24" s="535"/>
      <c r="VD24" s="535"/>
      <c r="VE24" s="535"/>
      <c r="VF24" s="535"/>
      <c r="VG24" s="535"/>
      <c r="VH24" s="535"/>
      <c r="VI24" s="535"/>
      <c r="VJ24" s="535"/>
      <c r="VK24" s="535"/>
      <c r="VL24" s="535"/>
      <c r="VM24" s="535"/>
      <c r="VN24" s="535"/>
      <c r="VO24" s="535"/>
      <c r="VP24" s="535"/>
      <c r="VQ24" s="535"/>
      <c r="VR24" s="535"/>
      <c r="VS24" s="535"/>
      <c r="VT24" s="535"/>
      <c r="VU24" s="535"/>
      <c r="VV24" s="535"/>
      <c r="VW24" s="535"/>
      <c r="VX24" s="535"/>
      <c r="VY24" s="535"/>
      <c r="VZ24" s="535"/>
      <c r="WA24" s="535"/>
      <c r="WB24" s="535"/>
      <c r="WC24" s="535"/>
      <c r="WD24" s="535"/>
      <c r="WE24" s="535"/>
      <c r="WF24" s="535"/>
      <c r="WG24" s="535"/>
      <c r="WH24" s="535"/>
      <c r="WI24" s="535"/>
      <c r="WJ24" s="535"/>
      <c r="WK24" s="535"/>
      <c r="WL24" s="535"/>
      <c r="WM24" s="535"/>
      <c r="WN24" s="535"/>
      <c r="WO24" s="535"/>
      <c r="WP24" s="535"/>
      <c r="WQ24" s="535"/>
      <c r="WR24" s="535"/>
      <c r="WS24" s="535"/>
      <c r="WT24" s="535"/>
      <c r="WU24" s="535"/>
      <c r="WV24" s="535"/>
      <c r="WW24" s="535"/>
      <c r="WX24" s="535"/>
      <c r="WY24" s="535"/>
      <c r="WZ24" s="535"/>
      <c r="XA24" s="535"/>
      <c r="XB24" s="535"/>
      <c r="XC24" s="535"/>
      <c r="XD24" s="535"/>
      <c r="XE24" s="535"/>
      <c r="XF24" s="535"/>
      <c r="XG24" s="535"/>
      <c r="XH24" s="535"/>
      <c r="XI24" s="535"/>
      <c r="XJ24" s="535"/>
      <c r="XK24" s="535"/>
      <c r="XL24" s="535"/>
      <c r="XM24" s="535"/>
      <c r="XN24" s="535"/>
      <c r="XO24" s="535"/>
      <c r="XP24" s="535"/>
      <c r="XQ24" s="535"/>
      <c r="XR24" s="535"/>
      <c r="XS24" s="535"/>
      <c r="XT24" s="535"/>
      <c r="XU24" s="535"/>
      <c r="XV24" s="535"/>
      <c r="XW24" s="535"/>
      <c r="XX24" s="535"/>
      <c r="XY24" s="535"/>
      <c r="XZ24" s="535"/>
      <c r="YA24" s="535"/>
      <c r="YB24" s="535"/>
      <c r="YC24" s="535"/>
      <c r="YD24" s="535"/>
      <c r="YE24" s="535"/>
      <c r="YF24" s="535"/>
      <c r="YG24" s="535"/>
      <c r="YH24" s="535"/>
      <c r="YI24" s="535"/>
      <c r="YJ24" s="535"/>
      <c r="YK24" s="535"/>
      <c r="YL24" s="535"/>
      <c r="YM24" s="535"/>
      <c r="YN24" s="535"/>
      <c r="YO24" s="535"/>
      <c r="YP24" s="535"/>
      <c r="YQ24" s="535"/>
      <c r="YR24" s="535"/>
      <c r="YS24" s="535"/>
      <c r="YT24" s="535"/>
      <c r="YU24" s="535"/>
      <c r="YV24" s="535"/>
      <c r="YW24" s="535"/>
      <c r="YX24" s="535"/>
      <c r="YY24" s="535"/>
      <c r="YZ24" s="535"/>
      <c r="ZA24" s="535"/>
      <c r="ZB24" s="535"/>
      <c r="ZC24" s="535"/>
      <c r="ZD24" s="535"/>
      <c r="ZE24" s="535"/>
      <c r="ZF24" s="535"/>
      <c r="ZG24" s="535"/>
      <c r="ZH24" s="535"/>
      <c r="ZI24" s="535"/>
      <c r="ZJ24" s="535"/>
      <c r="ZK24" s="535"/>
      <c r="ZL24" s="535"/>
      <c r="ZM24" s="535"/>
      <c r="ZN24" s="535"/>
      <c r="ZO24" s="535"/>
      <c r="ZP24" s="535"/>
      <c r="ZQ24" s="535"/>
      <c r="ZR24" s="535"/>
      <c r="ZS24" s="535"/>
      <c r="ZT24" s="535"/>
      <c r="ZU24" s="535"/>
      <c r="ZV24" s="535"/>
      <c r="ZW24" s="535"/>
      <c r="ZX24" s="535"/>
      <c r="ZY24" s="535"/>
      <c r="ZZ24" s="535"/>
      <c r="AAA24" s="535"/>
      <c r="AAB24" s="535"/>
      <c r="AAC24" s="535"/>
      <c r="AAD24" s="535"/>
      <c r="AAE24" s="535"/>
      <c r="AAF24" s="535"/>
      <c r="AAG24" s="535"/>
      <c r="AAH24" s="535"/>
      <c r="AAI24" s="535"/>
      <c r="AAJ24" s="535"/>
      <c r="AAK24" s="535"/>
      <c r="AAL24" s="535"/>
      <c r="AAM24" s="535"/>
      <c r="AAN24" s="535"/>
      <c r="AAO24" s="535"/>
      <c r="AAP24" s="535"/>
      <c r="AAQ24" s="535"/>
      <c r="AAR24" s="535"/>
      <c r="AAS24" s="535"/>
      <c r="AAT24" s="535"/>
      <c r="AAU24" s="535"/>
      <c r="AAV24" s="535"/>
      <c r="AAW24" s="535"/>
      <c r="AAX24" s="535"/>
      <c r="AAY24" s="535"/>
      <c r="AAZ24" s="535"/>
      <c r="ABA24" s="535"/>
      <c r="ABB24" s="535"/>
      <c r="ABC24" s="535"/>
      <c r="ABD24" s="535"/>
      <c r="ABE24" s="535"/>
      <c r="ABF24" s="535"/>
      <c r="ABG24" s="535"/>
      <c r="ABH24" s="535"/>
      <c r="ABI24" s="535"/>
      <c r="ABJ24" s="535"/>
      <c r="ABK24" s="535"/>
      <c r="ABL24" s="535"/>
      <c r="ABM24" s="535"/>
      <c r="ABN24" s="535"/>
      <c r="ABO24" s="535"/>
      <c r="ABP24" s="535"/>
      <c r="ABQ24" s="535"/>
      <c r="ABR24" s="535"/>
      <c r="ABS24" s="535"/>
      <c r="ABT24" s="535"/>
      <c r="ABU24" s="535"/>
      <c r="ABV24" s="535"/>
      <c r="ABW24" s="535"/>
      <c r="ABX24" s="535"/>
      <c r="ABY24" s="535"/>
      <c r="ABZ24" s="535"/>
      <c r="ACA24" s="535"/>
      <c r="ACB24" s="535"/>
      <c r="ACC24" s="535"/>
      <c r="ACD24" s="535"/>
      <c r="ACE24" s="535"/>
      <c r="ACF24" s="535"/>
      <c r="ACG24" s="535"/>
      <c r="ACH24" s="535"/>
      <c r="ACI24" s="535"/>
      <c r="ACJ24" s="535"/>
      <c r="ACK24" s="535"/>
      <c r="ACL24" s="535"/>
      <c r="ACM24" s="535"/>
      <c r="ACN24" s="535"/>
      <c r="ACO24" s="535"/>
      <c r="ACP24" s="535"/>
      <c r="ACQ24" s="535"/>
      <c r="ACR24" s="535"/>
      <c r="ACS24" s="535"/>
      <c r="ACT24" s="535"/>
      <c r="ACU24" s="535"/>
      <c r="ACV24" s="535"/>
      <c r="ACW24" s="535"/>
      <c r="ACX24" s="535"/>
      <c r="ACY24" s="535"/>
      <c r="ACZ24" s="535"/>
      <c r="ADA24" s="535"/>
      <c r="ADB24" s="535"/>
      <c r="ADC24" s="535"/>
      <c r="ADD24" s="535"/>
      <c r="ADE24" s="535"/>
      <c r="ADF24" s="535"/>
      <c r="ADG24" s="535"/>
      <c r="ADH24" s="535"/>
      <c r="ADI24" s="535"/>
      <c r="ADJ24" s="535"/>
      <c r="ADK24" s="535"/>
      <c r="ADL24" s="535"/>
      <c r="ADM24" s="535"/>
      <c r="ADN24" s="535"/>
      <c r="ADO24" s="535"/>
      <c r="ADP24" s="535"/>
      <c r="ADQ24" s="535"/>
      <c r="ADR24" s="535"/>
      <c r="ADS24" s="535"/>
      <c r="ADT24" s="535"/>
      <c r="ADU24" s="535"/>
      <c r="ADV24" s="535"/>
      <c r="ADW24" s="535"/>
      <c r="ADX24" s="535"/>
      <c r="ADY24" s="535"/>
      <c r="ADZ24" s="535"/>
      <c r="AEA24" s="535"/>
      <c r="AEB24" s="535"/>
      <c r="AEC24" s="535"/>
      <c r="AED24" s="535"/>
      <c r="AEE24" s="535"/>
      <c r="AEF24" s="535"/>
      <c r="AEG24" s="535"/>
      <c r="AEH24" s="535"/>
      <c r="AEI24" s="535"/>
      <c r="AEJ24" s="535"/>
      <c r="AEK24" s="535"/>
      <c r="AEL24" s="535"/>
      <c r="AEM24" s="535"/>
      <c r="AEN24" s="535"/>
      <c r="AEO24" s="535"/>
      <c r="AEP24" s="535"/>
      <c r="AEQ24" s="535"/>
      <c r="AER24" s="535"/>
      <c r="AES24" s="535"/>
      <c r="AET24" s="535"/>
      <c r="AEU24" s="535"/>
      <c r="AEV24" s="535"/>
      <c r="AEW24" s="535"/>
      <c r="AEX24" s="535"/>
      <c r="AEY24" s="535"/>
      <c r="AEZ24" s="535"/>
      <c r="AFA24" s="535"/>
      <c r="AFB24" s="535"/>
      <c r="AFC24" s="535"/>
      <c r="AFD24" s="535"/>
      <c r="AFE24" s="535"/>
      <c r="AFF24" s="535"/>
      <c r="AFG24" s="535"/>
      <c r="AFH24" s="535"/>
      <c r="AFI24" s="535"/>
      <c r="AFJ24" s="535"/>
      <c r="AFK24" s="535"/>
      <c r="AFL24" s="535"/>
      <c r="AFM24" s="535"/>
      <c r="AFN24" s="535"/>
      <c r="AFO24" s="535"/>
      <c r="AFP24" s="535"/>
      <c r="AFQ24" s="535"/>
      <c r="AFR24" s="535"/>
      <c r="AFS24" s="535"/>
      <c r="AFT24" s="535"/>
      <c r="AFU24" s="535"/>
      <c r="AFV24" s="535"/>
      <c r="AFW24" s="535"/>
      <c r="AFX24" s="535"/>
      <c r="AFY24" s="535"/>
      <c r="AFZ24" s="535"/>
      <c r="AGA24" s="535"/>
      <c r="AGB24" s="535"/>
      <c r="AGC24" s="535"/>
      <c r="AGD24" s="535"/>
      <c r="AGE24" s="535"/>
      <c r="AGF24" s="535"/>
      <c r="AGG24" s="535"/>
      <c r="AGH24" s="535"/>
      <c r="AGI24" s="535"/>
      <c r="AGJ24" s="535"/>
      <c r="AGK24" s="535"/>
      <c r="AGL24" s="535"/>
      <c r="AGM24" s="535"/>
      <c r="AGN24" s="535"/>
      <c r="AGO24" s="535"/>
      <c r="AGP24" s="535"/>
      <c r="AGQ24" s="535"/>
      <c r="AGR24" s="535"/>
      <c r="AGS24" s="535"/>
      <c r="AGT24" s="535"/>
      <c r="AGU24" s="535"/>
      <c r="AGV24" s="535"/>
      <c r="AGW24" s="535"/>
      <c r="AGX24" s="535"/>
      <c r="AGY24" s="535"/>
      <c r="AGZ24" s="535"/>
      <c r="AHA24" s="535"/>
      <c r="AHB24" s="535"/>
      <c r="AHC24" s="535"/>
      <c r="AHD24" s="535"/>
      <c r="AHE24" s="535"/>
      <c r="AHF24" s="535"/>
      <c r="AHG24" s="535"/>
      <c r="AHH24" s="535"/>
      <c r="AHI24" s="535"/>
      <c r="AHJ24" s="535"/>
      <c r="AHK24" s="535"/>
      <c r="AHL24" s="535"/>
      <c r="AHM24" s="535"/>
      <c r="AHN24" s="535"/>
      <c r="AHO24" s="535"/>
      <c r="AHP24" s="535"/>
      <c r="AHQ24" s="535"/>
      <c r="AHR24" s="535"/>
      <c r="AHS24" s="535"/>
      <c r="AHT24" s="535"/>
      <c r="AHU24" s="535"/>
      <c r="AHV24" s="535"/>
      <c r="AHW24" s="535"/>
      <c r="AHX24" s="535"/>
      <c r="AHY24" s="535"/>
      <c r="AHZ24" s="535"/>
      <c r="AIA24" s="535"/>
      <c r="AIB24" s="535"/>
      <c r="AIC24" s="535"/>
      <c r="AID24" s="535"/>
      <c r="AIE24" s="535"/>
      <c r="AIF24" s="535"/>
      <c r="AIG24" s="535"/>
      <c r="AIH24" s="535"/>
      <c r="AII24" s="535"/>
      <c r="AIJ24" s="535"/>
      <c r="AIK24" s="535"/>
      <c r="AIL24" s="535"/>
      <c r="AIM24" s="535"/>
      <c r="AIN24" s="535"/>
      <c r="AIO24" s="535"/>
      <c r="AIP24" s="535"/>
      <c r="AIQ24" s="535"/>
      <c r="AIR24" s="535"/>
      <c r="AIS24" s="535"/>
      <c r="AIT24" s="535"/>
      <c r="AIU24" s="535"/>
      <c r="AIV24" s="535"/>
      <c r="AIW24" s="535"/>
      <c r="AIX24" s="535"/>
      <c r="AIY24" s="535"/>
      <c r="AIZ24" s="535"/>
      <c r="AJA24" s="535"/>
      <c r="AJB24" s="535"/>
      <c r="AJC24" s="535"/>
      <c r="AJD24" s="535"/>
      <c r="AJE24" s="535"/>
      <c r="AJF24" s="535"/>
      <c r="AJG24" s="535"/>
      <c r="AJH24" s="535"/>
      <c r="AJI24" s="535"/>
      <c r="AJJ24" s="535"/>
      <c r="AJK24" s="535"/>
      <c r="AJL24" s="535"/>
      <c r="AJM24" s="535"/>
      <c r="AJN24" s="535"/>
      <c r="AJO24" s="535"/>
      <c r="AJP24" s="535"/>
      <c r="AJQ24" s="535"/>
      <c r="AJR24" s="535"/>
      <c r="AJS24" s="535"/>
      <c r="AJT24" s="535"/>
      <c r="AJU24" s="535"/>
      <c r="AJV24" s="535"/>
      <c r="AJW24" s="535"/>
      <c r="AJX24" s="535"/>
      <c r="AJY24" s="535"/>
      <c r="AJZ24" s="535"/>
      <c r="AKA24" s="535"/>
      <c r="AKB24" s="535"/>
      <c r="AKC24" s="535"/>
      <c r="AKD24" s="535"/>
      <c r="AKE24" s="535"/>
      <c r="AKF24" s="535"/>
      <c r="AKG24" s="535"/>
      <c r="AKH24" s="535"/>
      <c r="AKI24" s="535"/>
      <c r="AKJ24" s="535"/>
      <c r="AKK24" s="535"/>
      <c r="AKL24" s="535"/>
      <c r="AKM24" s="535"/>
      <c r="AKN24" s="535"/>
      <c r="AKO24" s="535"/>
      <c r="AKP24" s="535"/>
      <c r="AKQ24" s="535"/>
      <c r="AKR24" s="535"/>
      <c r="AKS24" s="535"/>
      <c r="AKT24" s="535"/>
      <c r="AKU24" s="535"/>
      <c r="AKV24" s="535"/>
      <c r="AKW24" s="535"/>
      <c r="AKX24" s="535"/>
      <c r="AKY24" s="535"/>
      <c r="AKZ24" s="535"/>
      <c r="ALA24" s="535"/>
      <c r="ALB24" s="535"/>
      <c r="ALC24" s="535"/>
      <c r="ALD24" s="535"/>
      <c r="ALE24" s="535"/>
      <c r="ALF24" s="535"/>
      <c r="ALG24" s="535"/>
      <c r="ALH24" s="535"/>
      <c r="ALI24" s="535"/>
      <c r="ALJ24" s="535"/>
      <c r="ALK24" s="535"/>
      <c r="ALL24" s="535"/>
      <c r="ALM24" s="535"/>
      <c r="ALN24" s="535"/>
      <c r="ALO24" s="535"/>
      <c r="ALP24" s="535"/>
      <c r="ALQ24" s="535"/>
      <c r="ALR24" s="535"/>
      <c r="ALS24" s="535"/>
      <c r="ALT24" s="535"/>
      <c r="ALU24" s="535"/>
      <c r="ALV24" s="535"/>
      <c r="ALW24" s="535"/>
      <c r="ALX24" s="535"/>
      <c r="ALY24" s="535"/>
      <c r="ALZ24" s="535"/>
      <c r="AMA24" s="535"/>
      <c r="AMB24" s="535"/>
      <c r="AMC24" s="535"/>
      <c r="AMD24" s="535"/>
      <c r="AME24" s="535"/>
      <c r="AMF24" s="535"/>
      <c r="AMG24" s="535"/>
      <c r="AMH24" s="535"/>
      <c r="AMI24" s="535"/>
      <c r="AMJ24" s="535"/>
      <c r="AMK24" s="535"/>
      <c r="AML24" s="535"/>
      <c r="AMM24" s="535"/>
      <c r="AMN24" s="535"/>
      <c r="AMO24" s="535"/>
      <c r="AMP24" s="535"/>
      <c r="AMQ24" s="535"/>
      <c r="AMR24" s="535"/>
      <c r="AMS24" s="535"/>
      <c r="AMT24" s="535"/>
      <c r="AMU24" s="535"/>
      <c r="AMV24" s="535"/>
      <c r="AMW24" s="535"/>
      <c r="AMX24" s="535"/>
      <c r="AMY24" s="535"/>
      <c r="AMZ24" s="535"/>
      <c r="ANA24" s="535"/>
      <c r="ANB24" s="535"/>
      <c r="ANC24" s="535"/>
      <c r="AND24" s="535"/>
      <c r="ANE24" s="535"/>
      <c r="ANF24" s="535"/>
      <c r="ANG24" s="535"/>
      <c r="ANH24" s="535"/>
      <c r="ANI24" s="535"/>
      <c r="ANJ24" s="535"/>
      <c r="ANK24" s="535"/>
      <c r="ANL24" s="535"/>
      <c r="ANM24" s="535"/>
      <c r="ANN24" s="535"/>
      <c r="ANO24" s="535"/>
      <c r="ANP24" s="535"/>
      <c r="ANQ24" s="535"/>
      <c r="ANR24" s="535"/>
      <c r="ANS24" s="535"/>
      <c r="ANT24" s="535"/>
      <c r="ANU24" s="535"/>
      <c r="ANV24" s="535"/>
      <c r="ANW24" s="535"/>
      <c r="ANX24" s="535"/>
      <c r="ANY24" s="535"/>
      <c r="ANZ24" s="535"/>
      <c r="AOA24" s="535"/>
      <c r="AOB24" s="535"/>
      <c r="AOC24" s="535"/>
      <c r="AOD24" s="535"/>
      <c r="AOE24" s="535"/>
      <c r="AOF24" s="535"/>
      <c r="AOG24" s="535"/>
      <c r="AOH24" s="535"/>
      <c r="AOI24" s="535"/>
      <c r="AOJ24" s="535"/>
      <c r="AOK24" s="535"/>
      <c r="AOL24" s="535"/>
      <c r="AOM24" s="535"/>
      <c r="AON24" s="535"/>
      <c r="AOO24" s="535"/>
      <c r="AOP24" s="535"/>
      <c r="AOQ24" s="535"/>
      <c r="AOR24" s="535"/>
      <c r="AOS24" s="535"/>
      <c r="AOT24" s="535"/>
      <c r="AOU24" s="535"/>
      <c r="AOV24" s="535"/>
      <c r="AOW24" s="535"/>
      <c r="AOX24" s="535"/>
      <c r="AOY24" s="535"/>
      <c r="AOZ24" s="535"/>
      <c r="APA24" s="535"/>
      <c r="APB24" s="535"/>
      <c r="APC24" s="535"/>
      <c r="APD24" s="535"/>
      <c r="APE24" s="535"/>
      <c r="APF24" s="535"/>
      <c r="APG24" s="535"/>
      <c r="APH24" s="535"/>
      <c r="API24" s="535"/>
      <c r="APJ24" s="535"/>
      <c r="APK24" s="535"/>
      <c r="APL24" s="535"/>
      <c r="APM24" s="535"/>
      <c r="APN24" s="535"/>
      <c r="APO24" s="535"/>
      <c r="APP24" s="535"/>
      <c r="APQ24" s="535"/>
      <c r="APR24" s="535"/>
      <c r="APS24" s="535"/>
      <c r="APT24" s="535"/>
      <c r="APU24" s="535"/>
      <c r="APV24" s="535"/>
      <c r="APW24" s="535"/>
      <c r="APX24" s="535"/>
      <c r="APY24" s="535"/>
      <c r="APZ24" s="535"/>
      <c r="AQA24" s="535"/>
      <c r="AQB24" s="535"/>
      <c r="AQC24" s="535"/>
      <c r="AQD24" s="535"/>
      <c r="AQE24" s="535"/>
      <c r="AQF24" s="535"/>
      <c r="AQG24" s="535"/>
      <c r="AQH24" s="535"/>
      <c r="AQI24" s="535"/>
      <c r="AQJ24" s="535"/>
      <c r="AQK24" s="535"/>
      <c r="AQL24" s="535"/>
      <c r="AQM24" s="535"/>
      <c r="AQN24" s="535"/>
      <c r="AQO24" s="535"/>
      <c r="AQP24" s="535"/>
      <c r="AQQ24" s="535"/>
      <c r="AQR24" s="535"/>
      <c r="AQS24" s="535"/>
      <c r="AQT24" s="535"/>
      <c r="AQU24" s="535"/>
      <c r="AQV24" s="535"/>
      <c r="AQW24" s="535"/>
      <c r="AQX24" s="535"/>
      <c r="AQY24" s="535"/>
      <c r="AQZ24" s="535"/>
      <c r="ARA24" s="535"/>
      <c r="ARB24" s="535"/>
      <c r="ARC24" s="535"/>
      <c r="ARD24" s="535"/>
      <c r="ARE24" s="535"/>
      <c r="ARF24" s="535"/>
      <c r="ARG24" s="535"/>
      <c r="ARH24" s="535"/>
      <c r="ARI24" s="535"/>
      <c r="ARJ24" s="535"/>
      <c r="ARK24" s="535"/>
      <c r="ARL24" s="535"/>
      <c r="ARM24" s="535"/>
      <c r="ARN24" s="535"/>
      <c r="ARO24" s="535"/>
      <c r="ARP24" s="535"/>
      <c r="ARQ24" s="535"/>
      <c r="ARR24" s="535"/>
      <c r="ARS24" s="535"/>
      <c r="ART24" s="535"/>
      <c r="ARU24" s="535"/>
      <c r="ARV24" s="535"/>
      <c r="ARW24" s="535"/>
      <c r="ARX24" s="535"/>
      <c r="ARY24" s="535"/>
      <c r="ARZ24" s="535"/>
      <c r="ASA24" s="535"/>
      <c r="ASB24" s="535"/>
      <c r="ASC24" s="535"/>
      <c r="ASD24" s="535"/>
      <c r="ASE24" s="535"/>
      <c r="ASF24" s="535"/>
      <c r="ASG24" s="535"/>
      <c r="ASH24" s="535"/>
      <c r="ASI24" s="535"/>
      <c r="ASJ24" s="535"/>
      <c r="ASK24" s="535"/>
      <c r="ASL24" s="535"/>
      <c r="ASM24" s="535"/>
      <c r="ASN24" s="535"/>
      <c r="ASO24" s="535"/>
      <c r="ASP24" s="535"/>
      <c r="ASQ24" s="535"/>
      <c r="ASR24" s="535"/>
      <c r="ASS24" s="535"/>
      <c r="AST24" s="535"/>
      <c r="ASU24" s="535"/>
      <c r="ASV24" s="535"/>
      <c r="ASW24" s="535"/>
      <c r="ASX24" s="535"/>
      <c r="ASY24" s="535"/>
      <c r="ASZ24" s="535"/>
      <c r="ATA24" s="535"/>
      <c r="ATB24" s="535"/>
      <c r="ATC24" s="535"/>
      <c r="ATD24" s="535"/>
      <c r="ATE24" s="535"/>
      <c r="ATF24" s="535"/>
      <c r="ATG24" s="535"/>
      <c r="ATH24" s="535"/>
      <c r="ATI24" s="535"/>
      <c r="ATJ24" s="535"/>
      <c r="ATK24" s="535"/>
      <c r="ATL24" s="535"/>
      <c r="ATM24" s="535"/>
      <c r="ATN24" s="535"/>
      <c r="ATO24" s="535"/>
      <c r="ATP24" s="535"/>
      <c r="ATQ24" s="535"/>
      <c r="ATR24" s="535"/>
      <c r="ATS24" s="535"/>
      <c r="ATT24" s="535"/>
      <c r="ATU24" s="535"/>
      <c r="ATV24" s="535"/>
      <c r="ATW24" s="535"/>
      <c r="ATX24" s="535"/>
      <c r="ATY24" s="535"/>
      <c r="ATZ24" s="535"/>
      <c r="AUA24" s="535"/>
      <c r="AUB24" s="535"/>
      <c r="AUC24" s="535"/>
      <c r="AUD24" s="535"/>
      <c r="AUE24" s="535"/>
      <c r="AUF24" s="535"/>
      <c r="AUG24" s="535"/>
      <c r="AUH24" s="535"/>
      <c r="AUI24" s="535"/>
      <c r="AUJ24" s="535"/>
      <c r="AUK24" s="535"/>
      <c r="AUL24" s="535"/>
      <c r="AUM24" s="535"/>
      <c r="AUN24" s="535"/>
      <c r="AUO24" s="535"/>
      <c r="AUP24" s="535"/>
      <c r="AUQ24" s="535"/>
      <c r="AUR24" s="535"/>
      <c r="AUS24" s="535"/>
      <c r="AUT24" s="535"/>
      <c r="AUU24" s="535"/>
      <c r="AUV24" s="535"/>
      <c r="AUW24" s="535"/>
      <c r="AUX24" s="535"/>
      <c r="AUY24" s="535"/>
      <c r="AUZ24" s="535"/>
      <c r="AVA24" s="535"/>
      <c r="AVB24" s="535"/>
      <c r="AVC24" s="535"/>
      <c r="AVD24" s="535"/>
      <c r="AVE24" s="535"/>
      <c r="AVF24" s="535"/>
      <c r="AVG24" s="535"/>
      <c r="AVH24" s="535"/>
      <c r="AVI24" s="535"/>
      <c r="AVJ24" s="535"/>
      <c r="AVK24" s="535"/>
      <c r="AVL24" s="535"/>
      <c r="AVM24" s="535"/>
      <c r="AVN24" s="535"/>
      <c r="AVO24" s="535"/>
      <c r="AVP24" s="535"/>
      <c r="AVQ24" s="535"/>
      <c r="AVR24" s="535"/>
      <c r="AVS24" s="535"/>
      <c r="AVT24" s="535"/>
      <c r="AVU24" s="535"/>
      <c r="AVV24" s="535"/>
      <c r="AVW24" s="535"/>
      <c r="AVX24" s="535"/>
      <c r="AVY24" s="535"/>
      <c r="AVZ24" s="535"/>
      <c r="AWA24" s="535"/>
      <c r="AWB24" s="535"/>
      <c r="AWC24" s="535"/>
      <c r="AWD24" s="535"/>
      <c r="AWE24" s="535"/>
      <c r="AWF24" s="535"/>
      <c r="AWG24" s="535"/>
      <c r="AWH24" s="535"/>
      <c r="AWI24" s="535"/>
      <c r="AWJ24" s="535"/>
      <c r="AWK24" s="535"/>
      <c r="AWL24" s="535"/>
      <c r="AWM24" s="535"/>
      <c r="AWN24" s="535"/>
      <c r="AWO24" s="535"/>
      <c r="AWP24" s="535"/>
      <c r="AWQ24" s="535"/>
      <c r="AWR24" s="535"/>
      <c r="AWS24" s="535"/>
      <c r="AWT24" s="535"/>
      <c r="AWU24" s="535"/>
      <c r="AWV24" s="535"/>
      <c r="AWW24" s="535"/>
      <c r="AWX24" s="535"/>
      <c r="AWY24" s="535"/>
      <c r="AWZ24" s="535"/>
      <c r="AXA24" s="535"/>
      <c r="AXB24" s="535"/>
      <c r="AXC24" s="535"/>
      <c r="AXD24" s="535"/>
      <c r="AXE24" s="535"/>
      <c r="AXF24" s="535"/>
      <c r="AXG24" s="535"/>
      <c r="AXH24" s="535"/>
      <c r="AXI24" s="535"/>
      <c r="AXJ24" s="535"/>
      <c r="AXK24" s="535"/>
      <c r="AXL24" s="535"/>
      <c r="AXM24" s="535"/>
      <c r="AXN24" s="535"/>
      <c r="AXO24" s="535"/>
      <c r="AXP24" s="535"/>
      <c r="AXQ24" s="535"/>
      <c r="AXR24" s="535"/>
      <c r="AXS24" s="535"/>
      <c r="AXT24" s="535"/>
      <c r="AXU24" s="535"/>
      <c r="AXV24" s="535"/>
      <c r="AXW24" s="535"/>
      <c r="AXX24" s="535"/>
      <c r="AXY24" s="535"/>
      <c r="AXZ24" s="535"/>
      <c r="AYA24" s="535"/>
      <c r="AYB24" s="535"/>
      <c r="AYC24" s="535"/>
      <c r="AYD24" s="535"/>
      <c r="AYE24" s="535"/>
      <c r="AYF24" s="535"/>
      <c r="AYG24" s="535"/>
      <c r="AYH24" s="535"/>
      <c r="AYI24" s="535"/>
      <c r="AYJ24" s="535"/>
      <c r="AYK24" s="535"/>
      <c r="AYL24" s="535"/>
      <c r="AYM24" s="535"/>
      <c r="AYN24" s="535"/>
      <c r="AYO24" s="535"/>
      <c r="AYP24" s="535"/>
      <c r="AYQ24" s="535"/>
      <c r="AYR24" s="535"/>
      <c r="AYS24" s="535"/>
      <c r="AYT24" s="535"/>
      <c r="AYU24" s="535"/>
      <c r="AYV24" s="535"/>
      <c r="AYW24" s="535"/>
      <c r="AYX24" s="535"/>
      <c r="AYY24" s="535"/>
      <c r="AYZ24" s="535"/>
      <c r="AZA24" s="535"/>
      <c r="AZB24" s="535"/>
      <c r="AZC24" s="535"/>
      <c r="AZD24" s="535"/>
      <c r="AZE24" s="535"/>
      <c r="AZF24" s="535"/>
      <c r="AZG24" s="535"/>
      <c r="AZH24" s="535"/>
      <c r="AZI24" s="535"/>
      <c r="AZJ24" s="535"/>
      <c r="AZK24" s="535"/>
      <c r="AZL24" s="535"/>
      <c r="AZM24" s="535"/>
      <c r="AZN24" s="535"/>
      <c r="AZO24" s="535"/>
      <c r="AZP24" s="535"/>
      <c r="AZQ24" s="535"/>
      <c r="AZR24" s="535"/>
      <c r="AZS24" s="535"/>
      <c r="AZT24" s="535"/>
      <c r="AZU24" s="535"/>
      <c r="AZV24" s="535"/>
      <c r="AZW24" s="535"/>
      <c r="AZX24" s="535"/>
      <c r="AZY24" s="535"/>
      <c r="AZZ24" s="535"/>
      <c r="BAA24" s="535"/>
      <c r="BAB24" s="535"/>
      <c r="BAC24" s="535"/>
      <c r="BAD24" s="535"/>
      <c r="BAE24" s="535"/>
      <c r="BAF24" s="535"/>
      <c r="BAG24" s="535"/>
      <c r="BAH24" s="535"/>
      <c r="BAI24" s="535"/>
      <c r="BAJ24" s="535"/>
      <c r="BAK24" s="535"/>
      <c r="BAL24" s="535"/>
      <c r="BAM24" s="535"/>
      <c r="BAN24" s="535"/>
      <c r="BAO24" s="535"/>
      <c r="BAP24" s="535"/>
      <c r="BAQ24" s="535"/>
      <c r="BAR24" s="535"/>
      <c r="BAS24" s="535"/>
      <c r="BAT24" s="535"/>
      <c r="BAU24" s="535"/>
      <c r="BAV24" s="535"/>
      <c r="BAW24" s="535"/>
      <c r="BAX24" s="535"/>
      <c r="BAY24" s="535"/>
      <c r="BAZ24" s="535"/>
      <c r="BBA24" s="535"/>
      <c r="BBB24" s="535"/>
      <c r="BBC24" s="535"/>
      <c r="BBD24" s="535"/>
      <c r="BBE24" s="535"/>
      <c r="BBF24" s="535"/>
      <c r="BBG24" s="535"/>
      <c r="BBH24" s="535"/>
      <c r="BBI24" s="535"/>
      <c r="BBJ24" s="535"/>
      <c r="BBK24" s="535"/>
      <c r="BBL24" s="535"/>
      <c r="BBM24" s="535"/>
      <c r="BBN24" s="535"/>
      <c r="BBO24" s="535"/>
      <c r="BBP24" s="535"/>
      <c r="BBQ24" s="535"/>
      <c r="BBR24" s="535"/>
      <c r="BBS24" s="535"/>
      <c r="BBT24" s="535"/>
      <c r="BBU24" s="535"/>
      <c r="BBV24" s="535"/>
      <c r="BBW24" s="535"/>
      <c r="BBX24" s="535"/>
      <c r="BBY24" s="535"/>
      <c r="BBZ24" s="535"/>
      <c r="BCA24" s="535"/>
      <c r="BCB24" s="535"/>
      <c r="BCC24" s="535"/>
      <c r="BCD24" s="535"/>
      <c r="BCE24" s="535"/>
      <c r="BCF24" s="535"/>
      <c r="BCG24" s="535"/>
      <c r="BCH24" s="535"/>
      <c r="BCI24" s="535"/>
      <c r="BCJ24" s="535"/>
      <c r="BCK24" s="535"/>
      <c r="BCL24" s="535"/>
      <c r="BCM24" s="535"/>
      <c r="BCN24" s="535"/>
      <c r="BCO24" s="535"/>
      <c r="BCP24" s="535"/>
      <c r="BCQ24" s="535"/>
      <c r="BCR24" s="535"/>
      <c r="BCS24" s="535"/>
      <c r="BCT24" s="535"/>
      <c r="BCU24" s="535"/>
      <c r="BCV24" s="535"/>
      <c r="BCW24" s="535"/>
      <c r="BCX24" s="535"/>
      <c r="BCY24" s="535"/>
      <c r="BCZ24" s="535"/>
      <c r="BDA24" s="535"/>
      <c r="BDB24" s="535"/>
      <c r="BDC24" s="535"/>
      <c r="BDD24" s="535"/>
      <c r="BDE24" s="535"/>
      <c r="BDF24" s="535"/>
      <c r="BDG24" s="535"/>
      <c r="BDH24" s="535"/>
      <c r="BDI24" s="535"/>
      <c r="BDJ24" s="535"/>
      <c r="BDK24" s="535"/>
      <c r="BDL24" s="535"/>
      <c r="BDM24" s="535"/>
      <c r="BDN24" s="535"/>
      <c r="BDO24" s="535"/>
      <c r="BDP24" s="535"/>
      <c r="BDQ24" s="535"/>
      <c r="BDR24" s="535"/>
      <c r="BDS24" s="535"/>
      <c r="BDT24" s="535"/>
      <c r="BDU24" s="535"/>
      <c r="BDV24" s="535"/>
      <c r="BDW24" s="535"/>
      <c r="BDX24" s="535"/>
      <c r="BDY24" s="535"/>
      <c r="BDZ24" s="535"/>
      <c r="BEA24" s="535"/>
      <c r="BEB24" s="535"/>
      <c r="BEC24" s="535"/>
      <c r="BED24" s="535"/>
      <c r="BEE24" s="535"/>
      <c r="BEF24" s="535"/>
      <c r="BEG24" s="535"/>
      <c r="BEH24" s="535"/>
      <c r="BEI24" s="535"/>
      <c r="BEJ24" s="535"/>
      <c r="BEK24" s="535"/>
      <c r="BEL24" s="535"/>
      <c r="BEM24" s="535"/>
      <c r="BEN24" s="535"/>
      <c r="BEO24" s="535"/>
      <c r="BEP24" s="535"/>
      <c r="BEQ24" s="535"/>
      <c r="BER24" s="535"/>
      <c r="BES24" s="535"/>
      <c r="BET24" s="535"/>
      <c r="BEU24" s="535"/>
      <c r="BEV24" s="535"/>
      <c r="BEW24" s="535"/>
      <c r="BEX24" s="535"/>
      <c r="BEY24" s="535"/>
      <c r="BEZ24" s="535"/>
      <c r="BFA24" s="535"/>
      <c r="BFB24" s="535"/>
      <c r="BFC24" s="535"/>
      <c r="BFD24" s="535"/>
      <c r="BFE24" s="535"/>
      <c r="BFF24" s="535"/>
      <c r="BFG24" s="535"/>
      <c r="BFH24" s="535"/>
      <c r="BFI24" s="535"/>
      <c r="BFJ24" s="535"/>
      <c r="BFK24" s="535"/>
      <c r="BFL24" s="535"/>
      <c r="BFM24" s="535"/>
      <c r="BFN24" s="535"/>
      <c r="BFO24" s="535"/>
      <c r="BFP24" s="535"/>
      <c r="BFQ24" s="535"/>
      <c r="BFR24" s="535"/>
      <c r="BFS24" s="535"/>
      <c r="BFT24" s="535"/>
      <c r="BFU24" s="535"/>
      <c r="BFV24" s="535"/>
      <c r="BFW24" s="535"/>
      <c r="BFX24" s="535"/>
      <c r="BFY24" s="535"/>
      <c r="BFZ24" s="535"/>
      <c r="BGA24" s="535"/>
      <c r="BGB24" s="535"/>
      <c r="BGC24" s="535"/>
      <c r="BGD24" s="535"/>
      <c r="BGE24" s="535"/>
      <c r="BGF24" s="535"/>
      <c r="BGG24" s="535"/>
      <c r="BGH24" s="535"/>
      <c r="BGI24" s="535"/>
      <c r="BGJ24" s="535"/>
      <c r="BGK24" s="535"/>
      <c r="BGL24" s="535"/>
      <c r="BGM24" s="535"/>
      <c r="BGN24" s="535"/>
      <c r="BGO24" s="535"/>
      <c r="BGP24" s="535"/>
      <c r="BGQ24" s="535"/>
      <c r="BGR24" s="535"/>
      <c r="BGS24" s="535"/>
      <c r="BGT24" s="535"/>
      <c r="BGU24" s="535"/>
      <c r="BGV24" s="535"/>
      <c r="BGW24" s="535"/>
      <c r="BGX24" s="535"/>
      <c r="BGY24" s="535"/>
      <c r="BGZ24" s="535"/>
      <c r="BHA24" s="535"/>
      <c r="BHB24" s="535"/>
      <c r="BHC24" s="535"/>
      <c r="BHD24" s="535"/>
      <c r="BHE24" s="535"/>
      <c r="BHF24" s="535"/>
      <c r="BHG24" s="535"/>
      <c r="BHH24" s="535"/>
      <c r="BHI24" s="535"/>
      <c r="BHJ24" s="535"/>
      <c r="BHK24" s="535"/>
      <c r="BHL24" s="535"/>
      <c r="BHM24" s="535"/>
      <c r="BHN24" s="535"/>
      <c r="BHO24" s="535"/>
      <c r="BHP24" s="535"/>
      <c r="BHQ24" s="535"/>
      <c r="BHR24" s="535"/>
      <c r="BHS24" s="535"/>
      <c r="BHT24" s="535"/>
      <c r="BHU24" s="535"/>
      <c r="BHV24" s="535"/>
      <c r="BHW24" s="535"/>
      <c r="BHX24" s="535"/>
      <c r="BHY24" s="535"/>
      <c r="BHZ24" s="535"/>
      <c r="BIA24" s="535"/>
      <c r="BIB24" s="535"/>
      <c r="BIC24" s="535"/>
      <c r="BID24" s="535"/>
      <c r="BIE24" s="535"/>
      <c r="BIF24" s="535"/>
      <c r="BIG24" s="535"/>
      <c r="BIH24" s="535"/>
      <c r="BII24" s="535"/>
      <c r="BIJ24" s="535"/>
      <c r="BIK24" s="535"/>
      <c r="BIL24" s="535"/>
      <c r="BIM24" s="535"/>
      <c r="BIN24" s="535"/>
      <c r="BIO24" s="535"/>
      <c r="BIP24" s="535"/>
      <c r="BIQ24" s="535"/>
      <c r="BIR24" s="535"/>
      <c r="BIS24" s="535"/>
      <c r="BIT24" s="535"/>
      <c r="BIU24" s="535"/>
      <c r="BIV24" s="535"/>
      <c r="BIW24" s="535"/>
      <c r="BIX24" s="535"/>
      <c r="BIY24" s="535"/>
      <c r="BIZ24" s="535"/>
      <c r="BJA24" s="535"/>
      <c r="BJB24" s="535"/>
      <c r="BJC24" s="535"/>
      <c r="BJD24" s="535"/>
      <c r="BJE24" s="535"/>
      <c r="BJF24" s="535"/>
      <c r="BJG24" s="535"/>
      <c r="BJH24" s="535"/>
      <c r="BJI24" s="535"/>
      <c r="BJJ24" s="535"/>
      <c r="BJK24" s="535"/>
      <c r="BJL24" s="535"/>
      <c r="BJM24" s="535"/>
      <c r="BJN24" s="535"/>
      <c r="BJO24" s="535"/>
      <c r="BJP24" s="535"/>
      <c r="BJQ24" s="535"/>
      <c r="BJR24" s="535"/>
      <c r="BJS24" s="535"/>
      <c r="BJT24" s="535"/>
      <c r="BJU24" s="535"/>
      <c r="BJV24" s="535"/>
      <c r="BJW24" s="535"/>
      <c r="BJX24" s="535"/>
      <c r="BJY24" s="535"/>
      <c r="BJZ24" s="535"/>
      <c r="BKA24" s="535"/>
      <c r="BKB24" s="535"/>
      <c r="BKC24" s="535"/>
      <c r="BKD24" s="535"/>
      <c r="BKE24" s="535"/>
      <c r="BKF24" s="535"/>
      <c r="BKG24" s="535"/>
      <c r="BKH24" s="535"/>
      <c r="BKI24" s="535"/>
      <c r="BKJ24" s="535"/>
      <c r="BKK24" s="535"/>
      <c r="BKL24" s="535"/>
      <c r="BKM24" s="535"/>
      <c r="BKN24" s="535"/>
      <c r="BKO24" s="535"/>
      <c r="BKP24" s="535"/>
      <c r="BKQ24" s="535"/>
      <c r="BKR24" s="535"/>
      <c r="BKS24" s="535"/>
      <c r="BKT24" s="535"/>
      <c r="BKU24" s="535"/>
      <c r="BKV24" s="535"/>
      <c r="BKW24" s="535"/>
      <c r="BKX24" s="535"/>
      <c r="BKY24" s="535"/>
      <c r="BKZ24" s="535"/>
      <c r="BLA24" s="535"/>
      <c r="BLB24" s="535"/>
      <c r="BLC24" s="535"/>
      <c r="BLD24" s="535"/>
      <c r="BLE24" s="535"/>
      <c r="BLF24" s="535"/>
      <c r="BLG24" s="535"/>
      <c r="BLH24" s="535"/>
      <c r="BLI24" s="535"/>
      <c r="BLJ24" s="535"/>
      <c r="BLK24" s="535"/>
      <c r="BLL24" s="535"/>
      <c r="BLM24" s="535"/>
      <c r="BLN24" s="535"/>
      <c r="BLO24" s="535"/>
      <c r="BLP24" s="535"/>
      <c r="BLQ24" s="535"/>
      <c r="BLR24" s="535"/>
      <c r="BLS24" s="535"/>
      <c r="BLT24" s="535"/>
      <c r="BLU24" s="535"/>
      <c r="BLV24" s="535"/>
      <c r="BLW24" s="535"/>
      <c r="BLX24" s="535"/>
      <c r="BLY24" s="535"/>
      <c r="BLZ24" s="535"/>
      <c r="BMA24" s="535"/>
      <c r="BMB24" s="535"/>
      <c r="BMC24" s="535"/>
      <c r="BMD24" s="535"/>
      <c r="BME24" s="535"/>
      <c r="BMF24" s="535"/>
      <c r="BMG24" s="535"/>
      <c r="BMH24" s="535"/>
      <c r="BMI24" s="535"/>
      <c r="BMJ24" s="535"/>
      <c r="BMK24" s="535"/>
      <c r="BML24" s="535"/>
      <c r="BMM24" s="535"/>
      <c r="BMN24" s="535"/>
      <c r="BMO24" s="535"/>
      <c r="BMP24" s="535"/>
      <c r="BMQ24" s="535"/>
      <c r="BMR24" s="535"/>
      <c r="BMS24" s="535"/>
      <c r="BMT24" s="535"/>
      <c r="BMU24" s="535"/>
      <c r="BMV24" s="535"/>
      <c r="BMW24" s="535"/>
      <c r="BMX24" s="535"/>
      <c r="BMY24" s="535"/>
      <c r="BMZ24" s="535"/>
      <c r="BNA24" s="535"/>
      <c r="BNB24" s="535"/>
      <c r="BNC24" s="535"/>
      <c r="BND24" s="535"/>
      <c r="BNE24" s="535"/>
      <c r="BNF24" s="535"/>
      <c r="BNG24" s="535"/>
      <c r="BNH24" s="535"/>
      <c r="BNI24" s="535"/>
      <c r="BNJ24" s="535"/>
      <c r="BNK24" s="535"/>
      <c r="BNL24" s="535"/>
      <c r="BNM24" s="535"/>
      <c r="BNN24" s="535"/>
      <c r="BNO24" s="535"/>
      <c r="BNP24" s="535"/>
      <c r="BNQ24" s="535"/>
      <c r="BNR24" s="535"/>
      <c r="BNS24" s="535"/>
      <c r="BNT24" s="535"/>
      <c r="BNU24" s="535"/>
      <c r="BNV24" s="535"/>
      <c r="BNW24" s="535"/>
      <c r="BNX24" s="535"/>
      <c r="BNY24" s="535"/>
      <c r="BNZ24" s="535"/>
      <c r="BOA24" s="535"/>
      <c r="BOB24" s="535"/>
      <c r="BOC24" s="535"/>
      <c r="BOD24" s="535"/>
      <c r="BOE24" s="535"/>
      <c r="BOF24" s="535"/>
      <c r="BOG24" s="535"/>
      <c r="BOH24" s="535"/>
      <c r="BOI24" s="535"/>
      <c r="BOJ24" s="535"/>
      <c r="BOK24" s="535"/>
      <c r="BOL24" s="535"/>
      <c r="BOM24" s="535"/>
      <c r="BON24" s="535"/>
      <c r="BOO24" s="535"/>
      <c r="BOP24" s="535"/>
      <c r="BOQ24" s="535"/>
      <c r="BOR24" s="535"/>
      <c r="BOS24" s="535"/>
      <c r="BOT24" s="535"/>
      <c r="BOU24" s="535"/>
      <c r="BOV24" s="535"/>
      <c r="BOW24" s="535"/>
      <c r="BOX24" s="535"/>
      <c r="BOY24" s="535"/>
      <c r="BOZ24" s="535"/>
      <c r="BPA24" s="535"/>
      <c r="BPB24" s="535"/>
      <c r="BPC24" s="535"/>
      <c r="BPD24" s="535"/>
      <c r="BPE24" s="535"/>
      <c r="BPF24" s="535"/>
      <c r="BPG24" s="535"/>
      <c r="BPH24" s="535"/>
      <c r="BPI24" s="535"/>
      <c r="BPJ24" s="535"/>
      <c r="BPK24" s="535"/>
      <c r="BPL24" s="535"/>
      <c r="BPM24" s="535"/>
      <c r="BPN24" s="535"/>
      <c r="BPO24" s="535"/>
      <c r="BPP24" s="535"/>
      <c r="BPQ24" s="535"/>
      <c r="BPR24" s="535"/>
      <c r="BPS24" s="535"/>
      <c r="BPT24" s="535"/>
      <c r="BPU24" s="535"/>
      <c r="BPV24" s="535"/>
      <c r="BPW24" s="535"/>
      <c r="BPX24" s="535"/>
      <c r="BPY24" s="535"/>
      <c r="BPZ24" s="535"/>
      <c r="BQA24" s="535"/>
      <c r="BQB24" s="535"/>
      <c r="BQC24" s="535"/>
      <c r="BQD24" s="535"/>
      <c r="BQE24" s="535"/>
      <c r="BQF24" s="535"/>
      <c r="BQG24" s="535"/>
      <c r="BQH24" s="535"/>
      <c r="BQI24" s="535"/>
      <c r="BQJ24" s="535"/>
      <c r="BQK24" s="535"/>
      <c r="BQL24" s="535"/>
      <c r="BQM24" s="535"/>
      <c r="BQN24" s="535"/>
      <c r="BQO24" s="535"/>
      <c r="BQP24" s="535"/>
      <c r="BQQ24" s="535"/>
      <c r="BQR24" s="535"/>
      <c r="BQS24" s="535"/>
      <c r="BQT24" s="535"/>
      <c r="BQU24" s="535"/>
      <c r="BQV24" s="535"/>
      <c r="BQW24" s="535"/>
      <c r="BQX24" s="535"/>
      <c r="BQY24" s="535"/>
      <c r="BQZ24" s="535"/>
      <c r="BRA24" s="535"/>
      <c r="BRB24" s="535"/>
      <c r="BRC24" s="535"/>
      <c r="BRD24" s="535"/>
      <c r="BRE24" s="535"/>
      <c r="BRF24" s="535"/>
      <c r="BRG24" s="535"/>
      <c r="BRH24" s="535"/>
      <c r="BRI24" s="535"/>
      <c r="BRJ24" s="535"/>
      <c r="BRK24" s="535"/>
      <c r="BRL24" s="535"/>
      <c r="BRM24" s="535"/>
      <c r="BRN24" s="535"/>
      <c r="BRO24" s="535"/>
      <c r="BRP24" s="535"/>
      <c r="BRQ24" s="535"/>
      <c r="BRR24" s="535"/>
      <c r="BRS24" s="535"/>
      <c r="BRT24" s="535"/>
      <c r="BRU24" s="535"/>
      <c r="BRV24" s="535"/>
      <c r="BRW24" s="535"/>
      <c r="BRX24" s="535"/>
      <c r="BRY24" s="535"/>
      <c r="BRZ24" s="535"/>
      <c r="BSA24" s="535"/>
      <c r="BSB24" s="535"/>
      <c r="BSC24" s="535"/>
      <c r="BSD24" s="535"/>
      <c r="BSE24" s="535"/>
      <c r="BSF24" s="535"/>
      <c r="BSG24" s="535"/>
      <c r="BSH24" s="535"/>
      <c r="BSI24" s="535"/>
      <c r="BSJ24" s="535"/>
      <c r="BSK24" s="535"/>
      <c r="BSL24" s="535"/>
      <c r="BSM24" s="535"/>
      <c r="BSN24" s="535"/>
      <c r="BSO24" s="535"/>
      <c r="BSP24" s="535"/>
      <c r="BSQ24" s="535"/>
      <c r="BSR24" s="535"/>
      <c r="BSS24" s="535"/>
      <c r="BST24" s="535"/>
      <c r="BSU24" s="535"/>
      <c r="BSV24" s="535"/>
      <c r="BSW24" s="535"/>
      <c r="BSX24" s="535"/>
      <c r="BSY24" s="535"/>
      <c r="BSZ24" s="535"/>
      <c r="BTA24" s="535"/>
      <c r="BTB24" s="535"/>
      <c r="BTC24" s="535"/>
      <c r="BTD24" s="535"/>
      <c r="BTE24" s="535"/>
      <c r="BTF24" s="535"/>
      <c r="BTG24" s="535"/>
      <c r="BTH24" s="535"/>
      <c r="BTI24" s="535"/>
      <c r="BTJ24" s="535"/>
      <c r="BTK24" s="535"/>
      <c r="BTL24" s="535"/>
      <c r="BTM24" s="535"/>
      <c r="BTN24" s="535"/>
      <c r="BTO24" s="535"/>
      <c r="BTP24" s="535"/>
      <c r="BTQ24" s="535"/>
      <c r="BTR24" s="535"/>
      <c r="BTS24" s="535"/>
      <c r="BTT24" s="535"/>
      <c r="BTU24" s="535"/>
      <c r="BTV24" s="535"/>
      <c r="BTW24" s="535"/>
      <c r="BTX24" s="535"/>
      <c r="BTY24" s="535"/>
      <c r="BTZ24" s="535"/>
      <c r="BUA24" s="535"/>
      <c r="BUB24" s="535"/>
      <c r="BUC24" s="535"/>
      <c r="BUD24" s="535"/>
      <c r="BUE24" s="535"/>
      <c r="BUF24" s="535"/>
      <c r="BUG24" s="535"/>
      <c r="BUH24" s="535"/>
      <c r="BUI24" s="535"/>
      <c r="BUJ24" s="535"/>
      <c r="BUK24" s="535"/>
      <c r="BUL24" s="535"/>
      <c r="BUM24" s="535"/>
      <c r="BUN24" s="535"/>
      <c r="BUO24" s="535"/>
      <c r="BUP24" s="535"/>
      <c r="BUQ24" s="535"/>
      <c r="BUR24" s="535"/>
      <c r="BUS24" s="535"/>
      <c r="BUT24" s="535"/>
      <c r="BUU24" s="535"/>
      <c r="BUV24" s="535"/>
      <c r="BUW24" s="535"/>
      <c r="BUX24" s="535"/>
      <c r="BUY24" s="535"/>
      <c r="BUZ24" s="535"/>
      <c r="BVA24" s="535"/>
      <c r="BVB24" s="535"/>
      <c r="BVC24" s="535"/>
      <c r="BVD24" s="535"/>
      <c r="BVE24" s="535"/>
      <c r="BVF24" s="535"/>
      <c r="BVG24" s="535"/>
      <c r="BVH24" s="535"/>
      <c r="BVI24" s="535"/>
      <c r="BVJ24" s="535"/>
      <c r="BVK24" s="535"/>
      <c r="BVL24" s="535"/>
      <c r="BVM24" s="535"/>
      <c r="BVN24" s="535"/>
      <c r="BVO24" s="535"/>
      <c r="BVP24" s="535"/>
      <c r="BVQ24" s="535"/>
      <c r="BVR24" s="535"/>
      <c r="BVS24" s="535"/>
      <c r="BVT24" s="535"/>
      <c r="BVU24" s="535"/>
      <c r="BVV24" s="535"/>
      <c r="BVW24" s="535"/>
      <c r="BVX24" s="535"/>
      <c r="BVY24" s="535"/>
      <c r="BVZ24" s="535"/>
      <c r="BWA24" s="535"/>
      <c r="BWB24" s="535"/>
      <c r="BWC24" s="535"/>
      <c r="BWD24" s="535"/>
      <c r="BWE24" s="535"/>
      <c r="BWF24" s="535"/>
      <c r="BWG24" s="535"/>
      <c r="BWH24" s="535"/>
      <c r="BWI24" s="535"/>
      <c r="BWJ24" s="535"/>
      <c r="BWK24" s="535"/>
      <c r="BWL24" s="535"/>
      <c r="BWM24" s="535"/>
      <c r="BWN24" s="535"/>
      <c r="BWO24" s="535"/>
      <c r="BWP24" s="535"/>
      <c r="BWQ24" s="535"/>
      <c r="BWR24" s="535"/>
      <c r="BWS24" s="535"/>
      <c r="BWT24" s="535"/>
      <c r="BWU24" s="535"/>
      <c r="BWV24" s="535"/>
      <c r="BWW24" s="535"/>
      <c r="BWX24" s="535"/>
      <c r="BWY24" s="535"/>
      <c r="BWZ24" s="535"/>
      <c r="BXA24" s="535"/>
      <c r="BXB24" s="535"/>
      <c r="BXC24" s="535"/>
      <c r="BXD24" s="535"/>
      <c r="BXE24" s="535"/>
      <c r="BXF24" s="535"/>
      <c r="BXG24" s="535"/>
      <c r="BXH24" s="535"/>
      <c r="BXI24" s="535"/>
      <c r="BXJ24" s="535"/>
      <c r="BXK24" s="535"/>
      <c r="BXL24" s="535"/>
      <c r="BXM24" s="535"/>
      <c r="BXN24" s="535"/>
      <c r="BXO24" s="535"/>
      <c r="BXP24" s="535"/>
      <c r="BXQ24" s="535"/>
      <c r="BXR24" s="535"/>
      <c r="BXS24" s="535"/>
      <c r="BXT24" s="535"/>
      <c r="BXU24" s="535"/>
      <c r="BXV24" s="535"/>
      <c r="BXW24" s="535"/>
      <c r="BXX24" s="535"/>
      <c r="BXY24" s="535"/>
      <c r="BXZ24" s="535"/>
      <c r="BYA24" s="535"/>
      <c r="BYB24" s="535"/>
      <c r="BYC24" s="535"/>
      <c r="BYD24" s="535"/>
      <c r="BYE24" s="535"/>
      <c r="BYF24" s="535"/>
      <c r="BYG24" s="535"/>
      <c r="BYH24" s="535"/>
      <c r="BYI24" s="535"/>
      <c r="BYJ24" s="535"/>
      <c r="BYK24" s="535"/>
      <c r="BYL24" s="535"/>
      <c r="BYM24" s="535"/>
      <c r="BYN24" s="535"/>
      <c r="BYO24" s="535"/>
      <c r="BYP24" s="535"/>
      <c r="BYQ24" s="535"/>
      <c r="BYR24" s="535"/>
      <c r="BYS24" s="535"/>
      <c r="BYT24" s="535"/>
      <c r="BYU24" s="535"/>
      <c r="BYV24" s="535"/>
      <c r="BYW24" s="535"/>
      <c r="BYX24" s="535"/>
      <c r="BYY24" s="535"/>
      <c r="BYZ24" s="535"/>
      <c r="BZA24" s="535"/>
      <c r="BZB24" s="535"/>
      <c r="BZC24" s="535"/>
      <c r="BZD24" s="535"/>
      <c r="BZE24" s="535"/>
      <c r="BZF24" s="535"/>
      <c r="BZG24" s="535"/>
      <c r="BZH24" s="535"/>
      <c r="BZI24" s="535"/>
      <c r="BZJ24" s="535"/>
      <c r="BZK24" s="535"/>
      <c r="BZL24" s="535"/>
      <c r="BZM24" s="535"/>
      <c r="BZN24" s="535"/>
      <c r="BZO24" s="535"/>
      <c r="BZP24" s="535"/>
      <c r="BZQ24" s="535"/>
      <c r="BZR24" s="535"/>
      <c r="BZS24" s="535"/>
      <c r="BZT24" s="535"/>
      <c r="BZU24" s="535"/>
      <c r="BZV24" s="535"/>
      <c r="BZW24" s="535"/>
      <c r="BZX24" s="535"/>
      <c r="BZY24" s="535"/>
      <c r="BZZ24" s="535"/>
      <c r="CAA24" s="535"/>
      <c r="CAB24" s="535"/>
      <c r="CAC24" s="535"/>
      <c r="CAD24" s="535"/>
      <c r="CAE24" s="535"/>
      <c r="CAF24" s="535"/>
      <c r="CAG24" s="535"/>
      <c r="CAH24" s="535"/>
      <c r="CAI24" s="535"/>
      <c r="CAJ24" s="535"/>
      <c r="CAK24" s="535"/>
      <c r="CAL24" s="535"/>
      <c r="CAM24" s="535"/>
      <c r="CAN24" s="535"/>
      <c r="CAO24" s="535"/>
      <c r="CAP24" s="535"/>
      <c r="CAQ24" s="535"/>
      <c r="CAR24" s="535"/>
      <c r="CAS24" s="535"/>
      <c r="CAT24" s="535"/>
      <c r="CAU24" s="535"/>
      <c r="CAV24" s="535"/>
      <c r="CAW24" s="535"/>
      <c r="CAX24" s="535"/>
      <c r="CAY24" s="535"/>
      <c r="CAZ24" s="535"/>
      <c r="CBA24" s="535"/>
      <c r="CBB24" s="535"/>
      <c r="CBC24" s="535"/>
      <c r="CBD24" s="535"/>
      <c r="CBE24" s="535"/>
      <c r="CBF24" s="535"/>
      <c r="CBG24" s="535"/>
      <c r="CBH24" s="535"/>
      <c r="CBI24" s="535"/>
      <c r="CBJ24" s="535"/>
      <c r="CBK24" s="535"/>
      <c r="CBL24" s="535"/>
      <c r="CBM24" s="535"/>
      <c r="CBN24" s="535"/>
      <c r="CBO24" s="535"/>
      <c r="CBP24" s="535"/>
      <c r="CBQ24" s="535"/>
      <c r="CBR24" s="535"/>
      <c r="CBS24" s="535"/>
      <c r="CBT24" s="535"/>
      <c r="CBU24" s="535"/>
      <c r="CBV24" s="535"/>
      <c r="CBW24" s="535"/>
      <c r="CBX24" s="535"/>
      <c r="CBY24" s="535"/>
      <c r="CBZ24" s="535"/>
      <c r="CCA24" s="535"/>
      <c r="CCB24" s="535"/>
      <c r="CCC24" s="535"/>
      <c r="CCD24" s="535"/>
      <c r="CCE24" s="535"/>
      <c r="CCF24" s="535"/>
      <c r="CCG24" s="535"/>
      <c r="CCH24" s="535"/>
      <c r="CCI24" s="535"/>
      <c r="CCJ24" s="535"/>
      <c r="CCK24" s="535"/>
      <c r="CCL24" s="535"/>
      <c r="CCM24" s="535"/>
      <c r="CCN24" s="535"/>
      <c r="CCO24" s="535"/>
      <c r="CCP24" s="535"/>
      <c r="CCQ24" s="535"/>
      <c r="CCR24" s="535"/>
      <c r="CCS24" s="535"/>
      <c r="CCT24" s="535"/>
      <c r="CCU24" s="535"/>
      <c r="CCV24" s="535"/>
      <c r="CCW24" s="535"/>
      <c r="CCX24" s="535"/>
      <c r="CCY24" s="535"/>
      <c r="CCZ24" s="535"/>
      <c r="CDA24" s="535"/>
      <c r="CDB24" s="535"/>
      <c r="CDC24" s="535"/>
      <c r="CDD24" s="535"/>
      <c r="CDE24" s="535"/>
      <c r="CDF24" s="535"/>
      <c r="CDG24" s="535"/>
      <c r="CDH24" s="535"/>
      <c r="CDI24" s="535"/>
      <c r="CDJ24" s="535"/>
      <c r="CDK24" s="535"/>
      <c r="CDL24" s="535"/>
      <c r="CDM24" s="535"/>
      <c r="CDN24" s="535"/>
      <c r="CDO24" s="535"/>
      <c r="CDP24" s="535"/>
      <c r="CDQ24" s="535"/>
      <c r="CDR24" s="535"/>
      <c r="CDS24" s="535"/>
      <c r="CDT24" s="535"/>
      <c r="CDU24" s="535"/>
      <c r="CDV24" s="535"/>
      <c r="CDW24" s="535"/>
      <c r="CDX24" s="535"/>
      <c r="CDY24" s="535"/>
      <c r="CDZ24" s="535"/>
      <c r="CEA24" s="535"/>
      <c r="CEB24" s="535"/>
      <c r="CEC24" s="535"/>
      <c r="CED24" s="535"/>
      <c r="CEE24" s="535"/>
      <c r="CEF24" s="535"/>
      <c r="CEG24" s="535"/>
      <c r="CEH24" s="535"/>
      <c r="CEI24" s="535"/>
      <c r="CEJ24" s="535"/>
      <c r="CEK24" s="535"/>
      <c r="CEL24" s="535"/>
      <c r="CEM24" s="535"/>
      <c r="CEN24" s="535"/>
      <c r="CEO24" s="535"/>
      <c r="CEP24" s="535"/>
      <c r="CEQ24" s="535"/>
      <c r="CER24" s="535"/>
      <c r="CES24" s="535"/>
      <c r="CET24" s="535"/>
      <c r="CEU24" s="535"/>
      <c r="CEV24" s="535"/>
      <c r="CEW24" s="535"/>
      <c r="CEX24" s="535"/>
      <c r="CEY24" s="535"/>
      <c r="CEZ24" s="535"/>
      <c r="CFA24" s="535"/>
      <c r="CFB24" s="535"/>
      <c r="CFC24" s="535"/>
      <c r="CFD24" s="535"/>
      <c r="CFE24" s="535"/>
      <c r="CFF24" s="535"/>
      <c r="CFG24" s="535"/>
      <c r="CFH24" s="535"/>
      <c r="CFI24" s="535"/>
      <c r="CFJ24" s="535"/>
      <c r="CFK24" s="535"/>
      <c r="CFL24" s="535"/>
      <c r="CFM24" s="535"/>
      <c r="CFN24" s="535"/>
      <c r="CFO24" s="535"/>
      <c r="CFP24" s="535"/>
      <c r="CFQ24" s="535"/>
      <c r="CFR24" s="535"/>
      <c r="CFS24" s="535"/>
      <c r="CFT24" s="535"/>
      <c r="CFU24" s="535"/>
      <c r="CFV24" s="535"/>
      <c r="CFW24" s="535"/>
      <c r="CFX24" s="535"/>
      <c r="CFY24" s="535"/>
      <c r="CFZ24" s="535"/>
      <c r="CGA24" s="535"/>
      <c r="CGB24" s="535"/>
      <c r="CGC24" s="535"/>
      <c r="CGD24" s="535"/>
      <c r="CGE24" s="535"/>
      <c r="CGF24" s="535"/>
      <c r="CGG24" s="535"/>
      <c r="CGH24" s="535"/>
      <c r="CGI24" s="535"/>
      <c r="CGJ24" s="535"/>
      <c r="CGK24" s="535"/>
      <c r="CGL24" s="535"/>
      <c r="CGM24" s="535"/>
      <c r="CGN24" s="535"/>
      <c r="CGO24" s="535"/>
      <c r="CGP24" s="535"/>
      <c r="CGQ24" s="535"/>
      <c r="CGR24" s="535"/>
      <c r="CGS24" s="535"/>
      <c r="CGT24" s="535"/>
      <c r="CGU24" s="535"/>
      <c r="CGV24" s="535"/>
      <c r="CGW24" s="535"/>
      <c r="CGX24" s="535"/>
      <c r="CGY24" s="535"/>
      <c r="CGZ24" s="535"/>
      <c r="CHA24" s="535"/>
      <c r="CHB24" s="535"/>
      <c r="CHC24" s="535"/>
      <c r="CHD24" s="535"/>
      <c r="CHE24" s="535"/>
      <c r="CHF24" s="535"/>
      <c r="CHG24" s="535"/>
      <c r="CHH24" s="535"/>
      <c r="CHI24" s="535"/>
      <c r="CHJ24" s="535"/>
      <c r="CHK24" s="535"/>
      <c r="CHL24" s="535"/>
      <c r="CHM24" s="535"/>
      <c r="CHN24" s="535"/>
      <c r="CHO24" s="535"/>
      <c r="CHP24" s="535"/>
      <c r="CHQ24" s="535"/>
      <c r="CHR24" s="535"/>
      <c r="CHS24" s="535"/>
      <c r="CHT24" s="535"/>
      <c r="CHU24" s="535"/>
      <c r="CHV24" s="535"/>
      <c r="CHW24" s="535"/>
      <c r="CHX24" s="535"/>
      <c r="CHY24" s="535"/>
      <c r="CHZ24" s="535"/>
      <c r="CIA24" s="535"/>
      <c r="CIB24" s="535"/>
      <c r="CIC24" s="535"/>
      <c r="CID24" s="535"/>
      <c r="CIE24" s="535"/>
      <c r="CIF24" s="535"/>
      <c r="CIG24" s="535"/>
      <c r="CIH24" s="535"/>
      <c r="CII24" s="535"/>
      <c r="CIJ24" s="535"/>
      <c r="CIK24" s="535"/>
      <c r="CIL24" s="535"/>
      <c r="CIM24" s="535"/>
      <c r="CIN24" s="535"/>
      <c r="CIO24" s="535"/>
      <c r="CIP24" s="535"/>
      <c r="CIQ24" s="535"/>
      <c r="CIR24" s="535"/>
      <c r="CIS24" s="535"/>
      <c r="CIT24" s="535"/>
      <c r="CIU24" s="535"/>
      <c r="CIV24" s="535"/>
      <c r="CIW24" s="535"/>
      <c r="CIX24" s="535"/>
      <c r="CIY24" s="535"/>
      <c r="CIZ24" s="535"/>
      <c r="CJA24" s="535"/>
      <c r="CJB24" s="535"/>
      <c r="CJC24" s="535"/>
      <c r="CJD24" s="535"/>
      <c r="CJE24" s="535"/>
      <c r="CJF24" s="535"/>
      <c r="CJG24" s="535"/>
      <c r="CJH24" s="535"/>
      <c r="CJI24" s="535"/>
      <c r="CJJ24" s="535"/>
      <c r="CJK24" s="535"/>
      <c r="CJL24" s="535"/>
      <c r="CJM24" s="535"/>
      <c r="CJN24" s="535"/>
      <c r="CJO24" s="535"/>
      <c r="CJP24" s="535"/>
      <c r="CJQ24" s="535"/>
      <c r="CJR24" s="535"/>
      <c r="CJS24" s="535"/>
      <c r="CJT24" s="535"/>
      <c r="CJU24" s="535"/>
      <c r="CJV24" s="535"/>
      <c r="CJW24" s="535"/>
      <c r="CJX24" s="535"/>
      <c r="CJY24" s="535"/>
      <c r="CJZ24" s="535"/>
      <c r="CKA24" s="535"/>
      <c r="CKB24" s="535"/>
      <c r="CKC24" s="535"/>
      <c r="CKD24" s="535"/>
      <c r="CKE24" s="535"/>
      <c r="CKF24" s="535"/>
      <c r="CKG24" s="535"/>
      <c r="CKH24" s="535"/>
      <c r="CKI24" s="535"/>
      <c r="CKJ24" s="535"/>
      <c r="CKK24" s="535"/>
      <c r="CKL24" s="535"/>
      <c r="CKM24" s="535"/>
      <c r="CKN24" s="535"/>
      <c r="CKO24" s="535"/>
      <c r="CKP24" s="535"/>
      <c r="CKQ24" s="535"/>
      <c r="CKR24" s="535"/>
      <c r="CKS24" s="535"/>
      <c r="CKT24" s="535"/>
      <c r="CKU24" s="535"/>
      <c r="CKV24" s="535"/>
      <c r="CKW24" s="535"/>
      <c r="CKX24" s="535"/>
      <c r="CKY24" s="535"/>
      <c r="CKZ24" s="535"/>
      <c r="CLA24" s="535"/>
      <c r="CLB24" s="535"/>
      <c r="CLC24" s="535"/>
      <c r="CLD24" s="535"/>
      <c r="CLE24" s="535"/>
      <c r="CLF24" s="535"/>
      <c r="CLG24" s="535"/>
      <c r="CLH24" s="535"/>
      <c r="CLI24" s="535"/>
      <c r="CLJ24" s="535"/>
      <c r="CLK24" s="535"/>
      <c r="CLL24" s="535"/>
      <c r="CLM24" s="535"/>
      <c r="CLN24" s="535"/>
      <c r="CLO24" s="535"/>
      <c r="CLP24" s="535"/>
      <c r="CLQ24" s="535"/>
      <c r="CLR24" s="535"/>
      <c r="CLS24" s="535"/>
      <c r="CLT24" s="535"/>
      <c r="CLU24" s="535"/>
      <c r="CLV24" s="535"/>
      <c r="CLW24" s="535"/>
      <c r="CLX24" s="535"/>
      <c r="CLY24" s="535"/>
      <c r="CLZ24" s="535"/>
      <c r="CMA24" s="535"/>
      <c r="CMB24" s="535"/>
      <c r="CMC24" s="535"/>
      <c r="CMD24" s="535"/>
      <c r="CME24" s="535"/>
      <c r="CMF24" s="535"/>
      <c r="CMG24" s="535"/>
      <c r="CMH24" s="535"/>
      <c r="CMI24" s="535"/>
      <c r="CMJ24" s="535"/>
      <c r="CMK24" s="535"/>
      <c r="CML24" s="535"/>
      <c r="CMM24" s="535"/>
      <c r="CMN24" s="535"/>
      <c r="CMO24" s="535"/>
      <c r="CMP24" s="535"/>
      <c r="CMQ24" s="535"/>
      <c r="CMR24" s="535"/>
      <c r="CMS24" s="535"/>
      <c r="CMT24" s="535"/>
      <c r="CMU24" s="535"/>
      <c r="CMV24" s="535"/>
      <c r="CMW24" s="535"/>
      <c r="CMX24" s="535"/>
      <c r="CMY24" s="535"/>
      <c r="CMZ24" s="535"/>
      <c r="CNA24" s="535"/>
      <c r="CNB24" s="535"/>
      <c r="CNC24" s="535"/>
      <c r="CND24" s="535"/>
      <c r="CNE24" s="535"/>
      <c r="CNF24" s="535"/>
      <c r="CNG24" s="535"/>
      <c r="CNH24" s="535"/>
      <c r="CNI24" s="535"/>
      <c r="CNJ24" s="535"/>
      <c r="CNK24" s="535"/>
      <c r="CNL24" s="535"/>
      <c r="CNM24" s="535"/>
      <c r="CNN24" s="535"/>
      <c r="CNO24" s="535"/>
      <c r="CNP24" s="535"/>
      <c r="CNQ24" s="535"/>
      <c r="CNR24" s="535"/>
      <c r="CNS24" s="535"/>
      <c r="CNT24" s="535"/>
      <c r="CNU24" s="535"/>
      <c r="CNV24" s="535"/>
      <c r="CNW24" s="535"/>
      <c r="CNX24" s="535"/>
      <c r="CNY24" s="535"/>
      <c r="CNZ24" s="535"/>
      <c r="COA24" s="535"/>
      <c r="COB24" s="535"/>
      <c r="COC24" s="535"/>
      <c r="COD24" s="535"/>
      <c r="COE24" s="535"/>
      <c r="COF24" s="535"/>
      <c r="COG24" s="535"/>
      <c r="COH24" s="535"/>
      <c r="COI24" s="535"/>
      <c r="COJ24" s="535"/>
      <c r="COK24" s="535"/>
      <c r="COL24" s="535"/>
      <c r="COM24" s="535"/>
      <c r="CON24" s="535"/>
      <c r="COO24" s="535"/>
      <c r="COP24" s="535"/>
      <c r="COQ24" s="535"/>
      <c r="COR24" s="535"/>
      <c r="COS24" s="535"/>
      <c r="COT24" s="535"/>
      <c r="COU24" s="535"/>
      <c r="COV24" s="535"/>
      <c r="COW24" s="535"/>
      <c r="COX24" s="535"/>
      <c r="COY24" s="535"/>
      <c r="COZ24" s="535"/>
      <c r="CPA24" s="535"/>
      <c r="CPB24" s="535"/>
      <c r="CPC24" s="535"/>
      <c r="CPD24" s="535"/>
      <c r="CPE24" s="535"/>
      <c r="CPF24" s="535"/>
      <c r="CPG24" s="535"/>
      <c r="CPH24" s="535"/>
      <c r="CPI24" s="535"/>
      <c r="CPJ24" s="535"/>
      <c r="CPK24" s="535"/>
      <c r="CPL24" s="535"/>
      <c r="CPM24" s="535"/>
      <c r="CPN24" s="535"/>
      <c r="CPO24" s="535"/>
      <c r="CPP24" s="535"/>
      <c r="CPQ24" s="535"/>
      <c r="CPR24" s="535"/>
      <c r="CPS24" s="535"/>
      <c r="CPT24" s="535"/>
      <c r="CPU24" s="535"/>
      <c r="CPV24" s="535"/>
      <c r="CPW24" s="535"/>
      <c r="CPX24" s="535"/>
      <c r="CPY24" s="535"/>
      <c r="CPZ24" s="535"/>
      <c r="CQA24" s="535"/>
      <c r="CQB24" s="535"/>
      <c r="CQC24" s="535"/>
      <c r="CQD24" s="535"/>
      <c r="CQE24" s="535"/>
      <c r="CQF24" s="535"/>
      <c r="CQG24" s="535"/>
      <c r="CQH24" s="535"/>
      <c r="CQI24" s="535"/>
      <c r="CQJ24" s="535"/>
      <c r="CQK24" s="535"/>
      <c r="CQL24" s="535"/>
      <c r="CQM24" s="535"/>
      <c r="CQN24" s="535"/>
      <c r="CQO24" s="535"/>
      <c r="CQP24" s="535"/>
      <c r="CQQ24" s="535"/>
      <c r="CQR24" s="535"/>
      <c r="CQS24" s="535"/>
      <c r="CQT24" s="535"/>
      <c r="CQU24" s="535"/>
      <c r="CQV24" s="535"/>
      <c r="CQW24" s="535"/>
      <c r="CQX24" s="535"/>
      <c r="CQY24" s="535"/>
      <c r="CQZ24" s="535"/>
      <c r="CRA24" s="535"/>
      <c r="CRB24" s="535"/>
      <c r="CRC24" s="535"/>
      <c r="CRD24" s="535"/>
      <c r="CRE24" s="535"/>
      <c r="CRF24" s="535"/>
      <c r="CRG24" s="535"/>
      <c r="CRH24" s="535"/>
      <c r="CRI24" s="535"/>
      <c r="CRJ24" s="535"/>
      <c r="CRK24" s="535"/>
      <c r="CRL24" s="535"/>
      <c r="CRM24" s="535"/>
      <c r="CRN24" s="535"/>
      <c r="CRO24" s="535"/>
      <c r="CRP24" s="535"/>
      <c r="CRQ24" s="535"/>
      <c r="CRR24" s="535"/>
      <c r="CRS24" s="535"/>
      <c r="CRT24" s="535"/>
      <c r="CRU24" s="535"/>
      <c r="CRV24" s="535"/>
      <c r="CRW24" s="535"/>
      <c r="CRX24" s="535"/>
      <c r="CRY24" s="535"/>
      <c r="CRZ24" s="535"/>
      <c r="CSA24" s="535"/>
      <c r="CSB24" s="535"/>
      <c r="CSC24" s="535"/>
      <c r="CSD24" s="535"/>
      <c r="CSE24" s="535"/>
      <c r="CSF24" s="535"/>
      <c r="CSG24" s="535"/>
      <c r="CSH24" s="535"/>
      <c r="CSI24" s="535"/>
      <c r="CSJ24" s="535"/>
      <c r="CSK24" s="535"/>
      <c r="CSL24" s="535"/>
      <c r="CSM24" s="535"/>
      <c r="CSN24" s="535"/>
      <c r="CSO24" s="535"/>
      <c r="CSP24" s="535"/>
      <c r="CSQ24" s="535"/>
      <c r="CSR24" s="535"/>
      <c r="CSS24" s="535"/>
      <c r="CST24" s="535"/>
      <c r="CSU24" s="535"/>
      <c r="CSV24" s="535"/>
      <c r="CSW24" s="535"/>
      <c r="CSX24" s="535"/>
      <c r="CSY24" s="535"/>
      <c r="CSZ24" s="535"/>
      <c r="CTA24" s="535"/>
      <c r="CTB24" s="535"/>
      <c r="CTC24" s="535"/>
      <c r="CTD24" s="535"/>
      <c r="CTE24" s="535"/>
      <c r="CTF24" s="535"/>
      <c r="CTG24" s="535"/>
      <c r="CTH24" s="535"/>
      <c r="CTI24" s="535"/>
      <c r="CTJ24" s="535"/>
      <c r="CTK24" s="535"/>
      <c r="CTL24" s="535"/>
      <c r="CTM24" s="535"/>
      <c r="CTN24" s="535"/>
      <c r="CTO24" s="535"/>
      <c r="CTP24" s="535"/>
      <c r="CTQ24" s="535"/>
      <c r="CTR24" s="535"/>
      <c r="CTS24" s="535"/>
      <c r="CTT24" s="535"/>
      <c r="CTU24" s="535"/>
      <c r="CTV24" s="535"/>
      <c r="CTW24" s="535"/>
      <c r="CTX24" s="535"/>
      <c r="CTY24" s="535"/>
      <c r="CTZ24" s="535"/>
      <c r="CUA24" s="535"/>
      <c r="CUB24" s="535"/>
      <c r="CUC24" s="535"/>
      <c r="CUD24" s="535"/>
      <c r="CUE24" s="535"/>
      <c r="CUF24" s="535"/>
      <c r="CUG24" s="535"/>
      <c r="CUH24" s="535"/>
      <c r="CUI24" s="535"/>
      <c r="CUJ24" s="535"/>
      <c r="CUK24" s="535"/>
      <c r="CUL24" s="535"/>
      <c r="CUM24" s="535"/>
      <c r="CUN24" s="535"/>
      <c r="CUO24" s="535"/>
      <c r="CUP24" s="535"/>
      <c r="CUQ24" s="535"/>
      <c r="CUR24" s="535"/>
      <c r="CUS24" s="535"/>
      <c r="CUT24" s="535"/>
      <c r="CUU24" s="535"/>
      <c r="CUV24" s="535"/>
      <c r="CUW24" s="535"/>
      <c r="CUX24" s="535"/>
      <c r="CUY24" s="535"/>
      <c r="CUZ24" s="535"/>
      <c r="CVA24" s="535"/>
      <c r="CVB24" s="535"/>
      <c r="CVC24" s="535"/>
      <c r="CVD24" s="535"/>
      <c r="CVE24" s="535"/>
      <c r="CVF24" s="535"/>
      <c r="CVG24" s="535"/>
      <c r="CVH24" s="535"/>
      <c r="CVI24" s="535"/>
      <c r="CVJ24" s="535"/>
      <c r="CVK24" s="535"/>
      <c r="CVL24" s="535"/>
      <c r="CVM24" s="535"/>
      <c r="CVN24" s="535"/>
      <c r="CVO24" s="535"/>
      <c r="CVP24" s="535"/>
      <c r="CVQ24" s="535"/>
      <c r="CVR24" s="535"/>
      <c r="CVS24" s="535"/>
      <c r="CVT24" s="535"/>
      <c r="CVU24" s="535"/>
      <c r="CVV24" s="535"/>
      <c r="CVW24" s="535"/>
      <c r="CVX24" s="535"/>
      <c r="CVY24" s="535"/>
      <c r="CVZ24" s="535"/>
      <c r="CWA24" s="535"/>
      <c r="CWB24" s="535"/>
      <c r="CWC24" s="535"/>
      <c r="CWD24" s="535"/>
      <c r="CWE24" s="535"/>
      <c r="CWF24" s="535"/>
      <c r="CWG24" s="535"/>
      <c r="CWH24" s="535"/>
      <c r="CWI24" s="535"/>
      <c r="CWJ24" s="535"/>
      <c r="CWK24" s="535"/>
      <c r="CWL24" s="535"/>
      <c r="CWM24" s="535"/>
      <c r="CWN24" s="535"/>
      <c r="CWO24" s="535"/>
      <c r="CWP24" s="535"/>
      <c r="CWQ24" s="535"/>
      <c r="CWR24" s="535"/>
      <c r="CWS24" s="535"/>
      <c r="CWT24" s="535"/>
      <c r="CWU24" s="535"/>
      <c r="CWV24" s="535"/>
      <c r="CWW24" s="535"/>
      <c r="CWX24" s="535"/>
      <c r="CWY24" s="535"/>
      <c r="CWZ24" s="535"/>
      <c r="CXA24" s="535"/>
      <c r="CXB24" s="535"/>
      <c r="CXC24" s="535"/>
      <c r="CXD24" s="535"/>
      <c r="CXE24" s="535"/>
      <c r="CXF24" s="535"/>
      <c r="CXG24" s="535"/>
      <c r="CXH24" s="535"/>
      <c r="CXI24" s="535"/>
      <c r="CXJ24" s="535"/>
      <c r="CXK24" s="535"/>
      <c r="CXL24" s="535"/>
      <c r="CXM24" s="535"/>
      <c r="CXN24" s="535"/>
      <c r="CXO24" s="535"/>
      <c r="CXP24" s="535"/>
      <c r="CXQ24" s="535"/>
      <c r="CXR24" s="535"/>
      <c r="CXS24" s="535"/>
      <c r="CXT24" s="535"/>
      <c r="CXU24" s="535"/>
      <c r="CXV24" s="535"/>
      <c r="CXW24" s="535"/>
      <c r="CXX24" s="535"/>
      <c r="CXY24" s="535"/>
      <c r="CXZ24" s="535"/>
      <c r="CYA24" s="535"/>
      <c r="CYB24" s="535"/>
      <c r="CYC24" s="535"/>
      <c r="CYD24" s="535"/>
      <c r="CYE24" s="535"/>
      <c r="CYF24" s="535"/>
      <c r="CYG24" s="535"/>
      <c r="CYH24" s="535"/>
      <c r="CYI24" s="535"/>
      <c r="CYJ24" s="535"/>
      <c r="CYK24" s="535"/>
      <c r="CYL24" s="535"/>
      <c r="CYM24" s="535"/>
      <c r="CYN24" s="535"/>
      <c r="CYO24" s="535"/>
      <c r="CYP24" s="535"/>
      <c r="CYQ24" s="535"/>
      <c r="CYR24" s="535"/>
      <c r="CYS24" s="535"/>
      <c r="CYT24" s="535"/>
      <c r="CYU24" s="535"/>
      <c r="CYV24" s="535"/>
      <c r="CYW24" s="535"/>
      <c r="CYX24" s="535"/>
      <c r="CYY24" s="535"/>
      <c r="CYZ24" s="535"/>
      <c r="CZA24" s="535"/>
      <c r="CZB24" s="535"/>
      <c r="CZC24" s="535"/>
      <c r="CZD24" s="535"/>
      <c r="CZE24" s="535"/>
      <c r="CZF24" s="535"/>
      <c r="CZG24" s="535"/>
      <c r="CZH24" s="535"/>
      <c r="CZI24" s="535"/>
      <c r="CZJ24" s="535"/>
      <c r="CZK24" s="535"/>
      <c r="CZL24" s="535"/>
      <c r="CZM24" s="535"/>
      <c r="CZN24" s="535"/>
      <c r="CZO24" s="535"/>
      <c r="CZP24" s="535"/>
      <c r="CZQ24" s="535"/>
      <c r="CZR24" s="535"/>
      <c r="CZS24" s="535"/>
      <c r="CZT24" s="535"/>
      <c r="CZU24" s="535"/>
      <c r="CZV24" s="535"/>
      <c r="CZW24" s="535"/>
      <c r="CZX24" s="535"/>
      <c r="CZY24" s="535"/>
      <c r="CZZ24" s="535"/>
      <c r="DAA24" s="535"/>
      <c r="DAB24" s="535"/>
      <c r="DAC24" s="535"/>
      <c r="DAD24" s="535"/>
      <c r="DAE24" s="535"/>
      <c r="DAF24" s="535"/>
      <c r="DAG24" s="535"/>
      <c r="DAH24" s="535"/>
      <c r="DAI24" s="535"/>
      <c r="DAJ24" s="535"/>
      <c r="DAK24" s="535"/>
      <c r="DAL24" s="535"/>
      <c r="DAM24" s="535"/>
      <c r="DAN24" s="535"/>
      <c r="DAO24" s="535"/>
      <c r="DAP24" s="535"/>
      <c r="DAQ24" s="535"/>
      <c r="DAR24" s="535"/>
      <c r="DAS24" s="535"/>
      <c r="DAT24" s="535"/>
      <c r="DAU24" s="535"/>
      <c r="DAV24" s="535"/>
      <c r="DAW24" s="535"/>
      <c r="DAX24" s="535"/>
      <c r="DAY24" s="535"/>
      <c r="DAZ24" s="535"/>
      <c r="DBA24" s="535"/>
      <c r="DBB24" s="535"/>
      <c r="DBC24" s="535"/>
      <c r="DBD24" s="535"/>
      <c r="DBE24" s="535"/>
      <c r="DBF24" s="535"/>
      <c r="DBG24" s="535"/>
      <c r="DBH24" s="535"/>
      <c r="DBI24" s="535"/>
      <c r="DBJ24" s="535"/>
      <c r="DBK24" s="535"/>
      <c r="DBL24" s="535"/>
      <c r="DBM24" s="535"/>
      <c r="DBN24" s="535"/>
      <c r="DBO24" s="535"/>
      <c r="DBP24" s="535"/>
      <c r="DBQ24" s="535"/>
      <c r="DBR24" s="535"/>
      <c r="DBS24" s="535"/>
      <c r="DBT24" s="535"/>
      <c r="DBU24" s="535"/>
      <c r="DBV24" s="535"/>
      <c r="DBW24" s="535"/>
      <c r="DBX24" s="535"/>
      <c r="DBY24" s="535"/>
      <c r="DBZ24" s="535"/>
      <c r="DCA24" s="535"/>
      <c r="DCB24" s="535"/>
      <c r="DCC24" s="535"/>
      <c r="DCD24" s="535"/>
      <c r="DCE24" s="535"/>
      <c r="DCF24" s="535"/>
      <c r="DCG24" s="535"/>
      <c r="DCH24" s="535"/>
      <c r="DCI24" s="535"/>
      <c r="DCJ24" s="535"/>
      <c r="DCK24" s="535"/>
      <c r="DCL24" s="535"/>
      <c r="DCM24" s="535"/>
      <c r="DCN24" s="535"/>
      <c r="DCO24" s="535"/>
      <c r="DCP24" s="535"/>
      <c r="DCQ24" s="535"/>
      <c r="DCR24" s="535"/>
      <c r="DCS24" s="535"/>
      <c r="DCT24" s="535"/>
      <c r="DCU24" s="535"/>
      <c r="DCV24" s="535"/>
      <c r="DCW24" s="535"/>
      <c r="DCX24" s="535"/>
      <c r="DCY24" s="535"/>
      <c r="DCZ24" s="535"/>
      <c r="DDA24" s="535"/>
      <c r="DDB24" s="535"/>
      <c r="DDC24" s="535"/>
      <c r="DDD24" s="535"/>
      <c r="DDE24" s="535"/>
      <c r="DDF24" s="535"/>
      <c r="DDG24" s="535"/>
      <c r="DDH24" s="535"/>
      <c r="DDI24" s="535"/>
      <c r="DDJ24" s="535"/>
      <c r="DDK24" s="535"/>
      <c r="DDL24" s="535"/>
      <c r="DDM24" s="535"/>
      <c r="DDN24" s="535"/>
      <c r="DDO24" s="535"/>
      <c r="DDP24" s="535"/>
      <c r="DDQ24" s="535"/>
      <c r="DDR24" s="535"/>
      <c r="DDS24" s="535"/>
      <c r="DDT24" s="535"/>
      <c r="DDU24" s="535"/>
      <c r="DDV24" s="535"/>
      <c r="DDW24" s="535"/>
      <c r="DDX24" s="535"/>
      <c r="DDY24" s="535"/>
      <c r="DDZ24" s="535"/>
      <c r="DEA24" s="535"/>
      <c r="DEB24" s="535"/>
      <c r="DEC24" s="535"/>
      <c r="DED24" s="535"/>
      <c r="DEE24" s="535"/>
      <c r="DEF24" s="535"/>
      <c r="DEG24" s="535"/>
      <c r="DEH24" s="535"/>
      <c r="DEI24" s="535"/>
      <c r="DEJ24" s="535"/>
      <c r="DEK24" s="535"/>
      <c r="DEL24" s="535"/>
      <c r="DEM24" s="535"/>
      <c r="DEN24" s="535"/>
      <c r="DEO24" s="535"/>
      <c r="DEP24" s="535"/>
      <c r="DEQ24" s="535"/>
      <c r="DER24" s="535"/>
      <c r="DES24" s="535"/>
      <c r="DET24" s="535"/>
      <c r="DEU24" s="535"/>
      <c r="DEV24" s="535"/>
      <c r="DEW24" s="535"/>
      <c r="DEX24" s="535"/>
      <c r="DEY24" s="535"/>
      <c r="DEZ24" s="535"/>
      <c r="DFA24" s="535"/>
      <c r="DFB24" s="535"/>
      <c r="DFC24" s="535"/>
      <c r="DFD24" s="535"/>
      <c r="DFE24" s="535"/>
      <c r="DFF24" s="535"/>
      <c r="DFG24" s="535"/>
      <c r="DFH24" s="535"/>
      <c r="DFI24" s="535"/>
      <c r="DFJ24" s="535"/>
      <c r="DFK24" s="535"/>
      <c r="DFL24" s="535"/>
      <c r="DFM24" s="535"/>
      <c r="DFN24" s="535"/>
      <c r="DFO24" s="535"/>
      <c r="DFP24" s="535"/>
      <c r="DFQ24" s="535"/>
      <c r="DFR24" s="535"/>
      <c r="DFS24" s="535"/>
      <c r="DFT24" s="535"/>
      <c r="DFU24" s="535"/>
      <c r="DFV24" s="535"/>
      <c r="DFW24" s="535"/>
      <c r="DFX24" s="535"/>
      <c r="DFY24" s="535"/>
      <c r="DFZ24" s="535"/>
      <c r="DGA24" s="535"/>
      <c r="DGB24" s="535"/>
      <c r="DGC24" s="535"/>
      <c r="DGD24" s="535"/>
      <c r="DGE24" s="535"/>
      <c r="DGF24" s="535"/>
      <c r="DGG24" s="535"/>
      <c r="DGH24" s="535"/>
      <c r="DGI24" s="535"/>
      <c r="DGJ24" s="535"/>
      <c r="DGK24" s="535"/>
      <c r="DGL24" s="535"/>
      <c r="DGM24" s="535"/>
      <c r="DGN24" s="535"/>
      <c r="DGO24" s="535"/>
      <c r="DGP24" s="535"/>
      <c r="DGQ24" s="535"/>
      <c r="DGR24" s="535"/>
      <c r="DGS24" s="535"/>
      <c r="DGT24" s="535"/>
      <c r="DGU24" s="535"/>
      <c r="DGV24" s="535"/>
      <c r="DGW24" s="535"/>
      <c r="DGX24" s="535"/>
      <c r="DGY24" s="535"/>
      <c r="DGZ24" s="535"/>
      <c r="DHA24" s="535"/>
      <c r="DHB24" s="535"/>
      <c r="DHC24" s="535"/>
      <c r="DHD24" s="535"/>
      <c r="DHE24" s="535"/>
      <c r="DHF24" s="535"/>
      <c r="DHG24" s="535"/>
      <c r="DHH24" s="535"/>
      <c r="DHI24" s="535"/>
      <c r="DHJ24" s="535"/>
      <c r="DHK24" s="535"/>
      <c r="DHL24" s="535"/>
      <c r="DHM24" s="535"/>
      <c r="DHN24" s="535"/>
      <c r="DHO24" s="535"/>
      <c r="DHP24" s="535"/>
      <c r="DHQ24" s="535"/>
      <c r="DHR24" s="535"/>
      <c r="DHS24" s="535"/>
      <c r="DHT24" s="535"/>
      <c r="DHU24" s="535"/>
      <c r="DHV24" s="535"/>
      <c r="DHW24" s="535"/>
      <c r="DHX24" s="535"/>
      <c r="DHY24" s="535"/>
      <c r="DHZ24" s="535"/>
      <c r="DIA24" s="535"/>
      <c r="DIB24" s="535"/>
      <c r="DIC24" s="535"/>
      <c r="DID24" s="535"/>
      <c r="DIE24" s="535"/>
      <c r="DIF24" s="535"/>
      <c r="DIG24" s="535"/>
      <c r="DIH24" s="535"/>
      <c r="DII24" s="535"/>
      <c r="DIJ24" s="535"/>
      <c r="DIK24" s="535"/>
      <c r="DIL24" s="535"/>
      <c r="DIM24" s="535"/>
      <c r="DIN24" s="535"/>
      <c r="DIO24" s="535"/>
      <c r="DIP24" s="535"/>
      <c r="DIQ24" s="535"/>
      <c r="DIR24" s="535"/>
      <c r="DIS24" s="535"/>
      <c r="DIT24" s="535"/>
      <c r="DIU24" s="535"/>
      <c r="DIV24" s="535"/>
      <c r="DIW24" s="535"/>
      <c r="DIX24" s="535"/>
      <c r="DIY24" s="535"/>
      <c r="DIZ24" s="535"/>
      <c r="DJA24" s="535"/>
      <c r="DJB24" s="535"/>
      <c r="DJC24" s="535"/>
      <c r="DJD24" s="535"/>
      <c r="DJE24" s="535"/>
      <c r="DJF24" s="535"/>
      <c r="DJG24" s="535"/>
      <c r="DJH24" s="535"/>
      <c r="DJI24" s="535"/>
      <c r="DJJ24" s="535"/>
      <c r="DJK24" s="535"/>
      <c r="DJL24" s="535"/>
      <c r="DJM24" s="535"/>
      <c r="DJN24" s="535"/>
      <c r="DJO24" s="535"/>
      <c r="DJP24" s="535"/>
      <c r="DJQ24" s="535"/>
      <c r="DJR24" s="535"/>
      <c r="DJS24" s="535"/>
      <c r="DJT24" s="535"/>
      <c r="DJU24" s="535"/>
      <c r="DJV24" s="535"/>
      <c r="DJW24" s="535"/>
      <c r="DJX24" s="535"/>
      <c r="DJY24" s="535"/>
      <c r="DJZ24" s="535"/>
      <c r="DKA24" s="535"/>
      <c r="DKB24" s="535"/>
      <c r="DKC24" s="535"/>
      <c r="DKD24" s="535"/>
      <c r="DKE24" s="535"/>
      <c r="DKF24" s="535"/>
      <c r="DKG24" s="535"/>
      <c r="DKH24" s="535"/>
      <c r="DKI24" s="535"/>
      <c r="DKJ24" s="535"/>
      <c r="DKK24" s="535"/>
      <c r="DKL24" s="535"/>
      <c r="DKM24" s="535"/>
      <c r="DKN24" s="535"/>
      <c r="DKO24" s="535"/>
      <c r="DKP24" s="535"/>
      <c r="DKQ24" s="535"/>
      <c r="DKR24" s="535"/>
      <c r="DKS24" s="535"/>
      <c r="DKT24" s="535"/>
      <c r="DKU24" s="535"/>
      <c r="DKV24" s="535"/>
      <c r="DKW24" s="535"/>
      <c r="DKX24" s="535"/>
      <c r="DKY24" s="535"/>
      <c r="DKZ24" s="535"/>
      <c r="DLA24" s="535"/>
      <c r="DLB24" s="535"/>
      <c r="DLC24" s="535"/>
      <c r="DLD24" s="535"/>
      <c r="DLE24" s="535"/>
      <c r="DLF24" s="535"/>
      <c r="DLG24" s="535"/>
      <c r="DLH24" s="535"/>
      <c r="DLI24" s="535"/>
      <c r="DLJ24" s="535"/>
      <c r="DLK24" s="535"/>
      <c r="DLL24" s="535"/>
      <c r="DLM24" s="535"/>
      <c r="DLN24" s="535"/>
      <c r="DLO24" s="535"/>
      <c r="DLP24" s="535"/>
      <c r="DLQ24" s="535"/>
      <c r="DLR24" s="535"/>
      <c r="DLS24" s="535"/>
      <c r="DLT24" s="535"/>
      <c r="DLU24" s="535"/>
      <c r="DLV24" s="535"/>
      <c r="DLW24" s="535"/>
      <c r="DLX24" s="535"/>
      <c r="DLY24" s="535"/>
      <c r="DLZ24" s="535"/>
      <c r="DMA24" s="535"/>
      <c r="DMB24" s="535"/>
      <c r="DMC24" s="535"/>
      <c r="DMD24" s="535"/>
      <c r="DME24" s="535"/>
      <c r="DMF24" s="535"/>
      <c r="DMG24" s="535"/>
      <c r="DMH24" s="535"/>
      <c r="DMI24" s="535"/>
      <c r="DMJ24" s="535"/>
      <c r="DMK24" s="535"/>
      <c r="DML24" s="535"/>
      <c r="DMM24" s="535"/>
      <c r="DMN24" s="535"/>
      <c r="DMO24" s="535"/>
      <c r="DMP24" s="535"/>
      <c r="DMQ24" s="535"/>
      <c r="DMR24" s="535"/>
      <c r="DMS24" s="535"/>
      <c r="DMT24" s="535"/>
      <c r="DMU24" s="535"/>
      <c r="DMV24" s="535"/>
      <c r="DMW24" s="535"/>
      <c r="DMX24" s="535"/>
      <c r="DMY24" s="535"/>
      <c r="DMZ24" s="535"/>
      <c r="DNA24" s="535"/>
      <c r="DNB24" s="535"/>
      <c r="DNC24" s="535"/>
      <c r="DND24" s="535"/>
      <c r="DNE24" s="535"/>
      <c r="DNF24" s="535"/>
      <c r="DNG24" s="535"/>
      <c r="DNH24" s="535"/>
      <c r="DNI24" s="535"/>
      <c r="DNJ24" s="535"/>
      <c r="DNK24" s="535"/>
      <c r="DNL24" s="535"/>
      <c r="DNM24" s="535"/>
      <c r="DNN24" s="535"/>
      <c r="DNO24" s="535"/>
      <c r="DNP24" s="535"/>
      <c r="DNQ24" s="535"/>
      <c r="DNR24" s="535"/>
      <c r="DNS24" s="535"/>
      <c r="DNT24" s="535"/>
      <c r="DNU24" s="535"/>
      <c r="DNV24" s="535"/>
      <c r="DNW24" s="535"/>
      <c r="DNX24" s="535"/>
      <c r="DNY24" s="535"/>
      <c r="DNZ24" s="535"/>
      <c r="DOA24" s="535"/>
      <c r="DOB24" s="535"/>
      <c r="DOC24" s="535"/>
      <c r="DOD24" s="535"/>
      <c r="DOE24" s="535"/>
      <c r="DOF24" s="535"/>
      <c r="DOG24" s="535"/>
      <c r="DOH24" s="535"/>
      <c r="DOI24" s="535"/>
      <c r="DOJ24" s="535"/>
      <c r="DOK24" s="535"/>
      <c r="DOL24" s="535"/>
      <c r="DOM24" s="535"/>
      <c r="DON24" s="535"/>
      <c r="DOO24" s="535"/>
      <c r="DOP24" s="535"/>
      <c r="DOQ24" s="535"/>
      <c r="DOR24" s="535"/>
      <c r="DOS24" s="535"/>
      <c r="DOT24" s="535"/>
      <c r="DOU24" s="535"/>
      <c r="DOV24" s="535"/>
      <c r="DOW24" s="535"/>
      <c r="DOX24" s="535"/>
      <c r="DOY24" s="535"/>
      <c r="DOZ24" s="535"/>
      <c r="DPA24" s="535"/>
      <c r="DPB24" s="535"/>
      <c r="DPC24" s="535"/>
      <c r="DPD24" s="535"/>
      <c r="DPE24" s="535"/>
      <c r="DPF24" s="535"/>
      <c r="DPG24" s="535"/>
      <c r="DPH24" s="535"/>
      <c r="DPI24" s="535"/>
      <c r="DPJ24" s="535"/>
      <c r="DPK24" s="535"/>
      <c r="DPL24" s="535"/>
      <c r="DPM24" s="535"/>
      <c r="DPN24" s="535"/>
      <c r="DPO24" s="535"/>
      <c r="DPP24" s="535"/>
      <c r="DPQ24" s="535"/>
      <c r="DPR24" s="535"/>
      <c r="DPS24" s="535"/>
      <c r="DPT24" s="535"/>
      <c r="DPU24" s="535"/>
      <c r="DPV24" s="535"/>
      <c r="DPW24" s="535"/>
      <c r="DPX24" s="535"/>
      <c r="DPY24" s="535"/>
      <c r="DPZ24" s="535"/>
      <c r="DQA24" s="535"/>
      <c r="DQB24" s="535"/>
      <c r="DQC24" s="535"/>
      <c r="DQD24" s="535"/>
      <c r="DQE24" s="535"/>
      <c r="DQF24" s="535"/>
      <c r="DQG24" s="535"/>
      <c r="DQH24" s="535"/>
      <c r="DQI24" s="535"/>
      <c r="DQJ24" s="535"/>
      <c r="DQK24" s="535"/>
      <c r="DQL24" s="535"/>
      <c r="DQM24" s="535"/>
      <c r="DQN24" s="535"/>
      <c r="DQO24" s="535"/>
      <c r="DQP24" s="535"/>
      <c r="DQQ24" s="535"/>
      <c r="DQR24" s="535"/>
      <c r="DQS24" s="535"/>
      <c r="DQT24" s="535"/>
      <c r="DQU24" s="535"/>
      <c r="DQV24" s="535"/>
      <c r="DQW24" s="535"/>
      <c r="DQX24" s="535"/>
      <c r="DQY24" s="535"/>
      <c r="DQZ24" s="535"/>
      <c r="DRA24" s="535"/>
      <c r="DRB24" s="535"/>
      <c r="DRC24" s="535"/>
      <c r="DRD24" s="535"/>
      <c r="DRE24" s="535"/>
      <c r="DRF24" s="535"/>
      <c r="DRG24" s="535"/>
      <c r="DRH24" s="535"/>
      <c r="DRI24" s="535"/>
      <c r="DRJ24" s="535"/>
      <c r="DRK24" s="535"/>
      <c r="DRL24" s="535"/>
      <c r="DRM24" s="535"/>
      <c r="DRN24" s="535"/>
      <c r="DRO24" s="535"/>
      <c r="DRP24" s="535"/>
      <c r="DRQ24" s="535"/>
      <c r="DRR24" s="535"/>
      <c r="DRS24" s="535"/>
      <c r="DRT24" s="535"/>
      <c r="DRU24" s="535"/>
      <c r="DRV24" s="535"/>
      <c r="DRW24" s="535"/>
      <c r="DRX24" s="535"/>
      <c r="DRY24" s="535"/>
      <c r="DRZ24" s="535"/>
      <c r="DSA24" s="535"/>
      <c r="DSB24" s="535"/>
      <c r="DSC24" s="535"/>
      <c r="DSD24" s="535"/>
      <c r="DSE24" s="535"/>
      <c r="DSF24" s="535"/>
      <c r="DSG24" s="535"/>
      <c r="DSH24" s="535"/>
      <c r="DSI24" s="535"/>
      <c r="DSJ24" s="535"/>
      <c r="DSK24" s="535"/>
      <c r="DSL24" s="535"/>
      <c r="DSM24" s="535"/>
      <c r="DSN24" s="535"/>
      <c r="DSO24" s="535"/>
      <c r="DSP24" s="535"/>
      <c r="DSQ24" s="535"/>
      <c r="DSR24" s="535"/>
      <c r="DSS24" s="535"/>
      <c r="DST24" s="535"/>
      <c r="DSU24" s="535"/>
      <c r="DSV24" s="535"/>
      <c r="DSW24" s="535"/>
      <c r="DSX24" s="535"/>
      <c r="DSY24" s="535"/>
      <c r="DSZ24" s="535"/>
      <c r="DTA24" s="535"/>
      <c r="DTB24" s="535"/>
      <c r="DTC24" s="535"/>
      <c r="DTD24" s="535"/>
      <c r="DTE24" s="535"/>
      <c r="DTF24" s="535"/>
      <c r="DTG24" s="535"/>
      <c r="DTH24" s="535"/>
      <c r="DTI24" s="535"/>
      <c r="DTJ24" s="535"/>
      <c r="DTK24" s="535"/>
      <c r="DTL24" s="535"/>
      <c r="DTM24" s="535"/>
      <c r="DTN24" s="535"/>
      <c r="DTO24" s="535"/>
      <c r="DTP24" s="535"/>
      <c r="DTQ24" s="535"/>
      <c r="DTR24" s="535"/>
      <c r="DTS24" s="535"/>
      <c r="DTT24" s="535"/>
      <c r="DTU24" s="535"/>
      <c r="DTV24" s="535"/>
      <c r="DTW24" s="535"/>
      <c r="DTX24" s="535"/>
      <c r="DTY24" s="535"/>
      <c r="DTZ24" s="535"/>
      <c r="DUA24" s="535"/>
      <c r="DUB24" s="535"/>
      <c r="DUC24" s="535"/>
      <c r="DUD24" s="535"/>
      <c r="DUE24" s="535"/>
      <c r="DUF24" s="535"/>
      <c r="DUG24" s="535"/>
      <c r="DUH24" s="535"/>
      <c r="DUI24" s="535"/>
      <c r="DUJ24" s="535"/>
      <c r="DUK24" s="535"/>
      <c r="DUL24" s="535"/>
      <c r="DUM24" s="535"/>
      <c r="DUN24" s="535"/>
      <c r="DUO24" s="535"/>
      <c r="DUP24" s="535"/>
      <c r="DUQ24" s="535"/>
      <c r="DUR24" s="535"/>
      <c r="DUS24" s="535"/>
      <c r="DUT24" s="535"/>
      <c r="DUU24" s="535"/>
      <c r="DUV24" s="535"/>
      <c r="DUW24" s="535"/>
      <c r="DUX24" s="535"/>
      <c r="DUY24" s="535"/>
      <c r="DUZ24" s="535"/>
      <c r="DVA24" s="535"/>
      <c r="DVB24" s="535"/>
      <c r="DVC24" s="535"/>
      <c r="DVD24" s="535"/>
      <c r="DVE24" s="535"/>
      <c r="DVF24" s="535"/>
      <c r="DVG24" s="535"/>
      <c r="DVH24" s="535"/>
      <c r="DVI24" s="535"/>
      <c r="DVJ24" s="535"/>
      <c r="DVK24" s="535"/>
      <c r="DVL24" s="535"/>
      <c r="DVM24" s="535"/>
      <c r="DVN24" s="535"/>
      <c r="DVO24" s="535"/>
      <c r="DVP24" s="535"/>
      <c r="DVQ24" s="535"/>
      <c r="DVR24" s="535"/>
      <c r="DVS24" s="535"/>
      <c r="DVT24" s="535"/>
      <c r="DVU24" s="535"/>
      <c r="DVV24" s="535"/>
      <c r="DVW24" s="535"/>
      <c r="DVX24" s="535"/>
      <c r="DVY24" s="535"/>
      <c r="DVZ24" s="535"/>
      <c r="DWA24" s="535"/>
      <c r="DWB24" s="535"/>
      <c r="DWC24" s="535"/>
      <c r="DWD24" s="535"/>
      <c r="DWE24" s="535"/>
      <c r="DWF24" s="535"/>
      <c r="DWG24" s="535"/>
      <c r="DWH24" s="535"/>
      <c r="DWI24" s="535"/>
      <c r="DWJ24" s="535"/>
      <c r="DWK24" s="535"/>
      <c r="DWL24" s="535"/>
      <c r="DWM24" s="535"/>
      <c r="DWN24" s="535"/>
      <c r="DWO24" s="535"/>
      <c r="DWP24" s="535"/>
      <c r="DWQ24" s="535"/>
      <c r="DWR24" s="535"/>
      <c r="DWS24" s="535"/>
      <c r="DWT24" s="535"/>
      <c r="DWU24" s="535"/>
      <c r="DWV24" s="535"/>
      <c r="DWW24" s="535"/>
      <c r="DWX24" s="535"/>
      <c r="DWY24" s="535"/>
      <c r="DWZ24" s="535"/>
      <c r="DXA24" s="535"/>
      <c r="DXB24" s="535"/>
      <c r="DXC24" s="535"/>
      <c r="DXD24" s="535"/>
      <c r="DXE24" s="535"/>
      <c r="DXF24" s="535"/>
      <c r="DXG24" s="535"/>
      <c r="DXH24" s="535"/>
      <c r="DXI24" s="535"/>
      <c r="DXJ24" s="535"/>
      <c r="DXK24" s="535"/>
      <c r="DXL24" s="535"/>
      <c r="DXM24" s="535"/>
      <c r="DXN24" s="535"/>
      <c r="DXO24" s="535"/>
      <c r="DXP24" s="535"/>
      <c r="DXQ24" s="535"/>
      <c r="DXR24" s="535"/>
      <c r="DXS24" s="535"/>
      <c r="DXT24" s="535"/>
      <c r="DXU24" s="535"/>
      <c r="DXV24" s="535"/>
      <c r="DXW24" s="535"/>
      <c r="DXX24" s="535"/>
      <c r="DXY24" s="535"/>
      <c r="DXZ24" s="535"/>
      <c r="DYA24" s="535"/>
      <c r="DYB24" s="535"/>
      <c r="DYC24" s="535"/>
      <c r="DYD24" s="535"/>
      <c r="DYE24" s="535"/>
      <c r="DYF24" s="535"/>
      <c r="DYG24" s="535"/>
      <c r="DYH24" s="535"/>
      <c r="DYI24" s="535"/>
      <c r="DYJ24" s="535"/>
      <c r="DYK24" s="535"/>
      <c r="DYL24" s="535"/>
      <c r="DYM24" s="535"/>
      <c r="DYN24" s="535"/>
      <c r="DYO24" s="535"/>
      <c r="DYP24" s="535"/>
      <c r="DYQ24" s="535"/>
      <c r="DYR24" s="535"/>
      <c r="DYS24" s="535"/>
      <c r="DYT24" s="535"/>
      <c r="DYU24" s="535"/>
      <c r="DYV24" s="535"/>
      <c r="DYW24" s="535"/>
      <c r="DYX24" s="535"/>
      <c r="DYY24" s="535"/>
      <c r="DYZ24" s="535"/>
      <c r="DZA24" s="535"/>
      <c r="DZB24" s="535"/>
      <c r="DZC24" s="535"/>
      <c r="DZD24" s="535"/>
      <c r="DZE24" s="535"/>
      <c r="DZF24" s="535"/>
      <c r="DZG24" s="535"/>
      <c r="DZH24" s="535"/>
      <c r="DZI24" s="535"/>
      <c r="DZJ24" s="535"/>
      <c r="DZK24" s="535"/>
      <c r="DZL24" s="535"/>
      <c r="DZM24" s="535"/>
      <c r="DZN24" s="535"/>
      <c r="DZO24" s="535"/>
      <c r="DZP24" s="535"/>
      <c r="DZQ24" s="535"/>
      <c r="DZR24" s="535"/>
      <c r="DZS24" s="535"/>
      <c r="DZT24" s="535"/>
      <c r="DZU24" s="535"/>
      <c r="DZV24" s="535"/>
      <c r="DZW24" s="535"/>
      <c r="DZX24" s="535"/>
      <c r="DZY24" s="535"/>
      <c r="DZZ24" s="535"/>
      <c r="EAA24" s="535"/>
      <c r="EAB24" s="535"/>
      <c r="EAC24" s="535"/>
      <c r="EAD24" s="535"/>
      <c r="EAE24" s="535"/>
      <c r="EAF24" s="535"/>
      <c r="EAG24" s="535"/>
      <c r="EAH24" s="535"/>
      <c r="EAI24" s="535"/>
      <c r="EAJ24" s="535"/>
      <c r="EAK24" s="535"/>
      <c r="EAL24" s="535"/>
      <c r="EAM24" s="535"/>
      <c r="EAN24" s="535"/>
      <c r="EAO24" s="535"/>
      <c r="EAP24" s="535"/>
      <c r="EAQ24" s="535"/>
      <c r="EAR24" s="535"/>
      <c r="EAS24" s="535"/>
      <c r="EAT24" s="535"/>
      <c r="EAU24" s="535"/>
      <c r="EAV24" s="535"/>
      <c r="EAW24" s="535"/>
      <c r="EAX24" s="535"/>
      <c r="EAY24" s="535"/>
      <c r="EAZ24" s="535"/>
      <c r="EBA24" s="535"/>
      <c r="EBB24" s="535"/>
      <c r="EBC24" s="535"/>
      <c r="EBD24" s="535"/>
      <c r="EBE24" s="535"/>
      <c r="EBF24" s="535"/>
      <c r="EBG24" s="535"/>
      <c r="EBH24" s="535"/>
      <c r="EBI24" s="535"/>
      <c r="EBJ24" s="535"/>
      <c r="EBK24" s="535"/>
      <c r="EBL24" s="535"/>
      <c r="EBM24" s="535"/>
      <c r="EBN24" s="535"/>
      <c r="EBO24" s="535"/>
      <c r="EBP24" s="535"/>
      <c r="EBQ24" s="535"/>
      <c r="EBR24" s="535"/>
      <c r="EBS24" s="535"/>
      <c r="EBT24" s="535"/>
      <c r="EBU24" s="535"/>
      <c r="EBV24" s="535"/>
      <c r="EBW24" s="535"/>
      <c r="EBX24" s="535"/>
      <c r="EBY24" s="535"/>
      <c r="EBZ24" s="535"/>
      <c r="ECA24" s="535"/>
      <c r="ECB24" s="535"/>
      <c r="ECC24" s="535"/>
      <c r="ECD24" s="535"/>
      <c r="ECE24" s="535"/>
      <c r="ECF24" s="535"/>
      <c r="ECG24" s="535"/>
      <c r="ECH24" s="535"/>
      <c r="ECI24" s="535"/>
      <c r="ECJ24" s="535"/>
      <c r="ECK24" s="535"/>
      <c r="ECL24" s="535"/>
      <c r="ECM24" s="535"/>
      <c r="ECN24" s="535"/>
      <c r="ECO24" s="535"/>
      <c r="ECP24" s="535"/>
      <c r="ECQ24" s="535"/>
      <c r="ECR24" s="535"/>
      <c r="ECS24" s="535"/>
      <c r="ECT24" s="535"/>
      <c r="ECU24" s="535"/>
      <c r="ECV24" s="535"/>
      <c r="ECW24" s="535"/>
      <c r="ECX24" s="535"/>
      <c r="ECY24" s="535"/>
      <c r="ECZ24" s="535"/>
      <c r="EDA24" s="535"/>
      <c r="EDB24" s="535"/>
      <c r="EDC24" s="535"/>
      <c r="EDD24" s="535"/>
      <c r="EDE24" s="535"/>
      <c r="EDF24" s="535"/>
      <c r="EDG24" s="535"/>
      <c r="EDH24" s="535"/>
      <c r="EDI24" s="535"/>
      <c r="EDJ24" s="535"/>
      <c r="EDK24" s="535"/>
      <c r="EDL24" s="535"/>
      <c r="EDM24" s="535"/>
      <c r="EDN24" s="535"/>
      <c r="EDO24" s="535"/>
      <c r="EDP24" s="535"/>
      <c r="EDQ24" s="535"/>
      <c r="EDR24" s="535"/>
      <c r="EDS24" s="535"/>
      <c r="EDT24" s="535"/>
      <c r="EDU24" s="535"/>
      <c r="EDV24" s="535"/>
      <c r="EDW24" s="535"/>
      <c r="EDX24" s="535"/>
      <c r="EDY24" s="535"/>
      <c r="EDZ24" s="535"/>
      <c r="EEA24" s="535"/>
      <c r="EEB24" s="535"/>
      <c r="EEC24" s="535"/>
      <c r="EED24" s="535"/>
      <c r="EEE24" s="535"/>
      <c r="EEF24" s="535"/>
      <c r="EEG24" s="535"/>
      <c r="EEH24" s="535"/>
      <c r="EEI24" s="535"/>
      <c r="EEJ24" s="535"/>
      <c r="EEK24" s="535"/>
      <c r="EEL24" s="535"/>
      <c r="EEM24" s="535"/>
      <c r="EEN24" s="535"/>
      <c r="EEO24" s="535"/>
      <c r="EEP24" s="535"/>
      <c r="EEQ24" s="535"/>
      <c r="EER24" s="535"/>
      <c r="EES24" s="535"/>
      <c r="EET24" s="535"/>
      <c r="EEU24" s="535"/>
      <c r="EEV24" s="535"/>
      <c r="EEW24" s="535"/>
      <c r="EEX24" s="535"/>
      <c r="EEY24" s="535"/>
      <c r="EEZ24" s="535"/>
      <c r="EFA24" s="535"/>
      <c r="EFB24" s="535"/>
      <c r="EFC24" s="535"/>
      <c r="EFD24" s="535"/>
      <c r="EFE24" s="535"/>
      <c r="EFF24" s="535"/>
      <c r="EFG24" s="535"/>
      <c r="EFH24" s="535"/>
      <c r="EFI24" s="535"/>
      <c r="EFJ24" s="535"/>
      <c r="EFK24" s="535"/>
      <c r="EFL24" s="535"/>
      <c r="EFM24" s="535"/>
      <c r="EFN24" s="535"/>
      <c r="EFO24" s="535"/>
      <c r="EFP24" s="535"/>
      <c r="EFQ24" s="535"/>
      <c r="EFR24" s="535"/>
      <c r="EFS24" s="535"/>
      <c r="EFT24" s="535"/>
      <c r="EFU24" s="535"/>
      <c r="EFV24" s="535"/>
      <c r="EFW24" s="535"/>
      <c r="EFX24" s="535"/>
      <c r="EFY24" s="535"/>
      <c r="EFZ24" s="535"/>
      <c r="EGA24" s="535"/>
      <c r="EGB24" s="535"/>
      <c r="EGC24" s="535"/>
      <c r="EGD24" s="535"/>
      <c r="EGE24" s="535"/>
      <c r="EGF24" s="535"/>
      <c r="EGG24" s="535"/>
      <c r="EGH24" s="535"/>
      <c r="EGI24" s="535"/>
      <c r="EGJ24" s="535"/>
      <c r="EGK24" s="535"/>
      <c r="EGL24" s="535"/>
      <c r="EGM24" s="535"/>
      <c r="EGN24" s="535"/>
      <c r="EGO24" s="535"/>
      <c r="EGP24" s="535"/>
      <c r="EGQ24" s="535"/>
      <c r="EGR24" s="535"/>
      <c r="EGS24" s="535"/>
      <c r="EGT24" s="535"/>
      <c r="EGU24" s="535"/>
      <c r="EGV24" s="535"/>
      <c r="EGW24" s="535"/>
      <c r="EGX24" s="535"/>
      <c r="EGY24" s="535"/>
      <c r="EGZ24" s="535"/>
      <c r="EHA24" s="535"/>
      <c r="EHB24" s="535"/>
      <c r="EHC24" s="535"/>
      <c r="EHD24" s="535"/>
      <c r="EHE24" s="535"/>
      <c r="EHF24" s="535"/>
      <c r="EHG24" s="535"/>
      <c r="EHH24" s="535"/>
      <c r="EHI24" s="535"/>
      <c r="EHJ24" s="535"/>
      <c r="EHK24" s="535"/>
      <c r="EHL24" s="535"/>
      <c r="EHM24" s="535"/>
      <c r="EHN24" s="535"/>
      <c r="EHO24" s="535"/>
      <c r="EHP24" s="535"/>
      <c r="EHQ24" s="535"/>
      <c r="EHR24" s="535"/>
      <c r="EHS24" s="535"/>
      <c r="EHT24" s="535"/>
      <c r="EHU24" s="535"/>
      <c r="EHV24" s="535"/>
      <c r="EHW24" s="535"/>
      <c r="EHX24" s="535"/>
      <c r="EHY24" s="535"/>
      <c r="EHZ24" s="535"/>
      <c r="EIA24" s="535"/>
      <c r="EIB24" s="535"/>
      <c r="EIC24" s="535"/>
      <c r="EID24" s="535"/>
      <c r="EIE24" s="535"/>
      <c r="EIF24" s="535"/>
      <c r="EIG24" s="535"/>
      <c r="EIH24" s="535"/>
      <c r="EII24" s="535"/>
      <c r="EIJ24" s="535"/>
      <c r="EIK24" s="535"/>
      <c r="EIL24" s="535"/>
      <c r="EIM24" s="535"/>
      <c r="EIN24" s="535"/>
      <c r="EIO24" s="535"/>
      <c r="EIP24" s="535"/>
      <c r="EIQ24" s="535"/>
      <c r="EIR24" s="535"/>
      <c r="EIS24" s="535"/>
      <c r="EIT24" s="535"/>
      <c r="EIU24" s="535"/>
      <c r="EIV24" s="535"/>
      <c r="EIW24" s="535"/>
      <c r="EIX24" s="535"/>
      <c r="EIY24" s="535"/>
      <c r="EIZ24" s="535"/>
      <c r="EJA24" s="535"/>
      <c r="EJB24" s="535"/>
      <c r="EJC24" s="535"/>
      <c r="EJD24" s="535"/>
      <c r="EJE24" s="535"/>
      <c r="EJF24" s="535"/>
      <c r="EJG24" s="535"/>
      <c r="EJH24" s="535"/>
      <c r="EJI24" s="535"/>
      <c r="EJJ24" s="535"/>
      <c r="EJK24" s="535"/>
      <c r="EJL24" s="535"/>
      <c r="EJM24" s="535"/>
      <c r="EJN24" s="535"/>
      <c r="EJO24" s="535"/>
      <c r="EJP24" s="535"/>
      <c r="EJQ24" s="535"/>
      <c r="EJR24" s="535"/>
      <c r="EJS24" s="535"/>
      <c r="EJT24" s="535"/>
      <c r="EJU24" s="535"/>
      <c r="EJV24" s="535"/>
      <c r="EJW24" s="535"/>
      <c r="EJX24" s="535"/>
      <c r="EJY24" s="535"/>
      <c r="EJZ24" s="535"/>
      <c r="EKA24" s="535"/>
      <c r="EKB24" s="535"/>
      <c r="EKC24" s="535"/>
      <c r="EKD24" s="535"/>
      <c r="EKE24" s="535"/>
      <c r="EKF24" s="535"/>
      <c r="EKG24" s="535"/>
      <c r="EKH24" s="535"/>
      <c r="EKI24" s="535"/>
      <c r="EKJ24" s="535"/>
      <c r="EKK24" s="535"/>
      <c r="EKL24" s="535"/>
      <c r="EKM24" s="535"/>
      <c r="EKN24" s="535"/>
      <c r="EKO24" s="535"/>
      <c r="EKP24" s="535"/>
      <c r="EKQ24" s="535"/>
      <c r="EKR24" s="535"/>
      <c r="EKS24" s="535"/>
      <c r="EKT24" s="535"/>
      <c r="EKU24" s="535"/>
      <c r="EKV24" s="535"/>
      <c r="EKW24" s="535"/>
      <c r="EKX24" s="535"/>
      <c r="EKY24" s="535"/>
      <c r="EKZ24" s="535"/>
      <c r="ELA24" s="535"/>
      <c r="ELB24" s="535"/>
      <c r="ELC24" s="535"/>
      <c r="ELD24" s="535"/>
      <c r="ELE24" s="535"/>
      <c r="ELF24" s="535"/>
      <c r="ELG24" s="535"/>
      <c r="ELH24" s="535"/>
      <c r="ELI24" s="535"/>
      <c r="ELJ24" s="535"/>
      <c r="ELK24" s="535"/>
      <c r="ELL24" s="535"/>
      <c r="ELM24" s="535"/>
      <c r="ELN24" s="535"/>
      <c r="ELO24" s="535"/>
      <c r="ELP24" s="535"/>
      <c r="ELQ24" s="535"/>
      <c r="ELR24" s="535"/>
      <c r="ELS24" s="535"/>
      <c r="ELT24" s="535"/>
      <c r="ELU24" s="535"/>
      <c r="ELV24" s="535"/>
      <c r="ELW24" s="535"/>
      <c r="ELX24" s="535"/>
      <c r="ELY24" s="535"/>
      <c r="ELZ24" s="535"/>
      <c r="EMA24" s="535"/>
      <c r="EMB24" s="535"/>
      <c r="EMC24" s="535"/>
      <c r="EMD24" s="535"/>
      <c r="EME24" s="535"/>
      <c r="EMF24" s="535"/>
      <c r="EMG24" s="535"/>
      <c r="EMH24" s="535"/>
      <c r="EMI24" s="535"/>
      <c r="EMJ24" s="535"/>
      <c r="EMK24" s="535"/>
      <c r="EML24" s="535"/>
      <c r="EMM24" s="535"/>
      <c r="EMN24" s="535"/>
      <c r="EMO24" s="535"/>
      <c r="EMP24" s="535"/>
      <c r="EMQ24" s="535"/>
      <c r="EMR24" s="535"/>
      <c r="EMS24" s="535"/>
      <c r="EMT24" s="535"/>
      <c r="EMU24" s="535"/>
      <c r="EMV24" s="535"/>
      <c r="EMW24" s="535"/>
      <c r="EMX24" s="535"/>
      <c r="EMY24" s="535"/>
      <c r="EMZ24" s="535"/>
      <c r="ENA24" s="535"/>
      <c r="ENB24" s="535"/>
      <c r="ENC24" s="535"/>
      <c r="END24" s="535"/>
      <c r="ENE24" s="535"/>
      <c r="ENF24" s="535"/>
      <c r="ENG24" s="535"/>
      <c r="ENH24" s="535"/>
      <c r="ENI24" s="535"/>
      <c r="ENJ24" s="535"/>
      <c r="ENK24" s="535"/>
      <c r="ENL24" s="535"/>
      <c r="ENM24" s="535"/>
      <c r="ENN24" s="535"/>
      <c r="ENO24" s="535"/>
      <c r="ENP24" s="535"/>
      <c r="ENQ24" s="535"/>
      <c r="ENR24" s="535"/>
      <c r="ENS24" s="535"/>
      <c r="ENT24" s="535"/>
      <c r="ENU24" s="535"/>
      <c r="ENV24" s="535"/>
      <c r="ENW24" s="535"/>
      <c r="ENX24" s="535"/>
      <c r="ENY24" s="535"/>
      <c r="ENZ24" s="535"/>
      <c r="EOA24" s="535"/>
      <c r="EOB24" s="535"/>
      <c r="EOC24" s="535"/>
      <c r="EOD24" s="535"/>
      <c r="EOE24" s="535"/>
      <c r="EOF24" s="535"/>
      <c r="EOG24" s="535"/>
      <c r="EOH24" s="535"/>
      <c r="EOI24" s="535"/>
      <c r="EOJ24" s="535"/>
      <c r="EOK24" s="535"/>
      <c r="EOL24" s="535"/>
      <c r="EOM24" s="535"/>
      <c r="EON24" s="535"/>
      <c r="EOO24" s="535"/>
      <c r="EOP24" s="535"/>
      <c r="EOQ24" s="535"/>
      <c r="EOR24" s="535"/>
      <c r="EOS24" s="535"/>
      <c r="EOT24" s="535"/>
      <c r="EOU24" s="535"/>
      <c r="EOV24" s="535"/>
      <c r="EOW24" s="535"/>
      <c r="EOX24" s="535"/>
      <c r="EOY24" s="535"/>
      <c r="EOZ24" s="535"/>
      <c r="EPA24" s="535"/>
      <c r="EPB24" s="535"/>
      <c r="EPC24" s="535"/>
      <c r="EPD24" s="535"/>
      <c r="EPE24" s="535"/>
      <c r="EPF24" s="535"/>
      <c r="EPG24" s="535"/>
      <c r="EPH24" s="535"/>
      <c r="EPI24" s="535"/>
      <c r="EPJ24" s="535"/>
      <c r="EPK24" s="535"/>
      <c r="EPL24" s="535"/>
      <c r="EPM24" s="535"/>
      <c r="EPN24" s="535"/>
      <c r="EPO24" s="535"/>
      <c r="EPP24" s="535"/>
      <c r="EPQ24" s="535"/>
      <c r="EPR24" s="535"/>
      <c r="EPS24" s="535"/>
      <c r="EPT24" s="535"/>
      <c r="EPU24" s="535"/>
      <c r="EPV24" s="535"/>
      <c r="EPW24" s="535"/>
      <c r="EPX24" s="535"/>
      <c r="EPY24" s="535"/>
      <c r="EPZ24" s="535"/>
      <c r="EQA24" s="535"/>
      <c r="EQB24" s="535"/>
      <c r="EQC24" s="535"/>
      <c r="EQD24" s="535"/>
      <c r="EQE24" s="535"/>
      <c r="EQF24" s="535"/>
      <c r="EQG24" s="535"/>
      <c r="EQH24" s="535"/>
      <c r="EQI24" s="535"/>
      <c r="EQJ24" s="535"/>
      <c r="EQK24" s="535"/>
      <c r="EQL24" s="535"/>
      <c r="EQM24" s="535"/>
      <c r="EQN24" s="535"/>
      <c r="EQO24" s="535"/>
      <c r="EQP24" s="535"/>
      <c r="EQQ24" s="535"/>
      <c r="EQR24" s="535"/>
      <c r="EQS24" s="535"/>
      <c r="EQT24" s="535"/>
      <c r="EQU24" s="535"/>
      <c r="EQV24" s="535"/>
      <c r="EQW24" s="535"/>
      <c r="EQX24" s="535"/>
      <c r="EQY24" s="535"/>
      <c r="EQZ24" s="535"/>
      <c r="ERA24" s="535"/>
      <c r="ERB24" s="535"/>
      <c r="ERC24" s="535"/>
      <c r="ERD24" s="535"/>
      <c r="ERE24" s="535"/>
      <c r="ERF24" s="535"/>
      <c r="ERG24" s="535"/>
      <c r="ERH24" s="535"/>
      <c r="ERI24" s="535"/>
      <c r="ERJ24" s="535"/>
      <c r="ERK24" s="535"/>
      <c r="ERL24" s="535"/>
      <c r="ERM24" s="535"/>
      <c r="ERN24" s="535"/>
      <c r="ERO24" s="535"/>
      <c r="ERP24" s="535"/>
      <c r="ERQ24" s="535"/>
      <c r="ERR24" s="535"/>
      <c r="ERS24" s="535"/>
      <c r="ERT24" s="535"/>
      <c r="ERU24" s="535"/>
      <c r="ERV24" s="535"/>
      <c r="ERW24" s="535"/>
      <c r="ERX24" s="535"/>
      <c r="ERY24" s="535"/>
      <c r="ERZ24" s="535"/>
      <c r="ESA24" s="535"/>
      <c r="ESB24" s="535"/>
      <c r="ESC24" s="535"/>
      <c r="ESD24" s="535"/>
      <c r="ESE24" s="535"/>
      <c r="ESF24" s="535"/>
      <c r="ESG24" s="535"/>
      <c r="ESH24" s="535"/>
      <c r="ESI24" s="535"/>
      <c r="ESJ24" s="535"/>
      <c r="ESK24" s="535"/>
      <c r="ESL24" s="535"/>
      <c r="ESM24" s="535"/>
      <c r="ESN24" s="535"/>
      <c r="ESO24" s="535"/>
      <c r="ESP24" s="535"/>
      <c r="ESQ24" s="535"/>
      <c r="ESR24" s="535"/>
      <c r="ESS24" s="535"/>
      <c r="EST24" s="535"/>
      <c r="ESU24" s="535"/>
      <c r="ESV24" s="535"/>
      <c r="ESW24" s="535"/>
      <c r="ESX24" s="535"/>
      <c r="ESY24" s="535"/>
      <c r="ESZ24" s="535"/>
      <c r="ETA24" s="535"/>
      <c r="ETB24" s="535"/>
      <c r="ETC24" s="535"/>
      <c r="ETD24" s="535"/>
      <c r="ETE24" s="535"/>
      <c r="ETF24" s="535"/>
      <c r="ETG24" s="535"/>
      <c r="ETH24" s="535"/>
      <c r="ETI24" s="535"/>
      <c r="ETJ24" s="535"/>
      <c r="ETK24" s="535"/>
      <c r="ETL24" s="535"/>
      <c r="ETM24" s="535"/>
      <c r="ETN24" s="535"/>
      <c r="ETO24" s="535"/>
      <c r="ETP24" s="535"/>
      <c r="ETQ24" s="535"/>
      <c r="ETR24" s="535"/>
      <c r="ETS24" s="535"/>
      <c r="ETT24" s="535"/>
      <c r="ETU24" s="535"/>
      <c r="ETV24" s="535"/>
      <c r="ETW24" s="535"/>
      <c r="ETX24" s="535"/>
      <c r="ETY24" s="535"/>
      <c r="ETZ24" s="535"/>
      <c r="EUA24" s="535"/>
      <c r="EUB24" s="535"/>
      <c r="EUC24" s="535"/>
      <c r="EUD24" s="535"/>
      <c r="EUE24" s="535"/>
      <c r="EUF24" s="535"/>
      <c r="EUG24" s="535"/>
      <c r="EUH24" s="535"/>
      <c r="EUI24" s="535"/>
      <c r="EUJ24" s="535"/>
      <c r="EUK24" s="535"/>
      <c r="EUL24" s="535"/>
      <c r="EUM24" s="535"/>
      <c r="EUN24" s="535"/>
      <c r="EUO24" s="535"/>
      <c r="EUP24" s="535"/>
      <c r="EUQ24" s="535"/>
      <c r="EUR24" s="535"/>
      <c r="EUS24" s="535"/>
      <c r="EUT24" s="535"/>
      <c r="EUU24" s="535"/>
      <c r="EUV24" s="535"/>
      <c r="EUW24" s="535"/>
      <c r="EUX24" s="535"/>
      <c r="EUY24" s="535"/>
      <c r="EUZ24" s="535"/>
      <c r="EVA24" s="535"/>
      <c r="EVB24" s="535"/>
      <c r="EVC24" s="535"/>
      <c r="EVD24" s="535"/>
      <c r="EVE24" s="535"/>
      <c r="EVF24" s="535"/>
      <c r="EVG24" s="535"/>
      <c r="EVH24" s="535"/>
      <c r="EVI24" s="535"/>
      <c r="EVJ24" s="535"/>
      <c r="EVK24" s="535"/>
      <c r="EVL24" s="535"/>
      <c r="EVM24" s="535"/>
      <c r="EVN24" s="535"/>
      <c r="EVO24" s="535"/>
      <c r="EVP24" s="535"/>
      <c r="EVQ24" s="535"/>
      <c r="EVR24" s="535"/>
      <c r="EVS24" s="535"/>
      <c r="EVT24" s="535"/>
      <c r="EVU24" s="535"/>
      <c r="EVV24" s="535"/>
      <c r="EVW24" s="535"/>
      <c r="EVX24" s="535"/>
      <c r="EVY24" s="535"/>
      <c r="EVZ24" s="535"/>
      <c r="EWA24" s="535"/>
      <c r="EWB24" s="535"/>
      <c r="EWC24" s="535"/>
      <c r="EWD24" s="535"/>
      <c r="EWE24" s="535"/>
      <c r="EWF24" s="535"/>
      <c r="EWG24" s="535"/>
      <c r="EWH24" s="535"/>
      <c r="EWI24" s="535"/>
      <c r="EWJ24" s="535"/>
      <c r="EWK24" s="535"/>
      <c r="EWL24" s="535"/>
      <c r="EWM24" s="535"/>
      <c r="EWN24" s="535"/>
      <c r="EWO24" s="535"/>
      <c r="EWP24" s="535"/>
      <c r="EWQ24" s="535"/>
      <c r="EWR24" s="535"/>
      <c r="EWS24" s="535"/>
      <c r="EWT24" s="535"/>
      <c r="EWU24" s="535"/>
      <c r="EWV24" s="535"/>
      <c r="EWW24" s="535"/>
      <c r="EWX24" s="535"/>
      <c r="EWY24" s="535"/>
      <c r="EWZ24" s="535"/>
      <c r="EXA24" s="535"/>
      <c r="EXB24" s="535"/>
      <c r="EXC24" s="535"/>
      <c r="EXD24" s="535"/>
      <c r="EXE24" s="535"/>
      <c r="EXF24" s="535"/>
      <c r="EXG24" s="535"/>
      <c r="EXH24" s="535"/>
      <c r="EXI24" s="535"/>
      <c r="EXJ24" s="535"/>
      <c r="EXK24" s="535"/>
      <c r="EXL24" s="535"/>
      <c r="EXM24" s="535"/>
      <c r="EXN24" s="535"/>
      <c r="EXO24" s="535"/>
      <c r="EXP24" s="535"/>
      <c r="EXQ24" s="535"/>
      <c r="EXR24" s="535"/>
      <c r="EXS24" s="535"/>
      <c r="EXT24" s="535"/>
      <c r="EXU24" s="535"/>
      <c r="EXV24" s="535"/>
      <c r="EXW24" s="535"/>
      <c r="EXX24" s="535"/>
      <c r="EXY24" s="535"/>
      <c r="EXZ24" s="535"/>
      <c r="EYA24" s="535"/>
      <c r="EYB24" s="535"/>
      <c r="EYC24" s="535"/>
      <c r="EYD24" s="535"/>
      <c r="EYE24" s="535"/>
      <c r="EYF24" s="535"/>
      <c r="EYG24" s="535"/>
      <c r="EYH24" s="535"/>
      <c r="EYI24" s="535"/>
      <c r="EYJ24" s="535"/>
      <c r="EYK24" s="535"/>
      <c r="EYL24" s="535"/>
      <c r="EYM24" s="535"/>
      <c r="EYN24" s="535"/>
      <c r="EYO24" s="535"/>
      <c r="EYP24" s="535"/>
      <c r="EYQ24" s="535"/>
      <c r="EYR24" s="535"/>
      <c r="EYS24" s="535"/>
      <c r="EYT24" s="535"/>
      <c r="EYU24" s="535"/>
      <c r="EYV24" s="535"/>
      <c r="EYW24" s="535"/>
      <c r="EYX24" s="535"/>
      <c r="EYY24" s="535"/>
      <c r="EYZ24" s="535"/>
      <c r="EZA24" s="535"/>
      <c r="EZB24" s="535"/>
      <c r="EZC24" s="535"/>
      <c r="EZD24" s="535"/>
      <c r="EZE24" s="535"/>
      <c r="EZF24" s="535"/>
      <c r="EZG24" s="535"/>
      <c r="EZH24" s="535"/>
      <c r="EZI24" s="535"/>
      <c r="EZJ24" s="535"/>
      <c r="EZK24" s="535"/>
      <c r="EZL24" s="535"/>
      <c r="EZM24" s="535"/>
      <c r="EZN24" s="535"/>
      <c r="EZO24" s="535"/>
      <c r="EZP24" s="535"/>
      <c r="EZQ24" s="535"/>
      <c r="EZR24" s="535"/>
      <c r="EZS24" s="535"/>
      <c r="EZT24" s="535"/>
      <c r="EZU24" s="535"/>
      <c r="EZV24" s="535"/>
      <c r="EZW24" s="535"/>
      <c r="EZX24" s="535"/>
      <c r="EZY24" s="535"/>
      <c r="EZZ24" s="535"/>
      <c r="FAA24" s="535"/>
      <c r="FAB24" s="535"/>
      <c r="FAC24" s="535"/>
      <c r="FAD24" s="535"/>
      <c r="FAE24" s="535"/>
      <c r="FAF24" s="535"/>
      <c r="FAG24" s="535"/>
      <c r="FAH24" s="535"/>
      <c r="FAI24" s="535"/>
      <c r="FAJ24" s="535"/>
      <c r="FAK24" s="535"/>
      <c r="FAL24" s="535"/>
      <c r="FAM24" s="535"/>
      <c r="FAN24" s="535"/>
      <c r="FAO24" s="535"/>
      <c r="FAP24" s="535"/>
      <c r="FAQ24" s="535"/>
      <c r="FAR24" s="535"/>
      <c r="FAS24" s="535"/>
      <c r="FAT24" s="535"/>
      <c r="FAU24" s="535"/>
      <c r="FAV24" s="535"/>
      <c r="FAW24" s="535"/>
      <c r="FAX24" s="535"/>
      <c r="FAY24" s="535"/>
      <c r="FAZ24" s="535"/>
      <c r="FBA24" s="535"/>
      <c r="FBB24" s="535"/>
      <c r="FBC24" s="535"/>
      <c r="FBD24" s="535"/>
      <c r="FBE24" s="535"/>
      <c r="FBF24" s="535"/>
      <c r="FBG24" s="535"/>
      <c r="FBH24" s="535"/>
      <c r="FBI24" s="535"/>
      <c r="FBJ24" s="535"/>
      <c r="FBK24" s="535"/>
      <c r="FBL24" s="535"/>
      <c r="FBM24" s="535"/>
      <c r="FBN24" s="535"/>
      <c r="FBO24" s="535"/>
      <c r="FBP24" s="535"/>
      <c r="FBQ24" s="535"/>
      <c r="FBR24" s="535"/>
      <c r="FBS24" s="535"/>
      <c r="FBT24" s="535"/>
      <c r="FBU24" s="535"/>
      <c r="FBV24" s="535"/>
      <c r="FBW24" s="535"/>
      <c r="FBX24" s="535"/>
      <c r="FBY24" s="535"/>
      <c r="FBZ24" s="535"/>
      <c r="FCA24" s="535"/>
      <c r="FCB24" s="535"/>
      <c r="FCC24" s="535"/>
      <c r="FCD24" s="535"/>
      <c r="FCE24" s="535"/>
      <c r="FCF24" s="535"/>
      <c r="FCG24" s="535"/>
      <c r="FCH24" s="535"/>
      <c r="FCI24" s="535"/>
      <c r="FCJ24" s="535"/>
      <c r="FCK24" s="535"/>
      <c r="FCL24" s="535"/>
      <c r="FCM24" s="535"/>
      <c r="FCN24" s="535"/>
      <c r="FCO24" s="535"/>
      <c r="FCP24" s="535"/>
      <c r="FCQ24" s="535"/>
      <c r="FCR24" s="535"/>
      <c r="FCS24" s="535"/>
      <c r="FCT24" s="535"/>
      <c r="FCU24" s="535"/>
      <c r="FCV24" s="535"/>
      <c r="FCW24" s="535"/>
      <c r="FCX24" s="535"/>
      <c r="FCY24" s="535"/>
      <c r="FCZ24" s="535"/>
      <c r="FDA24" s="535"/>
      <c r="FDB24" s="535"/>
      <c r="FDC24" s="535"/>
      <c r="FDD24" s="535"/>
      <c r="FDE24" s="535"/>
      <c r="FDF24" s="535"/>
      <c r="FDG24" s="535"/>
      <c r="FDH24" s="535"/>
      <c r="FDI24" s="535"/>
      <c r="FDJ24" s="535"/>
      <c r="FDK24" s="535"/>
      <c r="FDL24" s="535"/>
      <c r="FDM24" s="535"/>
      <c r="FDN24" s="535"/>
      <c r="FDO24" s="535"/>
      <c r="FDP24" s="535"/>
      <c r="FDQ24" s="535"/>
      <c r="FDR24" s="535"/>
      <c r="FDS24" s="535"/>
      <c r="FDT24" s="535"/>
      <c r="FDU24" s="535"/>
      <c r="FDV24" s="535"/>
      <c r="FDW24" s="535"/>
      <c r="FDX24" s="535"/>
      <c r="FDY24" s="535"/>
      <c r="FDZ24" s="535"/>
      <c r="FEA24" s="535"/>
      <c r="FEB24" s="535"/>
      <c r="FEC24" s="535"/>
      <c r="FED24" s="535"/>
      <c r="FEE24" s="535"/>
      <c r="FEF24" s="535"/>
      <c r="FEG24" s="535"/>
      <c r="FEH24" s="535"/>
      <c r="FEI24" s="535"/>
      <c r="FEJ24" s="535"/>
      <c r="FEK24" s="535"/>
      <c r="FEL24" s="535"/>
      <c r="FEM24" s="535"/>
      <c r="FEN24" s="535"/>
      <c r="FEO24" s="535"/>
      <c r="FEP24" s="535"/>
      <c r="FEQ24" s="535"/>
      <c r="FER24" s="535"/>
      <c r="FES24" s="535"/>
      <c r="FET24" s="535"/>
      <c r="FEU24" s="535"/>
      <c r="FEV24" s="535"/>
      <c r="FEW24" s="535"/>
      <c r="FEX24" s="535"/>
      <c r="FEY24" s="535"/>
      <c r="FEZ24" s="535"/>
      <c r="FFA24" s="535"/>
      <c r="FFB24" s="535"/>
      <c r="FFC24" s="535"/>
      <c r="FFD24" s="535"/>
      <c r="FFE24" s="535"/>
      <c r="FFF24" s="535"/>
      <c r="FFG24" s="535"/>
      <c r="FFH24" s="535"/>
      <c r="FFI24" s="535"/>
      <c r="FFJ24" s="535"/>
      <c r="FFK24" s="535"/>
      <c r="FFL24" s="535"/>
      <c r="FFM24" s="535"/>
      <c r="FFN24" s="535"/>
      <c r="FFO24" s="535"/>
      <c r="FFP24" s="535"/>
      <c r="FFQ24" s="535"/>
      <c r="FFR24" s="535"/>
      <c r="FFS24" s="535"/>
      <c r="FFT24" s="535"/>
      <c r="FFU24" s="535"/>
      <c r="FFV24" s="535"/>
      <c r="FFW24" s="535"/>
      <c r="FFX24" s="535"/>
      <c r="FFY24" s="535"/>
      <c r="FFZ24" s="535"/>
      <c r="FGA24" s="535"/>
      <c r="FGB24" s="535"/>
      <c r="FGC24" s="535"/>
      <c r="FGD24" s="535"/>
      <c r="FGE24" s="535"/>
      <c r="FGF24" s="535"/>
      <c r="FGG24" s="535"/>
      <c r="FGH24" s="535"/>
      <c r="FGI24" s="535"/>
      <c r="FGJ24" s="535"/>
      <c r="FGK24" s="535"/>
      <c r="FGL24" s="535"/>
      <c r="FGM24" s="535"/>
      <c r="FGN24" s="535"/>
      <c r="FGO24" s="535"/>
      <c r="FGP24" s="535"/>
      <c r="FGQ24" s="535"/>
      <c r="FGR24" s="535"/>
      <c r="FGS24" s="535"/>
      <c r="FGT24" s="535"/>
      <c r="FGU24" s="535"/>
      <c r="FGV24" s="535"/>
      <c r="FGW24" s="535"/>
      <c r="FGX24" s="535"/>
      <c r="FGY24" s="535"/>
      <c r="FGZ24" s="535"/>
      <c r="FHA24" s="535"/>
      <c r="FHB24" s="535"/>
      <c r="FHC24" s="535"/>
      <c r="FHD24" s="535"/>
      <c r="FHE24" s="535"/>
      <c r="FHF24" s="535"/>
      <c r="FHG24" s="535"/>
      <c r="FHH24" s="535"/>
      <c r="FHI24" s="535"/>
      <c r="FHJ24" s="535"/>
      <c r="FHK24" s="535"/>
      <c r="FHL24" s="535"/>
      <c r="FHM24" s="535"/>
      <c r="FHN24" s="535"/>
      <c r="FHO24" s="535"/>
      <c r="FHP24" s="535"/>
      <c r="FHQ24" s="535"/>
      <c r="FHR24" s="535"/>
      <c r="FHS24" s="535"/>
      <c r="FHT24" s="535"/>
      <c r="FHU24" s="535"/>
      <c r="FHV24" s="535"/>
      <c r="FHW24" s="535"/>
      <c r="FHX24" s="535"/>
      <c r="FHY24" s="535"/>
      <c r="FHZ24" s="535"/>
      <c r="FIA24" s="535"/>
      <c r="FIB24" s="535"/>
      <c r="FIC24" s="535"/>
      <c r="FID24" s="535"/>
      <c r="FIE24" s="535"/>
      <c r="FIF24" s="535"/>
      <c r="FIG24" s="535"/>
      <c r="FIH24" s="535"/>
      <c r="FII24" s="535"/>
      <c r="FIJ24" s="535"/>
      <c r="FIK24" s="535"/>
      <c r="FIL24" s="535"/>
      <c r="FIM24" s="535"/>
      <c r="FIN24" s="535"/>
      <c r="FIO24" s="535"/>
      <c r="FIP24" s="535"/>
      <c r="FIQ24" s="535"/>
      <c r="FIR24" s="535"/>
      <c r="FIS24" s="535"/>
      <c r="FIT24" s="535"/>
      <c r="FIU24" s="535"/>
      <c r="FIV24" s="535"/>
      <c r="FIW24" s="535"/>
      <c r="FIX24" s="535"/>
      <c r="FIY24" s="535"/>
      <c r="FIZ24" s="535"/>
      <c r="FJA24" s="535"/>
      <c r="FJB24" s="535"/>
      <c r="FJC24" s="535"/>
      <c r="FJD24" s="535"/>
      <c r="FJE24" s="535"/>
      <c r="FJF24" s="535"/>
      <c r="FJG24" s="535"/>
      <c r="FJH24" s="535"/>
      <c r="FJI24" s="535"/>
      <c r="FJJ24" s="535"/>
      <c r="FJK24" s="535"/>
      <c r="FJL24" s="535"/>
      <c r="FJM24" s="535"/>
      <c r="FJN24" s="535"/>
      <c r="FJO24" s="535"/>
      <c r="FJP24" s="535"/>
      <c r="FJQ24" s="535"/>
      <c r="FJR24" s="535"/>
      <c r="FJS24" s="535"/>
      <c r="FJT24" s="535"/>
      <c r="FJU24" s="535"/>
      <c r="FJV24" s="535"/>
      <c r="FJW24" s="535"/>
      <c r="FJX24" s="535"/>
      <c r="FJY24" s="535"/>
      <c r="FJZ24" s="535"/>
      <c r="FKA24" s="535"/>
      <c r="FKB24" s="535"/>
      <c r="FKC24" s="535"/>
      <c r="FKD24" s="535"/>
      <c r="FKE24" s="535"/>
      <c r="FKF24" s="535"/>
      <c r="FKG24" s="535"/>
      <c r="FKH24" s="535"/>
      <c r="FKI24" s="535"/>
      <c r="FKJ24" s="535"/>
      <c r="FKK24" s="535"/>
      <c r="FKL24" s="535"/>
      <c r="FKM24" s="535"/>
      <c r="FKN24" s="535"/>
      <c r="FKO24" s="535"/>
      <c r="FKP24" s="535"/>
      <c r="FKQ24" s="535"/>
      <c r="FKR24" s="535"/>
      <c r="FKS24" s="535"/>
      <c r="FKT24" s="535"/>
      <c r="FKU24" s="535"/>
      <c r="FKV24" s="535"/>
      <c r="FKW24" s="535"/>
      <c r="FKX24" s="535"/>
      <c r="FKY24" s="535"/>
      <c r="FKZ24" s="535"/>
      <c r="FLA24" s="535"/>
      <c r="FLB24" s="535"/>
      <c r="FLC24" s="535"/>
      <c r="FLD24" s="535"/>
      <c r="FLE24" s="535"/>
      <c r="FLF24" s="535"/>
      <c r="FLG24" s="535"/>
      <c r="FLH24" s="535"/>
      <c r="FLI24" s="535"/>
      <c r="FLJ24" s="535"/>
      <c r="FLK24" s="535"/>
      <c r="FLL24" s="535"/>
      <c r="FLM24" s="535"/>
      <c r="FLN24" s="535"/>
      <c r="FLO24" s="535"/>
      <c r="FLP24" s="535"/>
      <c r="FLQ24" s="535"/>
      <c r="FLR24" s="535"/>
      <c r="FLS24" s="535"/>
      <c r="FLT24" s="535"/>
      <c r="FLU24" s="535"/>
      <c r="FLV24" s="535"/>
      <c r="FLW24" s="535"/>
      <c r="FLX24" s="535"/>
      <c r="FLY24" s="535"/>
      <c r="FLZ24" s="535"/>
      <c r="FMA24" s="535"/>
      <c r="FMB24" s="535"/>
      <c r="FMC24" s="535"/>
      <c r="FMD24" s="535"/>
      <c r="FME24" s="535"/>
      <c r="FMF24" s="535"/>
      <c r="FMG24" s="535"/>
      <c r="FMH24" s="535"/>
      <c r="FMI24" s="535"/>
      <c r="FMJ24" s="535"/>
      <c r="FMK24" s="535"/>
      <c r="FML24" s="535"/>
      <c r="FMM24" s="535"/>
      <c r="FMN24" s="535"/>
      <c r="FMO24" s="535"/>
      <c r="FMP24" s="535"/>
      <c r="FMQ24" s="535"/>
      <c r="FMR24" s="535"/>
      <c r="FMS24" s="535"/>
      <c r="FMT24" s="535"/>
      <c r="FMU24" s="535"/>
      <c r="FMV24" s="535"/>
      <c r="FMW24" s="535"/>
      <c r="FMX24" s="535"/>
      <c r="FMY24" s="535"/>
      <c r="FMZ24" s="535"/>
      <c r="FNA24" s="535"/>
      <c r="FNB24" s="535"/>
      <c r="FNC24" s="535"/>
      <c r="FND24" s="535"/>
      <c r="FNE24" s="535"/>
      <c r="FNF24" s="535"/>
      <c r="FNG24" s="535"/>
      <c r="FNH24" s="535"/>
      <c r="FNI24" s="535"/>
      <c r="FNJ24" s="535"/>
      <c r="FNK24" s="535"/>
      <c r="FNL24" s="535"/>
      <c r="FNM24" s="535"/>
      <c r="FNN24" s="535"/>
      <c r="FNO24" s="535"/>
      <c r="FNP24" s="535"/>
      <c r="FNQ24" s="535"/>
      <c r="FNR24" s="535"/>
      <c r="FNS24" s="535"/>
      <c r="FNT24" s="535"/>
      <c r="FNU24" s="535"/>
      <c r="FNV24" s="535"/>
      <c r="FNW24" s="535"/>
      <c r="FNX24" s="535"/>
      <c r="FNY24" s="535"/>
      <c r="FNZ24" s="535"/>
      <c r="FOA24" s="535"/>
      <c r="FOB24" s="535"/>
      <c r="FOC24" s="535"/>
      <c r="FOD24" s="535"/>
      <c r="FOE24" s="535"/>
      <c r="FOF24" s="535"/>
      <c r="FOG24" s="535"/>
      <c r="FOH24" s="535"/>
      <c r="FOI24" s="535"/>
      <c r="FOJ24" s="535"/>
      <c r="FOK24" s="535"/>
      <c r="FOL24" s="535"/>
      <c r="FOM24" s="535"/>
      <c r="FON24" s="535"/>
      <c r="FOO24" s="535"/>
      <c r="FOP24" s="535"/>
      <c r="FOQ24" s="535"/>
      <c r="FOR24" s="535"/>
      <c r="FOS24" s="535"/>
      <c r="FOT24" s="535"/>
      <c r="FOU24" s="535"/>
      <c r="FOV24" s="535"/>
      <c r="FOW24" s="535"/>
      <c r="FOX24" s="535"/>
      <c r="FOY24" s="535"/>
      <c r="FOZ24" s="535"/>
      <c r="FPA24" s="535"/>
      <c r="FPB24" s="535"/>
      <c r="FPC24" s="535"/>
      <c r="FPD24" s="535"/>
      <c r="FPE24" s="535"/>
      <c r="FPF24" s="535"/>
      <c r="FPG24" s="535"/>
      <c r="FPH24" s="535"/>
      <c r="FPI24" s="535"/>
      <c r="FPJ24" s="535"/>
      <c r="FPK24" s="535"/>
      <c r="FPL24" s="535"/>
      <c r="FPM24" s="535"/>
      <c r="FPN24" s="535"/>
      <c r="FPO24" s="535"/>
      <c r="FPP24" s="535"/>
      <c r="FPQ24" s="535"/>
      <c r="FPR24" s="535"/>
      <c r="FPS24" s="535"/>
      <c r="FPT24" s="535"/>
      <c r="FPU24" s="535"/>
      <c r="FPV24" s="535"/>
      <c r="FPW24" s="535"/>
      <c r="FPX24" s="535"/>
      <c r="FPY24" s="535"/>
      <c r="FPZ24" s="535"/>
      <c r="FQA24" s="535"/>
      <c r="FQB24" s="535"/>
      <c r="FQC24" s="535"/>
      <c r="FQD24" s="535"/>
      <c r="FQE24" s="535"/>
      <c r="FQF24" s="535"/>
      <c r="FQG24" s="535"/>
      <c r="FQH24" s="535"/>
      <c r="FQI24" s="535"/>
      <c r="FQJ24" s="535"/>
      <c r="FQK24" s="535"/>
      <c r="FQL24" s="535"/>
      <c r="FQM24" s="535"/>
      <c r="FQN24" s="535"/>
      <c r="FQO24" s="535"/>
      <c r="FQP24" s="535"/>
      <c r="FQQ24" s="535"/>
      <c r="FQR24" s="535"/>
      <c r="FQS24" s="535"/>
      <c r="FQT24" s="535"/>
      <c r="FQU24" s="535"/>
      <c r="FQV24" s="535"/>
      <c r="FQW24" s="535"/>
      <c r="FQX24" s="535"/>
      <c r="FQY24" s="535"/>
      <c r="FQZ24" s="535"/>
      <c r="FRA24" s="535"/>
      <c r="FRB24" s="535"/>
      <c r="FRC24" s="535"/>
      <c r="FRD24" s="535"/>
      <c r="FRE24" s="535"/>
      <c r="FRF24" s="535"/>
      <c r="FRG24" s="535"/>
      <c r="FRH24" s="535"/>
      <c r="FRI24" s="535"/>
      <c r="FRJ24" s="535"/>
      <c r="FRK24" s="535"/>
      <c r="FRL24" s="535"/>
      <c r="FRM24" s="535"/>
      <c r="FRN24" s="535"/>
      <c r="FRO24" s="535"/>
      <c r="FRP24" s="535"/>
      <c r="FRQ24" s="535"/>
      <c r="FRR24" s="535"/>
      <c r="FRS24" s="535"/>
      <c r="FRT24" s="535"/>
      <c r="FRU24" s="535"/>
      <c r="FRV24" s="535"/>
      <c r="FRW24" s="535"/>
      <c r="FRX24" s="535"/>
      <c r="FRY24" s="535"/>
      <c r="FRZ24" s="535"/>
      <c r="FSA24" s="535"/>
      <c r="FSB24" s="535"/>
      <c r="FSC24" s="535"/>
      <c r="FSD24" s="535"/>
      <c r="FSE24" s="535"/>
      <c r="FSF24" s="535"/>
      <c r="FSG24" s="535"/>
      <c r="FSH24" s="535"/>
      <c r="FSI24" s="535"/>
      <c r="FSJ24" s="535"/>
      <c r="FSK24" s="535"/>
      <c r="FSL24" s="535"/>
      <c r="FSM24" s="535"/>
      <c r="FSN24" s="535"/>
      <c r="FSO24" s="535"/>
      <c r="FSP24" s="535"/>
      <c r="FSQ24" s="535"/>
      <c r="FSR24" s="535"/>
      <c r="FSS24" s="535"/>
      <c r="FST24" s="535"/>
      <c r="FSU24" s="535"/>
      <c r="FSV24" s="535"/>
      <c r="FSW24" s="535"/>
      <c r="FSX24" s="535"/>
      <c r="FSY24" s="535"/>
      <c r="FSZ24" s="535"/>
      <c r="FTA24" s="535"/>
      <c r="FTB24" s="535"/>
      <c r="FTC24" s="535"/>
      <c r="FTD24" s="535"/>
      <c r="FTE24" s="535"/>
      <c r="FTF24" s="535"/>
      <c r="FTG24" s="535"/>
      <c r="FTH24" s="535"/>
      <c r="FTI24" s="535"/>
      <c r="FTJ24" s="535"/>
      <c r="FTK24" s="535"/>
      <c r="FTL24" s="535"/>
      <c r="FTM24" s="535"/>
      <c r="FTN24" s="535"/>
      <c r="FTO24" s="535"/>
      <c r="FTP24" s="535"/>
      <c r="FTQ24" s="535"/>
      <c r="FTR24" s="535"/>
      <c r="FTS24" s="535"/>
      <c r="FTT24" s="535"/>
      <c r="FTU24" s="535"/>
      <c r="FTV24" s="535"/>
      <c r="FTW24" s="535"/>
      <c r="FTX24" s="535"/>
      <c r="FTY24" s="535"/>
      <c r="FTZ24" s="535"/>
      <c r="FUA24" s="535"/>
      <c r="FUB24" s="535"/>
      <c r="FUC24" s="535"/>
      <c r="FUD24" s="535"/>
      <c r="FUE24" s="535"/>
      <c r="FUF24" s="535"/>
      <c r="FUG24" s="535"/>
      <c r="FUH24" s="535"/>
      <c r="FUI24" s="535"/>
      <c r="FUJ24" s="535"/>
      <c r="FUK24" s="535"/>
      <c r="FUL24" s="535"/>
      <c r="FUM24" s="535"/>
      <c r="FUN24" s="535"/>
      <c r="FUO24" s="535"/>
      <c r="FUP24" s="535"/>
      <c r="FUQ24" s="535"/>
      <c r="FUR24" s="535"/>
      <c r="FUS24" s="535"/>
      <c r="FUT24" s="535"/>
      <c r="FUU24" s="535"/>
      <c r="FUV24" s="535"/>
      <c r="FUW24" s="535"/>
      <c r="FUX24" s="535"/>
      <c r="FUY24" s="535"/>
      <c r="FUZ24" s="535"/>
      <c r="FVA24" s="535"/>
      <c r="FVB24" s="535"/>
      <c r="FVC24" s="535"/>
      <c r="FVD24" s="535"/>
      <c r="FVE24" s="535"/>
      <c r="FVF24" s="535"/>
      <c r="FVG24" s="535"/>
      <c r="FVH24" s="535"/>
      <c r="FVI24" s="535"/>
      <c r="FVJ24" s="535"/>
      <c r="FVK24" s="535"/>
      <c r="FVL24" s="535"/>
      <c r="FVM24" s="535"/>
      <c r="FVN24" s="535"/>
      <c r="FVO24" s="535"/>
      <c r="FVP24" s="535"/>
      <c r="FVQ24" s="535"/>
      <c r="FVR24" s="535"/>
      <c r="FVS24" s="535"/>
      <c r="FVT24" s="535"/>
      <c r="FVU24" s="535"/>
      <c r="FVV24" s="535"/>
      <c r="FVW24" s="535"/>
      <c r="FVX24" s="535"/>
      <c r="FVY24" s="535"/>
      <c r="FVZ24" s="535"/>
      <c r="FWA24" s="535"/>
      <c r="FWB24" s="535"/>
      <c r="FWC24" s="535"/>
      <c r="FWD24" s="535"/>
      <c r="FWE24" s="535"/>
      <c r="FWF24" s="535"/>
      <c r="FWG24" s="535"/>
      <c r="FWH24" s="535"/>
      <c r="FWI24" s="535"/>
      <c r="FWJ24" s="535"/>
      <c r="FWK24" s="535"/>
      <c r="FWL24" s="535"/>
      <c r="FWM24" s="535"/>
      <c r="FWN24" s="535"/>
      <c r="FWO24" s="535"/>
      <c r="FWP24" s="535"/>
      <c r="FWQ24" s="535"/>
      <c r="FWR24" s="535"/>
      <c r="FWS24" s="535"/>
      <c r="FWT24" s="535"/>
      <c r="FWU24" s="535"/>
      <c r="FWV24" s="535"/>
      <c r="FWW24" s="535"/>
      <c r="FWX24" s="535"/>
      <c r="FWY24" s="535"/>
      <c r="FWZ24" s="535"/>
      <c r="FXA24" s="535"/>
      <c r="FXB24" s="535"/>
      <c r="FXC24" s="535"/>
      <c r="FXD24" s="535"/>
      <c r="FXE24" s="535"/>
      <c r="FXF24" s="535"/>
      <c r="FXG24" s="535"/>
      <c r="FXH24" s="535"/>
      <c r="FXI24" s="535"/>
      <c r="FXJ24" s="535"/>
      <c r="FXK24" s="535"/>
      <c r="FXL24" s="535"/>
      <c r="FXM24" s="535"/>
      <c r="FXN24" s="535"/>
      <c r="FXO24" s="535"/>
      <c r="FXP24" s="535"/>
      <c r="FXQ24" s="535"/>
      <c r="FXR24" s="535"/>
      <c r="FXS24" s="535"/>
      <c r="FXT24" s="535"/>
      <c r="FXU24" s="535"/>
      <c r="FXV24" s="535"/>
      <c r="FXW24" s="535"/>
      <c r="FXX24" s="535"/>
      <c r="FXY24" s="535"/>
      <c r="FXZ24" s="535"/>
      <c r="FYA24" s="535"/>
      <c r="FYB24" s="535"/>
      <c r="FYC24" s="535"/>
      <c r="FYD24" s="535"/>
      <c r="FYE24" s="535"/>
      <c r="FYF24" s="535"/>
      <c r="FYG24" s="535"/>
      <c r="FYH24" s="535"/>
      <c r="FYI24" s="535"/>
      <c r="FYJ24" s="535"/>
      <c r="FYK24" s="535"/>
      <c r="FYL24" s="535"/>
      <c r="FYM24" s="535"/>
      <c r="FYN24" s="535"/>
      <c r="FYO24" s="535"/>
      <c r="FYP24" s="535"/>
      <c r="FYQ24" s="535"/>
      <c r="FYR24" s="535"/>
      <c r="FYS24" s="535"/>
      <c r="FYT24" s="535"/>
      <c r="FYU24" s="535"/>
      <c r="FYV24" s="535"/>
      <c r="FYW24" s="535"/>
      <c r="FYX24" s="535"/>
      <c r="FYY24" s="535"/>
      <c r="FYZ24" s="535"/>
      <c r="FZA24" s="535"/>
      <c r="FZB24" s="535"/>
      <c r="FZC24" s="535"/>
      <c r="FZD24" s="535"/>
      <c r="FZE24" s="535"/>
      <c r="FZF24" s="535"/>
      <c r="FZG24" s="535"/>
      <c r="FZH24" s="535"/>
      <c r="FZI24" s="535"/>
      <c r="FZJ24" s="535"/>
      <c r="FZK24" s="535"/>
      <c r="FZL24" s="535"/>
      <c r="FZM24" s="535"/>
      <c r="FZN24" s="535"/>
      <c r="FZO24" s="535"/>
      <c r="FZP24" s="535"/>
      <c r="FZQ24" s="535"/>
      <c r="FZR24" s="535"/>
      <c r="FZS24" s="535"/>
      <c r="FZT24" s="535"/>
      <c r="FZU24" s="535"/>
      <c r="FZV24" s="535"/>
      <c r="FZW24" s="535"/>
      <c r="FZX24" s="535"/>
      <c r="FZY24" s="535"/>
      <c r="FZZ24" s="535"/>
      <c r="GAA24" s="535"/>
      <c r="GAB24" s="535"/>
      <c r="GAC24" s="535"/>
      <c r="GAD24" s="535"/>
      <c r="GAE24" s="535"/>
      <c r="GAF24" s="535"/>
      <c r="GAG24" s="535"/>
      <c r="GAH24" s="535"/>
      <c r="GAI24" s="535"/>
      <c r="GAJ24" s="535"/>
      <c r="GAK24" s="535"/>
      <c r="GAL24" s="535"/>
      <c r="GAM24" s="535"/>
      <c r="GAN24" s="535"/>
      <c r="GAO24" s="535"/>
      <c r="GAP24" s="535"/>
      <c r="GAQ24" s="535"/>
      <c r="GAR24" s="535"/>
      <c r="GAS24" s="535"/>
      <c r="GAT24" s="535"/>
      <c r="GAU24" s="535"/>
      <c r="GAV24" s="535"/>
      <c r="GAW24" s="535"/>
      <c r="GAX24" s="535"/>
      <c r="GAY24" s="535"/>
      <c r="GAZ24" s="535"/>
      <c r="GBA24" s="535"/>
      <c r="GBB24" s="535"/>
      <c r="GBC24" s="535"/>
      <c r="GBD24" s="535"/>
      <c r="GBE24" s="535"/>
      <c r="GBF24" s="535"/>
      <c r="GBG24" s="535"/>
      <c r="GBH24" s="535"/>
      <c r="GBI24" s="535"/>
      <c r="GBJ24" s="535"/>
      <c r="GBK24" s="535"/>
      <c r="GBL24" s="535"/>
      <c r="GBM24" s="535"/>
      <c r="GBN24" s="535"/>
      <c r="GBO24" s="535"/>
      <c r="GBP24" s="535"/>
      <c r="GBQ24" s="535"/>
      <c r="GBR24" s="535"/>
      <c r="GBS24" s="535"/>
      <c r="GBT24" s="535"/>
      <c r="GBU24" s="535"/>
      <c r="GBV24" s="535"/>
      <c r="GBW24" s="535"/>
      <c r="GBX24" s="535"/>
      <c r="GBY24" s="535"/>
      <c r="GBZ24" s="535"/>
      <c r="GCA24" s="535"/>
      <c r="GCB24" s="535"/>
      <c r="GCC24" s="535"/>
      <c r="GCD24" s="535"/>
      <c r="GCE24" s="535"/>
      <c r="GCF24" s="535"/>
      <c r="GCG24" s="535"/>
      <c r="GCH24" s="535"/>
      <c r="GCI24" s="535"/>
      <c r="GCJ24" s="535"/>
      <c r="GCK24" s="535"/>
      <c r="GCL24" s="535"/>
      <c r="GCM24" s="535"/>
      <c r="GCN24" s="535"/>
      <c r="GCO24" s="535"/>
      <c r="GCP24" s="535"/>
      <c r="GCQ24" s="535"/>
      <c r="GCR24" s="535"/>
      <c r="GCS24" s="535"/>
      <c r="GCT24" s="535"/>
      <c r="GCU24" s="535"/>
      <c r="GCV24" s="535"/>
      <c r="GCW24" s="535"/>
      <c r="GCX24" s="535"/>
      <c r="GCY24" s="535"/>
      <c r="GCZ24" s="535"/>
      <c r="GDA24" s="535"/>
      <c r="GDB24" s="535"/>
      <c r="GDC24" s="535"/>
      <c r="GDD24" s="535"/>
      <c r="GDE24" s="535"/>
      <c r="GDF24" s="535"/>
      <c r="GDG24" s="535"/>
      <c r="GDH24" s="535"/>
      <c r="GDI24" s="535"/>
      <c r="GDJ24" s="535"/>
      <c r="GDK24" s="535"/>
      <c r="GDL24" s="535"/>
      <c r="GDM24" s="535"/>
      <c r="GDN24" s="535"/>
      <c r="GDO24" s="535"/>
      <c r="GDP24" s="535"/>
      <c r="GDQ24" s="535"/>
      <c r="GDR24" s="535"/>
      <c r="GDS24" s="535"/>
      <c r="GDT24" s="535"/>
      <c r="GDU24" s="535"/>
      <c r="GDV24" s="535"/>
      <c r="GDW24" s="535"/>
      <c r="GDX24" s="535"/>
      <c r="GDY24" s="535"/>
      <c r="GDZ24" s="535"/>
      <c r="GEA24" s="535"/>
      <c r="GEB24" s="535"/>
      <c r="GEC24" s="535"/>
      <c r="GED24" s="535"/>
      <c r="GEE24" s="535"/>
      <c r="GEF24" s="535"/>
      <c r="GEG24" s="535"/>
      <c r="GEH24" s="535"/>
      <c r="GEI24" s="535"/>
      <c r="GEJ24" s="535"/>
      <c r="GEK24" s="535"/>
      <c r="GEL24" s="535"/>
      <c r="GEM24" s="535"/>
      <c r="GEN24" s="535"/>
      <c r="GEO24" s="535"/>
      <c r="GEP24" s="535"/>
      <c r="GEQ24" s="535"/>
      <c r="GER24" s="535"/>
      <c r="GES24" s="535"/>
      <c r="GET24" s="535"/>
      <c r="GEU24" s="535"/>
      <c r="GEV24" s="535"/>
      <c r="GEW24" s="535"/>
      <c r="GEX24" s="535"/>
      <c r="GEY24" s="535"/>
      <c r="GEZ24" s="535"/>
      <c r="GFA24" s="535"/>
      <c r="GFB24" s="535"/>
      <c r="GFC24" s="535"/>
      <c r="GFD24" s="535"/>
      <c r="GFE24" s="535"/>
      <c r="GFF24" s="535"/>
      <c r="GFG24" s="535"/>
      <c r="GFH24" s="535"/>
      <c r="GFI24" s="535"/>
      <c r="GFJ24" s="535"/>
      <c r="GFK24" s="535"/>
      <c r="GFL24" s="535"/>
      <c r="GFM24" s="535"/>
      <c r="GFN24" s="535"/>
      <c r="GFO24" s="535"/>
      <c r="GFP24" s="535"/>
      <c r="GFQ24" s="535"/>
      <c r="GFR24" s="535"/>
      <c r="GFS24" s="535"/>
      <c r="GFT24" s="535"/>
      <c r="GFU24" s="535"/>
      <c r="GFV24" s="535"/>
      <c r="GFW24" s="535"/>
      <c r="GFX24" s="535"/>
      <c r="GFY24" s="535"/>
      <c r="GFZ24" s="535"/>
      <c r="GGA24" s="535"/>
      <c r="GGB24" s="535"/>
      <c r="GGC24" s="535"/>
      <c r="GGD24" s="535"/>
      <c r="GGE24" s="535"/>
      <c r="GGF24" s="535"/>
      <c r="GGG24" s="535"/>
      <c r="GGH24" s="535"/>
      <c r="GGI24" s="535"/>
      <c r="GGJ24" s="535"/>
      <c r="GGK24" s="535"/>
      <c r="GGL24" s="535"/>
      <c r="GGM24" s="535"/>
      <c r="GGN24" s="535"/>
      <c r="GGO24" s="535"/>
      <c r="GGP24" s="535"/>
      <c r="GGQ24" s="535"/>
      <c r="GGR24" s="535"/>
      <c r="GGS24" s="535"/>
      <c r="GGT24" s="535"/>
      <c r="GGU24" s="535"/>
      <c r="GGV24" s="535"/>
      <c r="GGW24" s="535"/>
      <c r="GGX24" s="535"/>
      <c r="GGY24" s="535"/>
      <c r="GGZ24" s="535"/>
      <c r="GHA24" s="535"/>
      <c r="GHB24" s="535"/>
      <c r="GHC24" s="535"/>
      <c r="GHD24" s="535"/>
      <c r="GHE24" s="535"/>
      <c r="GHF24" s="535"/>
      <c r="GHG24" s="535"/>
      <c r="GHH24" s="535"/>
      <c r="GHI24" s="535"/>
      <c r="GHJ24" s="535"/>
      <c r="GHK24" s="535"/>
      <c r="GHL24" s="535"/>
      <c r="GHM24" s="535"/>
      <c r="GHN24" s="535"/>
      <c r="GHO24" s="535"/>
      <c r="GHP24" s="535"/>
      <c r="GHQ24" s="535"/>
      <c r="GHR24" s="535"/>
      <c r="GHS24" s="535"/>
      <c r="GHT24" s="535"/>
      <c r="GHU24" s="535"/>
      <c r="GHV24" s="535"/>
      <c r="GHW24" s="535"/>
      <c r="GHX24" s="535"/>
      <c r="GHY24" s="535"/>
      <c r="GHZ24" s="535"/>
      <c r="GIA24" s="535"/>
      <c r="GIB24" s="535"/>
      <c r="GIC24" s="535"/>
      <c r="GID24" s="535"/>
      <c r="GIE24" s="535"/>
      <c r="GIF24" s="535"/>
      <c r="GIG24" s="535"/>
      <c r="GIH24" s="535"/>
      <c r="GII24" s="535"/>
      <c r="GIJ24" s="535"/>
      <c r="GIK24" s="535"/>
      <c r="GIL24" s="535"/>
      <c r="GIM24" s="535"/>
      <c r="GIN24" s="535"/>
      <c r="GIO24" s="535"/>
      <c r="GIP24" s="535"/>
      <c r="GIQ24" s="535"/>
      <c r="GIR24" s="535"/>
      <c r="GIS24" s="535"/>
      <c r="GIT24" s="535"/>
      <c r="GIU24" s="535"/>
      <c r="GIV24" s="535"/>
      <c r="GIW24" s="535"/>
      <c r="GIX24" s="535"/>
      <c r="GIY24" s="535"/>
      <c r="GIZ24" s="535"/>
      <c r="GJA24" s="535"/>
      <c r="GJB24" s="535"/>
      <c r="GJC24" s="535"/>
      <c r="GJD24" s="535"/>
      <c r="GJE24" s="535"/>
      <c r="GJF24" s="535"/>
      <c r="GJG24" s="535"/>
      <c r="GJH24" s="535"/>
      <c r="GJI24" s="535"/>
      <c r="GJJ24" s="535"/>
      <c r="GJK24" s="535"/>
      <c r="GJL24" s="535"/>
      <c r="GJM24" s="535"/>
      <c r="GJN24" s="535"/>
      <c r="GJO24" s="535"/>
      <c r="GJP24" s="535"/>
      <c r="GJQ24" s="535"/>
      <c r="GJR24" s="535"/>
      <c r="GJS24" s="535"/>
      <c r="GJT24" s="535"/>
      <c r="GJU24" s="535"/>
      <c r="GJV24" s="535"/>
      <c r="GJW24" s="535"/>
      <c r="GJX24" s="535"/>
      <c r="GJY24" s="535"/>
      <c r="GJZ24" s="535"/>
      <c r="GKA24" s="535"/>
      <c r="GKB24" s="535"/>
      <c r="GKC24" s="535"/>
      <c r="GKD24" s="535"/>
      <c r="GKE24" s="535"/>
      <c r="GKF24" s="535"/>
      <c r="GKG24" s="535"/>
      <c r="GKH24" s="535"/>
      <c r="GKI24" s="535"/>
      <c r="GKJ24" s="535"/>
      <c r="GKK24" s="535"/>
      <c r="GKL24" s="535"/>
      <c r="GKM24" s="535"/>
      <c r="GKN24" s="535"/>
      <c r="GKO24" s="535"/>
      <c r="GKP24" s="535"/>
      <c r="GKQ24" s="535"/>
      <c r="GKR24" s="535"/>
      <c r="GKS24" s="535"/>
      <c r="GKT24" s="535"/>
      <c r="GKU24" s="535"/>
      <c r="GKV24" s="535"/>
      <c r="GKW24" s="535"/>
      <c r="GKX24" s="535"/>
      <c r="GKY24" s="535"/>
      <c r="GKZ24" s="535"/>
      <c r="GLA24" s="535"/>
      <c r="GLB24" s="535"/>
      <c r="GLC24" s="535"/>
      <c r="GLD24" s="535"/>
      <c r="GLE24" s="535"/>
      <c r="GLF24" s="535"/>
      <c r="GLG24" s="535"/>
      <c r="GLH24" s="535"/>
      <c r="GLI24" s="535"/>
      <c r="GLJ24" s="535"/>
      <c r="GLK24" s="535"/>
      <c r="GLL24" s="535"/>
      <c r="GLM24" s="535"/>
      <c r="GLN24" s="535"/>
      <c r="GLO24" s="535"/>
      <c r="GLP24" s="535"/>
      <c r="GLQ24" s="535"/>
      <c r="GLR24" s="535"/>
      <c r="GLS24" s="535"/>
      <c r="GLT24" s="535"/>
      <c r="GLU24" s="535"/>
      <c r="GLV24" s="535"/>
      <c r="GLW24" s="535"/>
      <c r="GLX24" s="535"/>
      <c r="GLY24" s="535"/>
      <c r="GLZ24" s="535"/>
      <c r="GMA24" s="535"/>
      <c r="GMB24" s="535"/>
      <c r="GMC24" s="535"/>
      <c r="GMD24" s="535"/>
      <c r="GME24" s="535"/>
      <c r="GMF24" s="535"/>
      <c r="GMG24" s="535"/>
      <c r="GMH24" s="535"/>
      <c r="GMI24" s="535"/>
      <c r="GMJ24" s="535"/>
      <c r="GMK24" s="535"/>
      <c r="GML24" s="535"/>
      <c r="GMM24" s="535"/>
      <c r="GMN24" s="535"/>
      <c r="GMO24" s="535"/>
      <c r="GMP24" s="535"/>
      <c r="GMQ24" s="535"/>
      <c r="GMR24" s="535"/>
      <c r="GMS24" s="535"/>
      <c r="GMT24" s="535"/>
      <c r="GMU24" s="535"/>
      <c r="GMV24" s="535"/>
      <c r="GMW24" s="535"/>
      <c r="GMX24" s="535"/>
      <c r="GMY24" s="535"/>
      <c r="GMZ24" s="535"/>
      <c r="GNA24" s="535"/>
      <c r="GNB24" s="535"/>
      <c r="GNC24" s="535"/>
      <c r="GND24" s="535"/>
      <c r="GNE24" s="535"/>
      <c r="GNF24" s="535"/>
      <c r="GNG24" s="535"/>
      <c r="GNH24" s="535"/>
      <c r="GNI24" s="535"/>
      <c r="GNJ24" s="535"/>
      <c r="GNK24" s="535"/>
      <c r="GNL24" s="535"/>
      <c r="GNM24" s="535"/>
      <c r="GNN24" s="535"/>
      <c r="GNO24" s="535"/>
      <c r="GNP24" s="535"/>
      <c r="GNQ24" s="535"/>
      <c r="GNR24" s="535"/>
      <c r="GNS24" s="535"/>
      <c r="GNT24" s="535"/>
      <c r="GNU24" s="535"/>
      <c r="GNV24" s="535"/>
      <c r="GNW24" s="535"/>
      <c r="GNX24" s="535"/>
      <c r="GNY24" s="535"/>
      <c r="GNZ24" s="535"/>
      <c r="GOA24" s="535"/>
      <c r="GOB24" s="535"/>
      <c r="GOC24" s="535"/>
      <c r="GOD24" s="535"/>
      <c r="GOE24" s="535"/>
      <c r="GOF24" s="535"/>
      <c r="GOG24" s="535"/>
      <c r="GOH24" s="535"/>
      <c r="GOI24" s="535"/>
      <c r="GOJ24" s="535"/>
      <c r="GOK24" s="535"/>
      <c r="GOL24" s="535"/>
      <c r="GOM24" s="535"/>
      <c r="GON24" s="535"/>
      <c r="GOO24" s="535"/>
      <c r="GOP24" s="535"/>
      <c r="GOQ24" s="535"/>
      <c r="GOR24" s="535"/>
      <c r="GOS24" s="535"/>
      <c r="GOT24" s="535"/>
      <c r="GOU24" s="535"/>
      <c r="GOV24" s="535"/>
      <c r="GOW24" s="535"/>
      <c r="GOX24" s="535"/>
      <c r="GOY24" s="535"/>
      <c r="GOZ24" s="535"/>
      <c r="GPA24" s="535"/>
      <c r="GPB24" s="535"/>
      <c r="GPC24" s="535"/>
      <c r="GPD24" s="535"/>
      <c r="GPE24" s="535"/>
      <c r="GPF24" s="535"/>
      <c r="GPG24" s="535"/>
      <c r="GPH24" s="535"/>
      <c r="GPI24" s="535"/>
      <c r="GPJ24" s="535"/>
      <c r="GPK24" s="535"/>
      <c r="GPL24" s="535"/>
      <c r="GPM24" s="535"/>
      <c r="GPN24" s="535"/>
      <c r="GPO24" s="535"/>
      <c r="GPP24" s="535"/>
      <c r="GPQ24" s="535"/>
      <c r="GPR24" s="535"/>
      <c r="GPS24" s="535"/>
      <c r="GPT24" s="535"/>
      <c r="GPU24" s="535"/>
      <c r="GPV24" s="535"/>
      <c r="GPW24" s="535"/>
      <c r="GPX24" s="535"/>
      <c r="GPY24" s="535"/>
      <c r="GPZ24" s="535"/>
      <c r="GQA24" s="535"/>
      <c r="GQB24" s="535"/>
      <c r="GQC24" s="535"/>
      <c r="GQD24" s="535"/>
      <c r="GQE24" s="535"/>
      <c r="GQF24" s="535"/>
      <c r="GQG24" s="535"/>
      <c r="GQH24" s="535"/>
      <c r="GQI24" s="535"/>
      <c r="GQJ24" s="535"/>
      <c r="GQK24" s="535"/>
      <c r="GQL24" s="535"/>
      <c r="GQM24" s="535"/>
      <c r="GQN24" s="535"/>
      <c r="GQO24" s="535"/>
      <c r="GQP24" s="535"/>
      <c r="GQQ24" s="535"/>
      <c r="GQR24" s="535"/>
      <c r="GQS24" s="535"/>
      <c r="GQT24" s="535"/>
      <c r="GQU24" s="535"/>
      <c r="GQV24" s="535"/>
      <c r="GQW24" s="535"/>
      <c r="GQX24" s="535"/>
      <c r="GQY24" s="535"/>
      <c r="GQZ24" s="535"/>
      <c r="GRA24" s="535"/>
      <c r="GRB24" s="535"/>
      <c r="GRC24" s="535"/>
      <c r="GRD24" s="535"/>
      <c r="GRE24" s="535"/>
      <c r="GRF24" s="535"/>
      <c r="GRG24" s="535"/>
      <c r="GRH24" s="535"/>
      <c r="GRI24" s="535"/>
      <c r="GRJ24" s="535"/>
      <c r="GRK24" s="535"/>
      <c r="GRL24" s="535"/>
      <c r="GRM24" s="535"/>
      <c r="GRN24" s="535"/>
      <c r="GRO24" s="535"/>
      <c r="GRP24" s="535"/>
      <c r="GRQ24" s="535"/>
      <c r="GRR24" s="535"/>
      <c r="GRS24" s="535"/>
      <c r="GRT24" s="535"/>
      <c r="GRU24" s="535"/>
      <c r="GRV24" s="535"/>
      <c r="GRW24" s="535"/>
      <c r="GRX24" s="535"/>
      <c r="GRY24" s="535"/>
      <c r="GRZ24" s="535"/>
      <c r="GSA24" s="535"/>
      <c r="GSB24" s="535"/>
      <c r="GSC24" s="535"/>
      <c r="GSD24" s="535"/>
      <c r="GSE24" s="535"/>
      <c r="GSF24" s="535"/>
      <c r="GSG24" s="535"/>
      <c r="GSH24" s="535"/>
      <c r="GSI24" s="535"/>
      <c r="GSJ24" s="535"/>
      <c r="GSK24" s="535"/>
      <c r="GSL24" s="535"/>
      <c r="GSM24" s="535"/>
      <c r="GSN24" s="535"/>
      <c r="GSO24" s="535"/>
      <c r="GSP24" s="535"/>
      <c r="GSQ24" s="535"/>
      <c r="GSR24" s="535"/>
      <c r="GSS24" s="535"/>
      <c r="GST24" s="535"/>
      <c r="GSU24" s="535"/>
      <c r="GSV24" s="535"/>
      <c r="GSW24" s="535"/>
      <c r="GSX24" s="535"/>
      <c r="GSY24" s="535"/>
      <c r="GSZ24" s="535"/>
      <c r="GTA24" s="535"/>
      <c r="GTB24" s="535"/>
      <c r="GTC24" s="535"/>
      <c r="GTD24" s="535"/>
      <c r="GTE24" s="535"/>
      <c r="GTF24" s="535"/>
      <c r="GTG24" s="535"/>
      <c r="GTH24" s="535"/>
      <c r="GTI24" s="535"/>
      <c r="GTJ24" s="535"/>
      <c r="GTK24" s="535"/>
      <c r="GTL24" s="535"/>
      <c r="GTM24" s="535"/>
      <c r="GTN24" s="535"/>
      <c r="GTO24" s="535"/>
      <c r="GTP24" s="535"/>
      <c r="GTQ24" s="535"/>
      <c r="GTR24" s="535"/>
      <c r="GTS24" s="535"/>
      <c r="GTT24" s="535"/>
      <c r="GTU24" s="535"/>
      <c r="GTV24" s="535"/>
      <c r="GTW24" s="535"/>
      <c r="GTX24" s="535"/>
      <c r="GTY24" s="535"/>
      <c r="GTZ24" s="535"/>
      <c r="GUA24" s="535"/>
      <c r="GUB24" s="535"/>
      <c r="GUC24" s="535"/>
      <c r="GUD24" s="535"/>
      <c r="GUE24" s="535"/>
      <c r="GUF24" s="535"/>
      <c r="GUG24" s="535"/>
      <c r="GUH24" s="535"/>
      <c r="GUI24" s="535"/>
      <c r="GUJ24" s="535"/>
      <c r="GUK24" s="535"/>
      <c r="GUL24" s="535"/>
      <c r="GUM24" s="535"/>
      <c r="GUN24" s="535"/>
      <c r="GUO24" s="535"/>
      <c r="GUP24" s="535"/>
      <c r="GUQ24" s="535"/>
      <c r="GUR24" s="535"/>
      <c r="GUS24" s="535"/>
      <c r="GUT24" s="535"/>
      <c r="GUU24" s="535"/>
      <c r="GUV24" s="535"/>
      <c r="GUW24" s="535"/>
      <c r="GUX24" s="535"/>
      <c r="GUY24" s="535"/>
      <c r="GUZ24" s="535"/>
      <c r="GVA24" s="535"/>
      <c r="GVB24" s="535"/>
      <c r="GVC24" s="535"/>
      <c r="GVD24" s="535"/>
      <c r="GVE24" s="535"/>
      <c r="GVF24" s="535"/>
      <c r="GVG24" s="535"/>
      <c r="GVH24" s="535"/>
      <c r="GVI24" s="535"/>
      <c r="GVJ24" s="535"/>
      <c r="GVK24" s="535"/>
      <c r="GVL24" s="535"/>
      <c r="GVM24" s="535"/>
      <c r="GVN24" s="535"/>
      <c r="GVO24" s="535"/>
      <c r="GVP24" s="535"/>
      <c r="GVQ24" s="535"/>
      <c r="GVR24" s="535"/>
      <c r="GVS24" s="535"/>
      <c r="GVT24" s="535"/>
      <c r="GVU24" s="535"/>
      <c r="GVV24" s="535"/>
      <c r="GVW24" s="535"/>
      <c r="GVX24" s="535"/>
      <c r="GVY24" s="535"/>
      <c r="GVZ24" s="535"/>
      <c r="GWA24" s="535"/>
      <c r="GWB24" s="535"/>
      <c r="GWC24" s="535"/>
      <c r="GWD24" s="535"/>
      <c r="GWE24" s="535"/>
      <c r="GWF24" s="535"/>
      <c r="GWG24" s="535"/>
      <c r="GWH24" s="535"/>
      <c r="GWI24" s="535"/>
      <c r="GWJ24" s="535"/>
      <c r="GWK24" s="535"/>
      <c r="GWL24" s="535"/>
      <c r="GWM24" s="535"/>
      <c r="GWN24" s="535"/>
      <c r="GWO24" s="535"/>
      <c r="GWP24" s="535"/>
      <c r="GWQ24" s="535"/>
      <c r="GWR24" s="535"/>
      <c r="GWS24" s="535"/>
      <c r="GWT24" s="535"/>
      <c r="GWU24" s="535"/>
      <c r="GWV24" s="535"/>
      <c r="GWW24" s="535"/>
      <c r="GWX24" s="535"/>
      <c r="GWY24" s="535"/>
      <c r="GWZ24" s="535"/>
      <c r="GXA24" s="535"/>
      <c r="GXB24" s="535"/>
      <c r="GXC24" s="535"/>
      <c r="GXD24" s="535"/>
      <c r="GXE24" s="535"/>
      <c r="GXF24" s="535"/>
      <c r="GXG24" s="535"/>
      <c r="GXH24" s="535"/>
      <c r="GXI24" s="535"/>
      <c r="GXJ24" s="535"/>
      <c r="GXK24" s="535"/>
      <c r="GXL24" s="535"/>
      <c r="GXM24" s="535"/>
      <c r="GXN24" s="535"/>
      <c r="GXO24" s="535"/>
      <c r="GXP24" s="535"/>
      <c r="GXQ24" s="535"/>
      <c r="GXR24" s="535"/>
      <c r="GXS24" s="535"/>
      <c r="GXT24" s="535"/>
      <c r="GXU24" s="535"/>
      <c r="GXV24" s="535"/>
      <c r="GXW24" s="535"/>
      <c r="GXX24" s="535"/>
      <c r="GXY24" s="535"/>
      <c r="GXZ24" s="535"/>
      <c r="GYA24" s="535"/>
      <c r="GYB24" s="535"/>
      <c r="GYC24" s="535"/>
      <c r="GYD24" s="535"/>
      <c r="GYE24" s="535"/>
      <c r="GYF24" s="535"/>
      <c r="GYG24" s="535"/>
      <c r="GYH24" s="535"/>
      <c r="GYI24" s="535"/>
      <c r="GYJ24" s="535"/>
      <c r="GYK24" s="535"/>
      <c r="GYL24" s="535"/>
      <c r="GYM24" s="535"/>
      <c r="GYN24" s="535"/>
      <c r="GYO24" s="535"/>
      <c r="GYP24" s="535"/>
      <c r="GYQ24" s="535"/>
      <c r="GYR24" s="535"/>
      <c r="GYS24" s="535"/>
      <c r="GYT24" s="535"/>
      <c r="GYU24" s="535"/>
      <c r="GYV24" s="535"/>
      <c r="GYW24" s="535"/>
      <c r="GYX24" s="535"/>
      <c r="GYY24" s="535"/>
      <c r="GYZ24" s="535"/>
      <c r="GZA24" s="535"/>
      <c r="GZB24" s="535"/>
      <c r="GZC24" s="535"/>
      <c r="GZD24" s="535"/>
      <c r="GZE24" s="535"/>
      <c r="GZF24" s="535"/>
      <c r="GZG24" s="535"/>
      <c r="GZH24" s="535"/>
      <c r="GZI24" s="535"/>
      <c r="GZJ24" s="535"/>
      <c r="GZK24" s="535"/>
      <c r="GZL24" s="535"/>
      <c r="GZM24" s="535"/>
      <c r="GZN24" s="535"/>
      <c r="GZO24" s="535"/>
      <c r="GZP24" s="535"/>
      <c r="GZQ24" s="535"/>
      <c r="GZR24" s="535"/>
      <c r="GZS24" s="535"/>
      <c r="GZT24" s="535"/>
      <c r="GZU24" s="535"/>
      <c r="GZV24" s="535"/>
      <c r="GZW24" s="535"/>
      <c r="GZX24" s="535"/>
      <c r="GZY24" s="535"/>
      <c r="GZZ24" s="535"/>
      <c r="HAA24" s="535"/>
      <c r="HAB24" s="535"/>
      <c r="HAC24" s="535"/>
      <c r="HAD24" s="535"/>
      <c r="HAE24" s="535"/>
      <c r="HAF24" s="535"/>
      <c r="HAG24" s="535"/>
      <c r="HAH24" s="535"/>
      <c r="HAI24" s="535"/>
      <c r="HAJ24" s="535"/>
      <c r="HAK24" s="535"/>
      <c r="HAL24" s="535"/>
      <c r="HAM24" s="535"/>
      <c r="HAN24" s="535"/>
      <c r="HAO24" s="535"/>
      <c r="HAP24" s="535"/>
      <c r="HAQ24" s="535"/>
      <c r="HAR24" s="535"/>
      <c r="HAS24" s="535"/>
      <c r="HAT24" s="535"/>
      <c r="HAU24" s="535"/>
      <c r="HAV24" s="535"/>
      <c r="HAW24" s="535"/>
      <c r="HAX24" s="535"/>
      <c r="HAY24" s="535"/>
      <c r="HAZ24" s="535"/>
      <c r="HBA24" s="535"/>
      <c r="HBB24" s="535"/>
      <c r="HBC24" s="535"/>
      <c r="HBD24" s="535"/>
      <c r="HBE24" s="535"/>
      <c r="HBF24" s="535"/>
      <c r="HBG24" s="535"/>
      <c r="HBH24" s="535"/>
      <c r="HBI24" s="535"/>
      <c r="HBJ24" s="535"/>
      <c r="HBK24" s="535"/>
      <c r="HBL24" s="535"/>
      <c r="HBM24" s="535"/>
      <c r="HBN24" s="535"/>
      <c r="HBO24" s="535"/>
      <c r="HBP24" s="535"/>
      <c r="HBQ24" s="535"/>
      <c r="HBR24" s="535"/>
      <c r="HBS24" s="535"/>
      <c r="HBT24" s="535"/>
      <c r="HBU24" s="535"/>
      <c r="HBV24" s="535"/>
      <c r="HBW24" s="535"/>
      <c r="HBX24" s="535"/>
      <c r="HBY24" s="535"/>
      <c r="HBZ24" s="535"/>
      <c r="HCA24" s="535"/>
      <c r="HCB24" s="535"/>
      <c r="HCC24" s="535"/>
      <c r="HCD24" s="535"/>
      <c r="HCE24" s="535"/>
      <c r="HCF24" s="535"/>
      <c r="HCG24" s="535"/>
      <c r="HCH24" s="535"/>
      <c r="HCI24" s="535"/>
      <c r="HCJ24" s="535"/>
      <c r="HCK24" s="535"/>
      <c r="HCL24" s="535"/>
      <c r="HCM24" s="535"/>
      <c r="HCN24" s="535"/>
      <c r="HCO24" s="535"/>
      <c r="HCP24" s="535"/>
      <c r="HCQ24" s="535"/>
      <c r="HCR24" s="535"/>
      <c r="HCS24" s="535"/>
      <c r="HCT24" s="535"/>
      <c r="HCU24" s="535"/>
      <c r="HCV24" s="535"/>
      <c r="HCW24" s="535"/>
      <c r="HCX24" s="535"/>
      <c r="HCY24" s="535"/>
      <c r="HCZ24" s="535"/>
      <c r="HDA24" s="535"/>
      <c r="HDB24" s="535"/>
      <c r="HDC24" s="535"/>
      <c r="HDD24" s="535"/>
      <c r="HDE24" s="535"/>
      <c r="HDF24" s="535"/>
      <c r="HDG24" s="535"/>
      <c r="HDH24" s="535"/>
      <c r="HDI24" s="535"/>
      <c r="HDJ24" s="535"/>
      <c r="HDK24" s="535"/>
      <c r="HDL24" s="535"/>
      <c r="HDM24" s="535"/>
      <c r="HDN24" s="535"/>
      <c r="HDO24" s="535"/>
      <c r="HDP24" s="535"/>
      <c r="HDQ24" s="535"/>
      <c r="HDR24" s="535"/>
      <c r="HDS24" s="535"/>
      <c r="HDT24" s="535"/>
      <c r="HDU24" s="535"/>
      <c r="HDV24" s="535"/>
      <c r="HDW24" s="535"/>
      <c r="HDX24" s="535"/>
      <c r="HDY24" s="535"/>
      <c r="HDZ24" s="535"/>
      <c r="HEA24" s="535"/>
      <c r="HEB24" s="535"/>
      <c r="HEC24" s="535"/>
      <c r="HED24" s="535"/>
      <c r="HEE24" s="535"/>
      <c r="HEF24" s="535"/>
      <c r="HEG24" s="535"/>
      <c r="HEH24" s="535"/>
      <c r="HEI24" s="535"/>
      <c r="HEJ24" s="535"/>
      <c r="HEK24" s="535"/>
      <c r="HEL24" s="535"/>
      <c r="HEM24" s="535"/>
      <c r="HEN24" s="535"/>
      <c r="HEO24" s="535"/>
      <c r="HEP24" s="535"/>
      <c r="HEQ24" s="535"/>
      <c r="HER24" s="535"/>
      <c r="HES24" s="535"/>
      <c r="HET24" s="535"/>
      <c r="HEU24" s="535"/>
      <c r="HEV24" s="535"/>
      <c r="HEW24" s="535"/>
      <c r="HEX24" s="535"/>
      <c r="HEY24" s="535"/>
      <c r="HEZ24" s="535"/>
      <c r="HFA24" s="535"/>
      <c r="HFB24" s="535"/>
      <c r="HFC24" s="535"/>
      <c r="HFD24" s="535"/>
      <c r="HFE24" s="535"/>
      <c r="HFF24" s="535"/>
      <c r="HFG24" s="535"/>
      <c r="HFH24" s="535"/>
      <c r="HFI24" s="535"/>
      <c r="HFJ24" s="535"/>
      <c r="HFK24" s="535"/>
      <c r="HFL24" s="535"/>
      <c r="HFM24" s="535"/>
      <c r="HFN24" s="535"/>
      <c r="HFO24" s="535"/>
      <c r="HFP24" s="535"/>
      <c r="HFQ24" s="535"/>
      <c r="HFR24" s="535"/>
      <c r="HFS24" s="535"/>
      <c r="HFT24" s="535"/>
      <c r="HFU24" s="535"/>
      <c r="HFV24" s="535"/>
      <c r="HFW24" s="535"/>
      <c r="HFX24" s="535"/>
      <c r="HFY24" s="535"/>
      <c r="HFZ24" s="535"/>
      <c r="HGA24" s="535"/>
      <c r="HGB24" s="535"/>
      <c r="HGC24" s="535"/>
      <c r="HGD24" s="535"/>
      <c r="HGE24" s="535"/>
      <c r="HGF24" s="535"/>
      <c r="HGG24" s="535"/>
      <c r="HGH24" s="535"/>
      <c r="HGI24" s="535"/>
      <c r="HGJ24" s="535"/>
      <c r="HGK24" s="535"/>
      <c r="HGL24" s="535"/>
      <c r="HGM24" s="535"/>
      <c r="HGN24" s="535"/>
      <c r="HGO24" s="535"/>
      <c r="HGP24" s="535"/>
      <c r="HGQ24" s="535"/>
      <c r="HGR24" s="535"/>
      <c r="HGS24" s="535"/>
      <c r="HGT24" s="535"/>
      <c r="HGU24" s="535"/>
      <c r="HGV24" s="535"/>
      <c r="HGW24" s="535"/>
      <c r="HGX24" s="535"/>
      <c r="HGY24" s="535"/>
      <c r="HGZ24" s="535"/>
      <c r="HHA24" s="535"/>
      <c r="HHB24" s="535"/>
      <c r="HHC24" s="535"/>
      <c r="HHD24" s="535"/>
      <c r="HHE24" s="535"/>
      <c r="HHF24" s="535"/>
      <c r="HHG24" s="535"/>
      <c r="HHH24" s="535"/>
      <c r="HHI24" s="535"/>
      <c r="HHJ24" s="535"/>
      <c r="HHK24" s="535"/>
      <c r="HHL24" s="535"/>
      <c r="HHM24" s="535"/>
      <c r="HHN24" s="535"/>
      <c r="HHO24" s="535"/>
      <c r="HHP24" s="535"/>
      <c r="HHQ24" s="535"/>
      <c r="HHR24" s="535"/>
      <c r="HHS24" s="535"/>
      <c r="HHT24" s="535"/>
      <c r="HHU24" s="535"/>
      <c r="HHV24" s="535"/>
      <c r="HHW24" s="535"/>
      <c r="HHX24" s="535"/>
      <c r="HHY24" s="535"/>
      <c r="HHZ24" s="535"/>
      <c r="HIA24" s="535"/>
      <c r="HIB24" s="535"/>
      <c r="HIC24" s="535"/>
      <c r="HID24" s="535"/>
      <c r="HIE24" s="535"/>
      <c r="HIF24" s="535"/>
      <c r="HIG24" s="535"/>
      <c r="HIH24" s="535"/>
      <c r="HII24" s="535"/>
      <c r="HIJ24" s="535"/>
      <c r="HIK24" s="535"/>
      <c r="HIL24" s="535"/>
      <c r="HIM24" s="535"/>
      <c r="HIN24" s="535"/>
      <c r="HIO24" s="535"/>
      <c r="HIP24" s="535"/>
      <c r="HIQ24" s="535"/>
      <c r="HIR24" s="535"/>
      <c r="HIS24" s="535"/>
      <c r="HIT24" s="535"/>
      <c r="HIU24" s="535"/>
      <c r="HIV24" s="535"/>
      <c r="HIW24" s="535"/>
      <c r="HIX24" s="535"/>
      <c r="HIY24" s="535"/>
      <c r="HIZ24" s="535"/>
      <c r="HJA24" s="535"/>
      <c r="HJB24" s="535"/>
      <c r="HJC24" s="535"/>
      <c r="HJD24" s="535"/>
      <c r="HJE24" s="535"/>
      <c r="HJF24" s="535"/>
      <c r="HJG24" s="535"/>
      <c r="HJH24" s="535"/>
      <c r="HJI24" s="535"/>
      <c r="HJJ24" s="535"/>
      <c r="HJK24" s="535"/>
      <c r="HJL24" s="535"/>
      <c r="HJM24" s="535"/>
      <c r="HJN24" s="535"/>
      <c r="HJO24" s="535"/>
      <c r="HJP24" s="535"/>
      <c r="HJQ24" s="535"/>
      <c r="HJR24" s="535"/>
      <c r="HJS24" s="535"/>
      <c r="HJT24" s="535"/>
      <c r="HJU24" s="535"/>
      <c r="HJV24" s="535"/>
      <c r="HJW24" s="535"/>
      <c r="HJX24" s="535"/>
      <c r="HJY24" s="535"/>
      <c r="HJZ24" s="535"/>
      <c r="HKA24" s="535"/>
      <c r="HKB24" s="535"/>
      <c r="HKC24" s="535"/>
      <c r="HKD24" s="535"/>
      <c r="HKE24" s="535"/>
      <c r="HKF24" s="535"/>
      <c r="HKG24" s="535"/>
      <c r="HKH24" s="535"/>
      <c r="HKI24" s="535"/>
      <c r="HKJ24" s="535"/>
      <c r="HKK24" s="535"/>
      <c r="HKL24" s="535"/>
      <c r="HKM24" s="535"/>
      <c r="HKN24" s="535"/>
      <c r="HKO24" s="535"/>
      <c r="HKP24" s="535"/>
      <c r="HKQ24" s="535"/>
      <c r="HKR24" s="535"/>
      <c r="HKS24" s="535"/>
      <c r="HKT24" s="535"/>
      <c r="HKU24" s="535"/>
      <c r="HKV24" s="535"/>
      <c r="HKW24" s="535"/>
      <c r="HKX24" s="535"/>
      <c r="HKY24" s="535"/>
      <c r="HKZ24" s="535"/>
      <c r="HLA24" s="535"/>
      <c r="HLB24" s="535"/>
      <c r="HLC24" s="535"/>
      <c r="HLD24" s="535"/>
      <c r="HLE24" s="535"/>
      <c r="HLF24" s="535"/>
      <c r="HLG24" s="535"/>
      <c r="HLH24" s="535"/>
      <c r="HLI24" s="535"/>
      <c r="HLJ24" s="535"/>
      <c r="HLK24" s="535"/>
      <c r="HLL24" s="535"/>
      <c r="HLM24" s="535"/>
      <c r="HLN24" s="535"/>
      <c r="HLO24" s="535"/>
      <c r="HLP24" s="535"/>
      <c r="HLQ24" s="535"/>
      <c r="HLR24" s="535"/>
      <c r="HLS24" s="535"/>
      <c r="HLT24" s="535"/>
      <c r="HLU24" s="535"/>
      <c r="HLV24" s="535"/>
      <c r="HLW24" s="535"/>
      <c r="HLX24" s="535"/>
      <c r="HLY24" s="535"/>
      <c r="HLZ24" s="535"/>
      <c r="HMA24" s="535"/>
      <c r="HMB24" s="535"/>
      <c r="HMC24" s="535"/>
      <c r="HMD24" s="535"/>
      <c r="HME24" s="535"/>
      <c r="HMF24" s="535"/>
      <c r="HMG24" s="535"/>
      <c r="HMH24" s="535"/>
      <c r="HMI24" s="535"/>
      <c r="HMJ24" s="535"/>
      <c r="HMK24" s="535"/>
      <c r="HML24" s="535"/>
      <c r="HMM24" s="535"/>
      <c r="HMN24" s="535"/>
      <c r="HMO24" s="535"/>
      <c r="HMP24" s="535"/>
      <c r="HMQ24" s="535"/>
      <c r="HMR24" s="535"/>
      <c r="HMS24" s="535"/>
      <c r="HMT24" s="535"/>
      <c r="HMU24" s="535"/>
      <c r="HMV24" s="535"/>
      <c r="HMW24" s="535"/>
      <c r="HMX24" s="535"/>
      <c r="HMY24" s="535"/>
      <c r="HMZ24" s="535"/>
      <c r="HNA24" s="535"/>
      <c r="HNB24" s="535"/>
      <c r="HNC24" s="535"/>
      <c r="HND24" s="535"/>
      <c r="HNE24" s="535"/>
      <c r="HNF24" s="535"/>
      <c r="HNG24" s="535"/>
      <c r="HNH24" s="535"/>
      <c r="HNI24" s="535"/>
      <c r="HNJ24" s="535"/>
      <c r="HNK24" s="535"/>
      <c r="HNL24" s="535"/>
      <c r="HNM24" s="535"/>
      <c r="HNN24" s="535"/>
      <c r="HNO24" s="535"/>
      <c r="HNP24" s="535"/>
      <c r="HNQ24" s="535"/>
      <c r="HNR24" s="535"/>
      <c r="HNS24" s="535"/>
      <c r="HNT24" s="535"/>
      <c r="HNU24" s="535"/>
      <c r="HNV24" s="535"/>
      <c r="HNW24" s="535"/>
      <c r="HNX24" s="535"/>
      <c r="HNY24" s="535"/>
      <c r="HNZ24" s="535"/>
      <c r="HOA24" s="535"/>
      <c r="HOB24" s="535"/>
      <c r="HOC24" s="535"/>
      <c r="HOD24" s="535"/>
      <c r="HOE24" s="535"/>
      <c r="HOF24" s="535"/>
      <c r="HOG24" s="535"/>
      <c r="HOH24" s="535"/>
      <c r="HOI24" s="535"/>
      <c r="HOJ24" s="535"/>
      <c r="HOK24" s="535"/>
      <c r="HOL24" s="535"/>
      <c r="HOM24" s="535"/>
      <c r="HON24" s="535"/>
      <c r="HOO24" s="535"/>
      <c r="HOP24" s="535"/>
      <c r="HOQ24" s="535"/>
      <c r="HOR24" s="535"/>
      <c r="HOS24" s="535"/>
      <c r="HOT24" s="535"/>
      <c r="HOU24" s="535"/>
      <c r="HOV24" s="535"/>
      <c r="HOW24" s="535"/>
      <c r="HOX24" s="535"/>
      <c r="HOY24" s="535"/>
      <c r="HOZ24" s="535"/>
      <c r="HPA24" s="535"/>
      <c r="HPB24" s="535"/>
      <c r="HPC24" s="535"/>
      <c r="HPD24" s="535"/>
      <c r="HPE24" s="535"/>
      <c r="HPF24" s="535"/>
      <c r="HPG24" s="535"/>
      <c r="HPH24" s="535"/>
      <c r="HPI24" s="535"/>
      <c r="HPJ24" s="535"/>
      <c r="HPK24" s="535"/>
      <c r="HPL24" s="535"/>
      <c r="HPM24" s="535"/>
      <c r="HPN24" s="535"/>
      <c r="HPO24" s="535"/>
      <c r="HPP24" s="535"/>
      <c r="HPQ24" s="535"/>
      <c r="HPR24" s="535"/>
      <c r="HPS24" s="535"/>
      <c r="HPT24" s="535"/>
      <c r="HPU24" s="535"/>
      <c r="HPV24" s="535"/>
      <c r="HPW24" s="535"/>
      <c r="HPX24" s="535"/>
      <c r="HPY24" s="535"/>
      <c r="HPZ24" s="535"/>
      <c r="HQA24" s="535"/>
      <c r="HQB24" s="535"/>
      <c r="HQC24" s="535"/>
      <c r="HQD24" s="535"/>
      <c r="HQE24" s="535"/>
      <c r="HQF24" s="535"/>
      <c r="HQG24" s="535"/>
      <c r="HQH24" s="535"/>
      <c r="HQI24" s="535"/>
      <c r="HQJ24" s="535"/>
      <c r="HQK24" s="535"/>
      <c r="HQL24" s="535"/>
      <c r="HQM24" s="535"/>
      <c r="HQN24" s="535"/>
      <c r="HQO24" s="535"/>
      <c r="HQP24" s="535"/>
      <c r="HQQ24" s="535"/>
      <c r="HQR24" s="535"/>
      <c r="HQS24" s="535"/>
      <c r="HQT24" s="535"/>
      <c r="HQU24" s="535"/>
      <c r="HQV24" s="535"/>
      <c r="HQW24" s="535"/>
      <c r="HQX24" s="535"/>
      <c r="HQY24" s="535"/>
      <c r="HQZ24" s="535"/>
      <c r="HRA24" s="535"/>
      <c r="HRB24" s="535"/>
      <c r="HRC24" s="535"/>
      <c r="HRD24" s="535"/>
      <c r="HRE24" s="535"/>
      <c r="HRF24" s="535"/>
      <c r="HRG24" s="535"/>
      <c r="HRH24" s="535"/>
      <c r="HRI24" s="535"/>
      <c r="HRJ24" s="535"/>
      <c r="HRK24" s="535"/>
      <c r="HRL24" s="535"/>
      <c r="HRM24" s="535"/>
      <c r="HRN24" s="535"/>
      <c r="HRO24" s="535"/>
      <c r="HRP24" s="535"/>
      <c r="HRQ24" s="535"/>
      <c r="HRR24" s="535"/>
      <c r="HRS24" s="535"/>
      <c r="HRT24" s="535"/>
      <c r="HRU24" s="535"/>
      <c r="HRV24" s="535"/>
      <c r="HRW24" s="535"/>
      <c r="HRX24" s="535"/>
      <c r="HRY24" s="535"/>
      <c r="HRZ24" s="535"/>
      <c r="HSA24" s="535"/>
      <c r="HSB24" s="535"/>
      <c r="HSC24" s="535"/>
      <c r="HSD24" s="535"/>
      <c r="HSE24" s="535"/>
      <c r="HSF24" s="535"/>
      <c r="HSG24" s="535"/>
      <c r="HSH24" s="535"/>
      <c r="HSI24" s="535"/>
      <c r="HSJ24" s="535"/>
      <c r="HSK24" s="535"/>
      <c r="HSL24" s="535"/>
      <c r="HSM24" s="535"/>
      <c r="HSN24" s="535"/>
      <c r="HSO24" s="535"/>
      <c r="HSP24" s="535"/>
      <c r="HSQ24" s="535"/>
      <c r="HSR24" s="535"/>
      <c r="HSS24" s="535"/>
      <c r="HST24" s="535"/>
      <c r="HSU24" s="535"/>
      <c r="HSV24" s="535"/>
      <c r="HSW24" s="535"/>
      <c r="HSX24" s="535"/>
      <c r="HSY24" s="535"/>
      <c r="HSZ24" s="535"/>
      <c r="HTA24" s="535"/>
      <c r="HTB24" s="535"/>
      <c r="HTC24" s="535"/>
      <c r="HTD24" s="535"/>
      <c r="HTE24" s="535"/>
      <c r="HTF24" s="535"/>
      <c r="HTG24" s="535"/>
      <c r="HTH24" s="535"/>
      <c r="HTI24" s="535"/>
      <c r="HTJ24" s="535"/>
      <c r="HTK24" s="535"/>
      <c r="HTL24" s="535"/>
      <c r="HTM24" s="535"/>
      <c r="HTN24" s="535"/>
      <c r="HTO24" s="535"/>
      <c r="HTP24" s="535"/>
      <c r="HTQ24" s="535"/>
      <c r="HTR24" s="535"/>
      <c r="HTS24" s="535"/>
      <c r="HTT24" s="535"/>
      <c r="HTU24" s="535"/>
      <c r="HTV24" s="535"/>
      <c r="HTW24" s="535"/>
      <c r="HTX24" s="535"/>
      <c r="HTY24" s="535"/>
      <c r="HTZ24" s="535"/>
      <c r="HUA24" s="535"/>
      <c r="HUB24" s="535"/>
      <c r="HUC24" s="535"/>
      <c r="HUD24" s="535"/>
      <c r="HUE24" s="535"/>
      <c r="HUF24" s="535"/>
      <c r="HUG24" s="535"/>
      <c r="HUH24" s="535"/>
      <c r="HUI24" s="535"/>
      <c r="HUJ24" s="535"/>
      <c r="HUK24" s="535"/>
      <c r="HUL24" s="535"/>
      <c r="HUM24" s="535"/>
      <c r="HUN24" s="535"/>
      <c r="HUO24" s="535"/>
      <c r="HUP24" s="535"/>
      <c r="HUQ24" s="535"/>
      <c r="HUR24" s="535"/>
      <c r="HUS24" s="535"/>
      <c r="HUT24" s="535"/>
      <c r="HUU24" s="535"/>
      <c r="HUV24" s="535"/>
      <c r="HUW24" s="535"/>
      <c r="HUX24" s="535"/>
      <c r="HUY24" s="535"/>
      <c r="HUZ24" s="535"/>
      <c r="HVA24" s="535"/>
      <c r="HVB24" s="535"/>
      <c r="HVC24" s="535"/>
      <c r="HVD24" s="535"/>
      <c r="HVE24" s="535"/>
      <c r="HVF24" s="535"/>
      <c r="HVG24" s="535"/>
      <c r="HVH24" s="535"/>
      <c r="HVI24" s="535"/>
      <c r="HVJ24" s="535"/>
      <c r="HVK24" s="535"/>
      <c r="HVL24" s="535"/>
      <c r="HVM24" s="535"/>
      <c r="HVN24" s="535"/>
      <c r="HVO24" s="535"/>
      <c r="HVP24" s="535"/>
      <c r="HVQ24" s="535"/>
      <c r="HVR24" s="535"/>
      <c r="HVS24" s="535"/>
      <c r="HVT24" s="535"/>
      <c r="HVU24" s="535"/>
      <c r="HVV24" s="535"/>
      <c r="HVW24" s="535"/>
      <c r="HVX24" s="535"/>
      <c r="HVY24" s="535"/>
      <c r="HVZ24" s="535"/>
      <c r="HWA24" s="535"/>
      <c r="HWB24" s="535"/>
      <c r="HWC24" s="535"/>
      <c r="HWD24" s="535"/>
      <c r="HWE24" s="535"/>
      <c r="HWF24" s="535"/>
      <c r="HWG24" s="535"/>
      <c r="HWH24" s="535"/>
      <c r="HWI24" s="535"/>
      <c r="HWJ24" s="535"/>
      <c r="HWK24" s="535"/>
      <c r="HWL24" s="535"/>
      <c r="HWM24" s="535"/>
      <c r="HWN24" s="535"/>
      <c r="HWO24" s="535"/>
      <c r="HWP24" s="535"/>
      <c r="HWQ24" s="535"/>
      <c r="HWR24" s="535"/>
      <c r="HWS24" s="535"/>
      <c r="HWT24" s="535"/>
      <c r="HWU24" s="535"/>
      <c r="HWV24" s="535"/>
      <c r="HWW24" s="535"/>
      <c r="HWX24" s="535"/>
      <c r="HWY24" s="535"/>
      <c r="HWZ24" s="535"/>
      <c r="HXA24" s="535"/>
      <c r="HXB24" s="535"/>
      <c r="HXC24" s="535"/>
      <c r="HXD24" s="535"/>
      <c r="HXE24" s="535"/>
      <c r="HXF24" s="535"/>
      <c r="HXG24" s="535"/>
      <c r="HXH24" s="535"/>
      <c r="HXI24" s="535"/>
      <c r="HXJ24" s="535"/>
      <c r="HXK24" s="535"/>
      <c r="HXL24" s="535"/>
      <c r="HXM24" s="535"/>
      <c r="HXN24" s="535"/>
      <c r="HXO24" s="535"/>
      <c r="HXP24" s="535"/>
      <c r="HXQ24" s="535"/>
      <c r="HXR24" s="535"/>
      <c r="HXS24" s="535"/>
      <c r="HXT24" s="535"/>
      <c r="HXU24" s="535"/>
      <c r="HXV24" s="535"/>
      <c r="HXW24" s="535"/>
      <c r="HXX24" s="535"/>
      <c r="HXY24" s="535"/>
      <c r="HXZ24" s="535"/>
      <c r="HYA24" s="535"/>
      <c r="HYB24" s="535"/>
      <c r="HYC24" s="535"/>
      <c r="HYD24" s="535"/>
      <c r="HYE24" s="535"/>
      <c r="HYF24" s="535"/>
      <c r="HYG24" s="535"/>
      <c r="HYH24" s="535"/>
      <c r="HYI24" s="535"/>
      <c r="HYJ24" s="535"/>
      <c r="HYK24" s="535"/>
      <c r="HYL24" s="535"/>
      <c r="HYM24" s="535"/>
      <c r="HYN24" s="535"/>
      <c r="HYO24" s="535"/>
      <c r="HYP24" s="535"/>
      <c r="HYQ24" s="535"/>
      <c r="HYR24" s="535"/>
      <c r="HYS24" s="535"/>
      <c r="HYT24" s="535"/>
      <c r="HYU24" s="535"/>
      <c r="HYV24" s="535"/>
      <c r="HYW24" s="535"/>
      <c r="HYX24" s="535"/>
      <c r="HYY24" s="535"/>
      <c r="HYZ24" s="535"/>
      <c r="HZA24" s="535"/>
      <c r="HZB24" s="535"/>
      <c r="HZC24" s="535"/>
      <c r="HZD24" s="535"/>
      <c r="HZE24" s="535"/>
      <c r="HZF24" s="535"/>
      <c r="HZG24" s="535"/>
      <c r="HZH24" s="535"/>
      <c r="HZI24" s="535"/>
      <c r="HZJ24" s="535"/>
      <c r="HZK24" s="535"/>
      <c r="HZL24" s="535"/>
      <c r="HZM24" s="535"/>
      <c r="HZN24" s="535"/>
      <c r="HZO24" s="535"/>
      <c r="HZP24" s="535"/>
      <c r="HZQ24" s="535"/>
      <c r="HZR24" s="535"/>
      <c r="HZS24" s="535"/>
      <c r="HZT24" s="535"/>
      <c r="HZU24" s="535"/>
      <c r="HZV24" s="535"/>
      <c r="HZW24" s="535"/>
      <c r="HZX24" s="535"/>
      <c r="HZY24" s="535"/>
      <c r="HZZ24" s="535"/>
      <c r="IAA24" s="535"/>
      <c r="IAB24" s="535"/>
      <c r="IAC24" s="535"/>
      <c r="IAD24" s="535"/>
      <c r="IAE24" s="535"/>
      <c r="IAF24" s="535"/>
      <c r="IAG24" s="535"/>
      <c r="IAH24" s="535"/>
      <c r="IAI24" s="535"/>
      <c r="IAJ24" s="535"/>
      <c r="IAK24" s="535"/>
      <c r="IAL24" s="535"/>
      <c r="IAM24" s="535"/>
      <c r="IAN24" s="535"/>
      <c r="IAO24" s="535"/>
      <c r="IAP24" s="535"/>
      <c r="IAQ24" s="535"/>
      <c r="IAR24" s="535"/>
      <c r="IAS24" s="535"/>
      <c r="IAT24" s="535"/>
      <c r="IAU24" s="535"/>
      <c r="IAV24" s="535"/>
      <c r="IAW24" s="535"/>
      <c r="IAX24" s="535"/>
      <c r="IAY24" s="535"/>
      <c r="IAZ24" s="535"/>
      <c r="IBA24" s="535"/>
      <c r="IBB24" s="535"/>
      <c r="IBC24" s="535"/>
      <c r="IBD24" s="535"/>
      <c r="IBE24" s="535"/>
      <c r="IBF24" s="535"/>
      <c r="IBG24" s="535"/>
      <c r="IBH24" s="535"/>
      <c r="IBI24" s="535"/>
      <c r="IBJ24" s="535"/>
      <c r="IBK24" s="535"/>
      <c r="IBL24" s="535"/>
      <c r="IBM24" s="535"/>
      <c r="IBN24" s="535"/>
      <c r="IBO24" s="535"/>
      <c r="IBP24" s="535"/>
      <c r="IBQ24" s="535"/>
      <c r="IBR24" s="535"/>
      <c r="IBS24" s="535"/>
      <c r="IBT24" s="535"/>
      <c r="IBU24" s="535"/>
      <c r="IBV24" s="535"/>
      <c r="IBW24" s="535"/>
      <c r="IBX24" s="535"/>
      <c r="IBY24" s="535"/>
      <c r="IBZ24" s="535"/>
      <c r="ICA24" s="535"/>
      <c r="ICB24" s="535"/>
      <c r="ICC24" s="535"/>
      <c r="ICD24" s="535"/>
      <c r="ICE24" s="535"/>
      <c r="ICF24" s="535"/>
      <c r="ICG24" s="535"/>
      <c r="ICH24" s="535"/>
      <c r="ICI24" s="535"/>
      <c r="ICJ24" s="535"/>
      <c r="ICK24" s="535"/>
      <c r="ICL24" s="535"/>
      <c r="ICM24" s="535"/>
      <c r="ICN24" s="535"/>
      <c r="ICO24" s="535"/>
      <c r="ICP24" s="535"/>
      <c r="ICQ24" s="535"/>
      <c r="ICR24" s="535"/>
      <c r="ICS24" s="535"/>
      <c r="ICT24" s="535"/>
      <c r="ICU24" s="535"/>
      <c r="ICV24" s="535"/>
      <c r="ICW24" s="535"/>
      <c r="ICX24" s="535"/>
      <c r="ICY24" s="535"/>
      <c r="ICZ24" s="535"/>
      <c r="IDA24" s="535"/>
      <c r="IDB24" s="535"/>
      <c r="IDC24" s="535"/>
      <c r="IDD24" s="535"/>
      <c r="IDE24" s="535"/>
      <c r="IDF24" s="535"/>
      <c r="IDG24" s="535"/>
      <c r="IDH24" s="535"/>
      <c r="IDI24" s="535"/>
      <c r="IDJ24" s="535"/>
      <c r="IDK24" s="535"/>
      <c r="IDL24" s="535"/>
      <c r="IDM24" s="535"/>
      <c r="IDN24" s="535"/>
      <c r="IDO24" s="535"/>
      <c r="IDP24" s="535"/>
      <c r="IDQ24" s="535"/>
      <c r="IDR24" s="535"/>
      <c r="IDS24" s="535"/>
      <c r="IDT24" s="535"/>
      <c r="IDU24" s="535"/>
      <c r="IDV24" s="535"/>
      <c r="IDW24" s="535"/>
      <c r="IDX24" s="535"/>
      <c r="IDY24" s="535"/>
      <c r="IDZ24" s="535"/>
      <c r="IEA24" s="535"/>
      <c r="IEB24" s="535"/>
      <c r="IEC24" s="535"/>
      <c r="IED24" s="535"/>
      <c r="IEE24" s="535"/>
      <c r="IEF24" s="535"/>
      <c r="IEG24" s="535"/>
      <c r="IEH24" s="535"/>
      <c r="IEI24" s="535"/>
      <c r="IEJ24" s="535"/>
      <c r="IEK24" s="535"/>
      <c r="IEL24" s="535"/>
      <c r="IEM24" s="535"/>
      <c r="IEN24" s="535"/>
      <c r="IEO24" s="535"/>
      <c r="IEP24" s="535"/>
      <c r="IEQ24" s="535"/>
      <c r="IER24" s="535"/>
      <c r="IES24" s="535"/>
      <c r="IET24" s="535"/>
      <c r="IEU24" s="535"/>
      <c r="IEV24" s="535"/>
      <c r="IEW24" s="535"/>
      <c r="IEX24" s="535"/>
      <c r="IEY24" s="535"/>
      <c r="IEZ24" s="535"/>
      <c r="IFA24" s="535"/>
      <c r="IFB24" s="535"/>
      <c r="IFC24" s="535"/>
      <c r="IFD24" s="535"/>
      <c r="IFE24" s="535"/>
      <c r="IFF24" s="535"/>
      <c r="IFG24" s="535"/>
      <c r="IFH24" s="535"/>
      <c r="IFI24" s="535"/>
      <c r="IFJ24" s="535"/>
      <c r="IFK24" s="535"/>
      <c r="IFL24" s="535"/>
      <c r="IFM24" s="535"/>
      <c r="IFN24" s="535"/>
      <c r="IFO24" s="535"/>
      <c r="IFP24" s="535"/>
      <c r="IFQ24" s="535"/>
      <c r="IFR24" s="535"/>
      <c r="IFS24" s="535"/>
      <c r="IFT24" s="535"/>
      <c r="IFU24" s="535"/>
      <c r="IFV24" s="535"/>
      <c r="IFW24" s="535"/>
      <c r="IFX24" s="535"/>
      <c r="IFY24" s="535"/>
      <c r="IFZ24" s="535"/>
      <c r="IGA24" s="535"/>
      <c r="IGB24" s="535"/>
      <c r="IGC24" s="535"/>
      <c r="IGD24" s="535"/>
      <c r="IGE24" s="535"/>
      <c r="IGF24" s="535"/>
      <c r="IGG24" s="535"/>
      <c r="IGH24" s="535"/>
      <c r="IGI24" s="535"/>
      <c r="IGJ24" s="535"/>
      <c r="IGK24" s="535"/>
      <c r="IGL24" s="535"/>
      <c r="IGM24" s="535"/>
      <c r="IGN24" s="535"/>
      <c r="IGO24" s="535"/>
      <c r="IGP24" s="535"/>
      <c r="IGQ24" s="535"/>
      <c r="IGR24" s="535"/>
      <c r="IGS24" s="535"/>
      <c r="IGT24" s="535"/>
      <c r="IGU24" s="535"/>
      <c r="IGV24" s="535"/>
      <c r="IGW24" s="535"/>
      <c r="IGX24" s="535"/>
      <c r="IGY24" s="535"/>
      <c r="IGZ24" s="535"/>
      <c r="IHA24" s="535"/>
      <c r="IHB24" s="535"/>
      <c r="IHC24" s="535"/>
      <c r="IHD24" s="535"/>
      <c r="IHE24" s="535"/>
      <c r="IHF24" s="535"/>
      <c r="IHG24" s="535"/>
      <c r="IHH24" s="535"/>
      <c r="IHI24" s="535"/>
      <c r="IHJ24" s="535"/>
      <c r="IHK24" s="535"/>
      <c r="IHL24" s="535"/>
      <c r="IHM24" s="535"/>
      <c r="IHN24" s="535"/>
      <c r="IHO24" s="535"/>
      <c r="IHP24" s="535"/>
      <c r="IHQ24" s="535"/>
      <c r="IHR24" s="535"/>
      <c r="IHS24" s="535"/>
      <c r="IHT24" s="535"/>
      <c r="IHU24" s="535"/>
      <c r="IHV24" s="535"/>
      <c r="IHW24" s="535"/>
      <c r="IHX24" s="535"/>
      <c r="IHY24" s="535"/>
      <c r="IHZ24" s="535"/>
      <c r="IIA24" s="535"/>
      <c r="IIB24" s="535"/>
      <c r="IIC24" s="535"/>
      <c r="IID24" s="535"/>
      <c r="IIE24" s="535"/>
      <c r="IIF24" s="535"/>
      <c r="IIG24" s="535"/>
      <c r="IIH24" s="535"/>
      <c r="III24" s="535"/>
      <c r="IIJ24" s="535"/>
      <c r="IIK24" s="535"/>
      <c r="IIL24" s="535"/>
      <c r="IIM24" s="535"/>
      <c r="IIN24" s="535"/>
      <c r="IIO24" s="535"/>
      <c r="IIP24" s="535"/>
      <c r="IIQ24" s="535"/>
      <c r="IIR24" s="535"/>
      <c r="IIS24" s="535"/>
      <c r="IIT24" s="535"/>
      <c r="IIU24" s="535"/>
      <c r="IIV24" s="535"/>
      <c r="IIW24" s="535"/>
      <c r="IIX24" s="535"/>
      <c r="IIY24" s="535"/>
      <c r="IIZ24" s="535"/>
      <c r="IJA24" s="535"/>
      <c r="IJB24" s="535"/>
      <c r="IJC24" s="535"/>
      <c r="IJD24" s="535"/>
      <c r="IJE24" s="535"/>
      <c r="IJF24" s="535"/>
      <c r="IJG24" s="535"/>
      <c r="IJH24" s="535"/>
      <c r="IJI24" s="535"/>
      <c r="IJJ24" s="535"/>
      <c r="IJK24" s="535"/>
      <c r="IJL24" s="535"/>
      <c r="IJM24" s="535"/>
      <c r="IJN24" s="535"/>
      <c r="IJO24" s="535"/>
      <c r="IJP24" s="535"/>
      <c r="IJQ24" s="535"/>
      <c r="IJR24" s="535"/>
      <c r="IJS24" s="535"/>
      <c r="IJT24" s="535"/>
      <c r="IJU24" s="535"/>
      <c r="IJV24" s="535"/>
      <c r="IJW24" s="535"/>
      <c r="IJX24" s="535"/>
      <c r="IJY24" s="535"/>
      <c r="IJZ24" s="535"/>
      <c r="IKA24" s="535"/>
      <c r="IKB24" s="535"/>
      <c r="IKC24" s="535"/>
      <c r="IKD24" s="535"/>
      <c r="IKE24" s="535"/>
      <c r="IKF24" s="535"/>
      <c r="IKG24" s="535"/>
      <c r="IKH24" s="535"/>
      <c r="IKI24" s="535"/>
      <c r="IKJ24" s="535"/>
      <c r="IKK24" s="535"/>
      <c r="IKL24" s="535"/>
      <c r="IKM24" s="535"/>
      <c r="IKN24" s="535"/>
      <c r="IKO24" s="535"/>
      <c r="IKP24" s="535"/>
      <c r="IKQ24" s="535"/>
      <c r="IKR24" s="535"/>
      <c r="IKS24" s="535"/>
      <c r="IKT24" s="535"/>
      <c r="IKU24" s="535"/>
      <c r="IKV24" s="535"/>
      <c r="IKW24" s="535"/>
      <c r="IKX24" s="535"/>
      <c r="IKY24" s="535"/>
      <c r="IKZ24" s="535"/>
      <c r="ILA24" s="535"/>
      <c r="ILB24" s="535"/>
      <c r="ILC24" s="535"/>
      <c r="ILD24" s="535"/>
      <c r="ILE24" s="535"/>
      <c r="ILF24" s="535"/>
      <c r="ILG24" s="535"/>
      <c r="ILH24" s="535"/>
      <c r="ILI24" s="535"/>
      <c r="ILJ24" s="535"/>
      <c r="ILK24" s="535"/>
      <c r="ILL24" s="535"/>
      <c r="ILM24" s="535"/>
      <c r="ILN24" s="535"/>
      <c r="ILO24" s="535"/>
      <c r="ILP24" s="535"/>
      <c r="ILQ24" s="535"/>
      <c r="ILR24" s="535"/>
      <c r="ILS24" s="535"/>
      <c r="ILT24" s="535"/>
      <c r="ILU24" s="535"/>
      <c r="ILV24" s="535"/>
      <c r="ILW24" s="535"/>
      <c r="ILX24" s="535"/>
      <c r="ILY24" s="535"/>
      <c r="ILZ24" s="535"/>
      <c r="IMA24" s="535"/>
      <c r="IMB24" s="535"/>
      <c r="IMC24" s="535"/>
      <c r="IMD24" s="535"/>
      <c r="IME24" s="535"/>
      <c r="IMF24" s="535"/>
      <c r="IMG24" s="535"/>
      <c r="IMH24" s="535"/>
      <c r="IMI24" s="535"/>
      <c r="IMJ24" s="535"/>
      <c r="IMK24" s="535"/>
      <c r="IML24" s="535"/>
      <c r="IMM24" s="535"/>
      <c r="IMN24" s="535"/>
      <c r="IMO24" s="535"/>
      <c r="IMP24" s="535"/>
      <c r="IMQ24" s="535"/>
      <c r="IMR24" s="535"/>
      <c r="IMS24" s="535"/>
      <c r="IMT24" s="535"/>
      <c r="IMU24" s="535"/>
      <c r="IMV24" s="535"/>
      <c r="IMW24" s="535"/>
      <c r="IMX24" s="535"/>
      <c r="IMY24" s="535"/>
      <c r="IMZ24" s="535"/>
      <c r="INA24" s="535"/>
      <c r="INB24" s="535"/>
      <c r="INC24" s="535"/>
      <c r="IND24" s="535"/>
      <c r="INE24" s="535"/>
      <c r="INF24" s="535"/>
      <c r="ING24" s="535"/>
      <c r="INH24" s="535"/>
      <c r="INI24" s="535"/>
      <c r="INJ24" s="535"/>
      <c r="INK24" s="535"/>
      <c r="INL24" s="535"/>
      <c r="INM24" s="535"/>
      <c r="INN24" s="535"/>
      <c r="INO24" s="535"/>
      <c r="INP24" s="535"/>
      <c r="INQ24" s="535"/>
      <c r="INR24" s="535"/>
      <c r="INS24" s="535"/>
      <c r="INT24" s="535"/>
      <c r="INU24" s="535"/>
      <c r="INV24" s="535"/>
      <c r="INW24" s="535"/>
      <c r="INX24" s="535"/>
      <c r="INY24" s="535"/>
      <c r="INZ24" s="535"/>
      <c r="IOA24" s="535"/>
      <c r="IOB24" s="535"/>
      <c r="IOC24" s="535"/>
      <c r="IOD24" s="535"/>
      <c r="IOE24" s="535"/>
      <c r="IOF24" s="535"/>
      <c r="IOG24" s="535"/>
      <c r="IOH24" s="535"/>
      <c r="IOI24" s="535"/>
      <c r="IOJ24" s="535"/>
      <c r="IOK24" s="535"/>
      <c r="IOL24" s="535"/>
      <c r="IOM24" s="535"/>
      <c r="ION24" s="535"/>
      <c r="IOO24" s="535"/>
      <c r="IOP24" s="535"/>
      <c r="IOQ24" s="535"/>
      <c r="IOR24" s="535"/>
      <c r="IOS24" s="535"/>
      <c r="IOT24" s="535"/>
      <c r="IOU24" s="535"/>
      <c r="IOV24" s="535"/>
      <c r="IOW24" s="535"/>
      <c r="IOX24" s="535"/>
      <c r="IOY24" s="535"/>
      <c r="IOZ24" s="535"/>
      <c r="IPA24" s="535"/>
      <c r="IPB24" s="535"/>
      <c r="IPC24" s="535"/>
      <c r="IPD24" s="535"/>
      <c r="IPE24" s="535"/>
      <c r="IPF24" s="535"/>
      <c r="IPG24" s="535"/>
      <c r="IPH24" s="535"/>
      <c r="IPI24" s="535"/>
      <c r="IPJ24" s="535"/>
      <c r="IPK24" s="535"/>
      <c r="IPL24" s="535"/>
      <c r="IPM24" s="535"/>
      <c r="IPN24" s="535"/>
      <c r="IPO24" s="535"/>
      <c r="IPP24" s="535"/>
      <c r="IPQ24" s="535"/>
      <c r="IPR24" s="535"/>
      <c r="IPS24" s="535"/>
      <c r="IPT24" s="535"/>
      <c r="IPU24" s="535"/>
      <c r="IPV24" s="535"/>
      <c r="IPW24" s="535"/>
      <c r="IPX24" s="535"/>
      <c r="IPY24" s="535"/>
      <c r="IPZ24" s="535"/>
      <c r="IQA24" s="535"/>
      <c r="IQB24" s="535"/>
      <c r="IQC24" s="535"/>
      <c r="IQD24" s="535"/>
      <c r="IQE24" s="535"/>
      <c r="IQF24" s="535"/>
      <c r="IQG24" s="535"/>
      <c r="IQH24" s="535"/>
      <c r="IQI24" s="535"/>
      <c r="IQJ24" s="535"/>
      <c r="IQK24" s="535"/>
      <c r="IQL24" s="535"/>
      <c r="IQM24" s="535"/>
      <c r="IQN24" s="535"/>
      <c r="IQO24" s="535"/>
      <c r="IQP24" s="535"/>
      <c r="IQQ24" s="535"/>
      <c r="IQR24" s="535"/>
      <c r="IQS24" s="535"/>
      <c r="IQT24" s="535"/>
      <c r="IQU24" s="535"/>
      <c r="IQV24" s="535"/>
      <c r="IQW24" s="535"/>
      <c r="IQX24" s="535"/>
      <c r="IQY24" s="535"/>
      <c r="IQZ24" s="535"/>
      <c r="IRA24" s="535"/>
      <c r="IRB24" s="535"/>
      <c r="IRC24" s="535"/>
      <c r="IRD24" s="535"/>
      <c r="IRE24" s="535"/>
      <c r="IRF24" s="535"/>
      <c r="IRG24" s="535"/>
      <c r="IRH24" s="535"/>
      <c r="IRI24" s="535"/>
      <c r="IRJ24" s="535"/>
      <c r="IRK24" s="535"/>
      <c r="IRL24" s="535"/>
      <c r="IRM24" s="535"/>
      <c r="IRN24" s="535"/>
      <c r="IRO24" s="535"/>
      <c r="IRP24" s="535"/>
      <c r="IRQ24" s="535"/>
      <c r="IRR24" s="535"/>
      <c r="IRS24" s="535"/>
      <c r="IRT24" s="535"/>
      <c r="IRU24" s="535"/>
      <c r="IRV24" s="535"/>
      <c r="IRW24" s="535"/>
      <c r="IRX24" s="535"/>
      <c r="IRY24" s="535"/>
      <c r="IRZ24" s="535"/>
      <c r="ISA24" s="535"/>
      <c r="ISB24" s="535"/>
      <c r="ISC24" s="535"/>
      <c r="ISD24" s="535"/>
      <c r="ISE24" s="535"/>
      <c r="ISF24" s="535"/>
      <c r="ISG24" s="535"/>
      <c r="ISH24" s="535"/>
      <c r="ISI24" s="535"/>
      <c r="ISJ24" s="535"/>
      <c r="ISK24" s="535"/>
      <c r="ISL24" s="535"/>
      <c r="ISM24" s="535"/>
      <c r="ISN24" s="535"/>
      <c r="ISO24" s="535"/>
      <c r="ISP24" s="535"/>
      <c r="ISQ24" s="535"/>
      <c r="ISR24" s="535"/>
      <c r="ISS24" s="535"/>
      <c r="IST24" s="535"/>
      <c r="ISU24" s="535"/>
      <c r="ISV24" s="535"/>
      <c r="ISW24" s="535"/>
      <c r="ISX24" s="535"/>
      <c r="ISY24" s="535"/>
      <c r="ISZ24" s="535"/>
      <c r="ITA24" s="535"/>
      <c r="ITB24" s="535"/>
      <c r="ITC24" s="535"/>
      <c r="ITD24" s="535"/>
      <c r="ITE24" s="535"/>
      <c r="ITF24" s="535"/>
      <c r="ITG24" s="535"/>
      <c r="ITH24" s="535"/>
      <c r="ITI24" s="535"/>
      <c r="ITJ24" s="535"/>
      <c r="ITK24" s="535"/>
      <c r="ITL24" s="535"/>
      <c r="ITM24" s="535"/>
      <c r="ITN24" s="535"/>
      <c r="ITO24" s="535"/>
      <c r="ITP24" s="535"/>
      <c r="ITQ24" s="535"/>
      <c r="ITR24" s="535"/>
      <c r="ITS24" s="535"/>
      <c r="ITT24" s="535"/>
      <c r="ITU24" s="535"/>
      <c r="ITV24" s="535"/>
      <c r="ITW24" s="535"/>
      <c r="ITX24" s="535"/>
      <c r="ITY24" s="535"/>
      <c r="ITZ24" s="535"/>
      <c r="IUA24" s="535"/>
      <c r="IUB24" s="535"/>
      <c r="IUC24" s="535"/>
      <c r="IUD24" s="535"/>
      <c r="IUE24" s="535"/>
      <c r="IUF24" s="535"/>
      <c r="IUG24" s="535"/>
      <c r="IUH24" s="535"/>
      <c r="IUI24" s="535"/>
      <c r="IUJ24" s="535"/>
      <c r="IUK24" s="535"/>
      <c r="IUL24" s="535"/>
      <c r="IUM24" s="535"/>
      <c r="IUN24" s="535"/>
      <c r="IUO24" s="535"/>
      <c r="IUP24" s="535"/>
      <c r="IUQ24" s="535"/>
      <c r="IUR24" s="535"/>
      <c r="IUS24" s="535"/>
      <c r="IUT24" s="535"/>
      <c r="IUU24" s="535"/>
      <c r="IUV24" s="535"/>
      <c r="IUW24" s="535"/>
      <c r="IUX24" s="535"/>
      <c r="IUY24" s="535"/>
      <c r="IUZ24" s="535"/>
      <c r="IVA24" s="535"/>
      <c r="IVB24" s="535"/>
      <c r="IVC24" s="535"/>
      <c r="IVD24" s="535"/>
      <c r="IVE24" s="535"/>
      <c r="IVF24" s="535"/>
      <c r="IVG24" s="535"/>
      <c r="IVH24" s="535"/>
      <c r="IVI24" s="535"/>
      <c r="IVJ24" s="535"/>
      <c r="IVK24" s="535"/>
      <c r="IVL24" s="535"/>
      <c r="IVM24" s="535"/>
      <c r="IVN24" s="535"/>
      <c r="IVO24" s="535"/>
      <c r="IVP24" s="535"/>
      <c r="IVQ24" s="535"/>
      <c r="IVR24" s="535"/>
      <c r="IVS24" s="535"/>
      <c r="IVT24" s="535"/>
      <c r="IVU24" s="535"/>
      <c r="IVV24" s="535"/>
      <c r="IVW24" s="535"/>
      <c r="IVX24" s="535"/>
      <c r="IVY24" s="535"/>
      <c r="IVZ24" s="535"/>
      <c r="IWA24" s="535"/>
      <c r="IWB24" s="535"/>
      <c r="IWC24" s="535"/>
      <c r="IWD24" s="535"/>
      <c r="IWE24" s="535"/>
      <c r="IWF24" s="535"/>
      <c r="IWG24" s="535"/>
      <c r="IWH24" s="535"/>
      <c r="IWI24" s="535"/>
      <c r="IWJ24" s="535"/>
      <c r="IWK24" s="535"/>
      <c r="IWL24" s="535"/>
      <c r="IWM24" s="535"/>
      <c r="IWN24" s="535"/>
      <c r="IWO24" s="535"/>
      <c r="IWP24" s="535"/>
      <c r="IWQ24" s="535"/>
      <c r="IWR24" s="535"/>
      <c r="IWS24" s="535"/>
      <c r="IWT24" s="535"/>
      <c r="IWU24" s="535"/>
      <c r="IWV24" s="535"/>
      <c r="IWW24" s="535"/>
      <c r="IWX24" s="535"/>
      <c r="IWY24" s="535"/>
      <c r="IWZ24" s="535"/>
      <c r="IXA24" s="535"/>
      <c r="IXB24" s="535"/>
      <c r="IXC24" s="535"/>
      <c r="IXD24" s="535"/>
      <c r="IXE24" s="535"/>
      <c r="IXF24" s="535"/>
      <c r="IXG24" s="535"/>
      <c r="IXH24" s="535"/>
      <c r="IXI24" s="535"/>
      <c r="IXJ24" s="535"/>
      <c r="IXK24" s="535"/>
      <c r="IXL24" s="535"/>
      <c r="IXM24" s="535"/>
      <c r="IXN24" s="535"/>
      <c r="IXO24" s="535"/>
      <c r="IXP24" s="535"/>
      <c r="IXQ24" s="535"/>
      <c r="IXR24" s="535"/>
      <c r="IXS24" s="535"/>
      <c r="IXT24" s="535"/>
      <c r="IXU24" s="535"/>
      <c r="IXV24" s="535"/>
      <c r="IXW24" s="535"/>
      <c r="IXX24" s="535"/>
      <c r="IXY24" s="535"/>
      <c r="IXZ24" s="535"/>
      <c r="IYA24" s="535"/>
      <c r="IYB24" s="535"/>
      <c r="IYC24" s="535"/>
      <c r="IYD24" s="535"/>
      <c r="IYE24" s="535"/>
      <c r="IYF24" s="535"/>
      <c r="IYG24" s="535"/>
      <c r="IYH24" s="535"/>
      <c r="IYI24" s="535"/>
      <c r="IYJ24" s="535"/>
      <c r="IYK24" s="535"/>
      <c r="IYL24" s="535"/>
      <c r="IYM24" s="535"/>
      <c r="IYN24" s="535"/>
      <c r="IYO24" s="535"/>
      <c r="IYP24" s="535"/>
      <c r="IYQ24" s="535"/>
      <c r="IYR24" s="535"/>
      <c r="IYS24" s="535"/>
      <c r="IYT24" s="535"/>
      <c r="IYU24" s="535"/>
      <c r="IYV24" s="535"/>
      <c r="IYW24" s="535"/>
      <c r="IYX24" s="535"/>
      <c r="IYY24" s="535"/>
      <c r="IYZ24" s="535"/>
      <c r="IZA24" s="535"/>
      <c r="IZB24" s="535"/>
      <c r="IZC24" s="535"/>
      <c r="IZD24" s="535"/>
      <c r="IZE24" s="535"/>
      <c r="IZF24" s="535"/>
      <c r="IZG24" s="535"/>
      <c r="IZH24" s="535"/>
      <c r="IZI24" s="535"/>
      <c r="IZJ24" s="535"/>
      <c r="IZK24" s="535"/>
      <c r="IZL24" s="535"/>
      <c r="IZM24" s="535"/>
      <c r="IZN24" s="535"/>
      <c r="IZO24" s="535"/>
      <c r="IZP24" s="535"/>
      <c r="IZQ24" s="535"/>
      <c r="IZR24" s="535"/>
      <c r="IZS24" s="535"/>
      <c r="IZT24" s="535"/>
      <c r="IZU24" s="535"/>
      <c r="IZV24" s="535"/>
      <c r="IZW24" s="535"/>
      <c r="IZX24" s="535"/>
      <c r="IZY24" s="535"/>
      <c r="IZZ24" s="535"/>
      <c r="JAA24" s="535"/>
      <c r="JAB24" s="535"/>
      <c r="JAC24" s="535"/>
      <c r="JAD24" s="535"/>
      <c r="JAE24" s="535"/>
      <c r="JAF24" s="535"/>
      <c r="JAG24" s="535"/>
      <c r="JAH24" s="535"/>
      <c r="JAI24" s="535"/>
      <c r="JAJ24" s="535"/>
      <c r="JAK24" s="535"/>
      <c r="JAL24" s="535"/>
      <c r="JAM24" s="535"/>
      <c r="JAN24" s="535"/>
      <c r="JAO24" s="535"/>
      <c r="JAP24" s="535"/>
      <c r="JAQ24" s="535"/>
      <c r="JAR24" s="535"/>
      <c r="JAS24" s="535"/>
      <c r="JAT24" s="535"/>
      <c r="JAU24" s="535"/>
      <c r="JAV24" s="535"/>
      <c r="JAW24" s="535"/>
      <c r="JAX24" s="535"/>
      <c r="JAY24" s="535"/>
      <c r="JAZ24" s="535"/>
      <c r="JBA24" s="535"/>
      <c r="JBB24" s="535"/>
      <c r="JBC24" s="535"/>
      <c r="JBD24" s="535"/>
      <c r="JBE24" s="535"/>
      <c r="JBF24" s="535"/>
      <c r="JBG24" s="535"/>
      <c r="JBH24" s="535"/>
      <c r="JBI24" s="535"/>
      <c r="JBJ24" s="535"/>
      <c r="JBK24" s="535"/>
      <c r="JBL24" s="535"/>
      <c r="JBM24" s="535"/>
      <c r="JBN24" s="535"/>
      <c r="JBO24" s="535"/>
      <c r="JBP24" s="535"/>
      <c r="JBQ24" s="535"/>
      <c r="JBR24" s="535"/>
      <c r="JBS24" s="535"/>
      <c r="JBT24" s="535"/>
      <c r="JBU24" s="535"/>
      <c r="JBV24" s="535"/>
      <c r="JBW24" s="535"/>
      <c r="JBX24" s="535"/>
      <c r="JBY24" s="535"/>
      <c r="JBZ24" s="535"/>
      <c r="JCA24" s="535"/>
      <c r="JCB24" s="535"/>
      <c r="JCC24" s="535"/>
      <c r="JCD24" s="535"/>
      <c r="JCE24" s="535"/>
      <c r="JCF24" s="535"/>
      <c r="JCG24" s="535"/>
      <c r="JCH24" s="535"/>
      <c r="JCI24" s="535"/>
      <c r="JCJ24" s="535"/>
      <c r="JCK24" s="535"/>
      <c r="JCL24" s="535"/>
      <c r="JCM24" s="535"/>
      <c r="JCN24" s="535"/>
      <c r="JCO24" s="535"/>
      <c r="JCP24" s="535"/>
      <c r="JCQ24" s="535"/>
      <c r="JCR24" s="535"/>
      <c r="JCS24" s="535"/>
      <c r="JCT24" s="535"/>
      <c r="JCU24" s="535"/>
      <c r="JCV24" s="535"/>
      <c r="JCW24" s="535"/>
      <c r="JCX24" s="535"/>
      <c r="JCY24" s="535"/>
      <c r="JCZ24" s="535"/>
      <c r="JDA24" s="535"/>
      <c r="JDB24" s="535"/>
      <c r="JDC24" s="535"/>
      <c r="JDD24" s="535"/>
      <c r="JDE24" s="535"/>
      <c r="JDF24" s="535"/>
      <c r="JDG24" s="535"/>
      <c r="JDH24" s="535"/>
      <c r="JDI24" s="535"/>
      <c r="JDJ24" s="535"/>
      <c r="JDK24" s="535"/>
      <c r="JDL24" s="535"/>
      <c r="JDM24" s="535"/>
      <c r="JDN24" s="535"/>
      <c r="JDO24" s="535"/>
      <c r="JDP24" s="535"/>
      <c r="JDQ24" s="535"/>
      <c r="JDR24" s="535"/>
      <c r="JDS24" s="535"/>
      <c r="JDT24" s="535"/>
      <c r="JDU24" s="535"/>
      <c r="JDV24" s="535"/>
      <c r="JDW24" s="535"/>
      <c r="JDX24" s="535"/>
      <c r="JDY24" s="535"/>
      <c r="JDZ24" s="535"/>
      <c r="JEA24" s="535"/>
      <c r="JEB24" s="535"/>
      <c r="JEC24" s="535"/>
      <c r="JED24" s="535"/>
      <c r="JEE24" s="535"/>
      <c r="JEF24" s="535"/>
      <c r="JEG24" s="535"/>
      <c r="JEH24" s="535"/>
      <c r="JEI24" s="535"/>
      <c r="JEJ24" s="535"/>
      <c r="JEK24" s="535"/>
      <c r="JEL24" s="535"/>
      <c r="JEM24" s="535"/>
      <c r="JEN24" s="535"/>
      <c r="JEO24" s="535"/>
      <c r="JEP24" s="535"/>
      <c r="JEQ24" s="535"/>
      <c r="JER24" s="535"/>
      <c r="JES24" s="535"/>
      <c r="JET24" s="535"/>
      <c r="JEU24" s="535"/>
      <c r="JEV24" s="535"/>
      <c r="JEW24" s="535"/>
      <c r="JEX24" s="535"/>
      <c r="JEY24" s="535"/>
      <c r="JEZ24" s="535"/>
      <c r="JFA24" s="535"/>
      <c r="JFB24" s="535"/>
      <c r="JFC24" s="535"/>
      <c r="JFD24" s="535"/>
      <c r="JFE24" s="535"/>
      <c r="JFF24" s="535"/>
      <c r="JFG24" s="535"/>
      <c r="JFH24" s="535"/>
      <c r="JFI24" s="535"/>
      <c r="JFJ24" s="535"/>
      <c r="JFK24" s="535"/>
      <c r="JFL24" s="535"/>
      <c r="JFM24" s="535"/>
      <c r="JFN24" s="535"/>
      <c r="JFO24" s="535"/>
      <c r="JFP24" s="535"/>
      <c r="JFQ24" s="535"/>
      <c r="JFR24" s="535"/>
      <c r="JFS24" s="535"/>
      <c r="JFT24" s="535"/>
      <c r="JFU24" s="535"/>
      <c r="JFV24" s="535"/>
      <c r="JFW24" s="535"/>
      <c r="JFX24" s="535"/>
      <c r="JFY24" s="535"/>
      <c r="JFZ24" s="535"/>
      <c r="JGA24" s="535"/>
      <c r="JGB24" s="535"/>
      <c r="JGC24" s="535"/>
      <c r="JGD24" s="535"/>
      <c r="JGE24" s="535"/>
      <c r="JGF24" s="535"/>
      <c r="JGG24" s="535"/>
      <c r="JGH24" s="535"/>
      <c r="JGI24" s="535"/>
      <c r="JGJ24" s="535"/>
      <c r="JGK24" s="535"/>
      <c r="JGL24" s="535"/>
      <c r="JGM24" s="535"/>
      <c r="JGN24" s="535"/>
      <c r="JGO24" s="535"/>
      <c r="JGP24" s="535"/>
      <c r="JGQ24" s="535"/>
      <c r="JGR24" s="535"/>
      <c r="JGS24" s="535"/>
      <c r="JGT24" s="535"/>
      <c r="JGU24" s="535"/>
      <c r="JGV24" s="535"/>
      <c r="JGW24" s="535"/>
      <c r="JGX24" s="535"/>
      <c r="JGY24" s="535"/>
      <c r="JGZ24" s="535"/>
      <c r="JHA24" s="535"/>
      <c r="JHB24" s="535"/>
      <c r="JHC24" s="535"/>
      <c r="JHD24" s="535"/>
      <c r="JHE24" s="535"/>
      <c r="JHF24" s="535"/>
      <c r="JHG24" s="535"/>
      <c r="JHH24" s="535"/>
      <c r="JHI24" s="535"/>
      <c r="JHJ24" s="535"/>
      <c r="JHK24" s="535"/>
      <c r="JHL24" s="535"/>
      <c r="JHM24" s="535"/>
      <c r="JHN24" s="535"/>
      <c r="JHO24" s="535"/>
      <c r="JHP24" s="535"/>
      <c r="JHQ24" s="535"/>
      <c r="JHR24" s="535"/>
      <c r="JHS24" s="535"/>
      <c r="JHT24" s="535"/>
      <c r="JHU24" s="535"/>
      <c r="JHV24" s="535"/>
      <c r="JHW24" s="535"/>
      <c r="JHX24" s="535"/>
      <c r="JHY24" s="535"/>
      <c r="JHZ24" s="535"/>
      <c r="JIA24" s="535"/>
      <c r="JIB24" s="535"/>
      <c r="JIC24" s="535"/>
      <c r="JID24" s="535"/>
      <c r="JIE24" s="535"/>
      <c r="JIF24" s="535"/>
      <c r="JIG24" s="535"/>
      <c r="JIH24" s="535"/>
      <c r="JII24" s="535"/>
      <c r="JIJ24" s="535"/>
      <c r="JIK24" s="535"/>
      <c r="JIL24" s="535"/>
      <c r="JIM24" s="535"/>
      <c r="JIN24" s="535"/>
      <c r="JIO24" s="535"/>
      <c r="JIP24" s="535"/>
      <c r="JIQ24" s="535"/>
      <c r="JIR24" s="535"/>
      <c r="JIS24" s="535"/>
      <c r="JIT24" s="535"/>
      <c r="JIU24" s="535"/>
      <c r="JIV24" s="535"/>
      <c r="JIW24" s="535"/>
      <c r="JIX24" s="535"/>
      <c r="JIY24" s="535"/>
      <c r="JIZ24" s="535"/>
      <c r="JJA24" s="535"/>
      <c r="JJB24" s="535"/>
      <c r="JJC24" s="535"/>
      <c r="JJD24" s="535"/>
      <c r="JJE24" s="535"/>
      <c r="JJF24" s="535"/>
      <c r="JJG24" s="535"/>
      <c r="JJH24" s="535"/>
      <c r="JJI24" s="535"/>
      <c r="JJJ24" s="535"/>
      <c r="JJK24" s="535"/>
      <c r="JJL24" s="535"/>
      <c r="JJM24" s="535"/>
      <c r="JJN24" s="535"/>
      <c r="JJO24" s="535"/>
      <c r="JJP24" s="535"/>
      <c r="JJQ24" s="535"/>
      <c r="JJR24" s="535"/>
      <c r="JJS24" s="535"/>
      <c r="JJT24" s="535"/>
      <c r="JJU24" s="535"/>
      <c r="JJV24" s="535"/>
      <c r="JJW24" s="535"/>
      <c r="JJX24" s="535"/>
      <c r="JJY24" s="535"/>
      <c r="JJZ24" s="535"/>
      <c r="JKA24" s="535"/>
      <c r="JKB24" s="535"/>
      <c r="JKC24" s="535"/>
      <c r="JKD24" s="535"/>
      <c r="JKE24" s="535"/>
      <c r="JKF24" s="535"/>
      <c r="JKG24" s="535"/>
      <c r="JKH24" s="535"/>
      <c r="JKI24" s="535"/>
      <c r="JKJ24" s="535"/>
      <c r="JKK24" s="535"/>
      <c r="JKL24" s="535"/>
      <c r="JKM24" s="535"/>
      <c r="JKN24" s="535"/>
      <c r="JKO24" s="535"/>
      <c r="JKP24" s="535"/>
      <c r="JKQ24" s="535"/>
      <c r="JKR24" s="535"/>
      <c r="JKS24" s="535"/>
      <c r="JKT24" s="535"/>
      <c r="JKU24" s="535"/>
      <c r="JKV24" s="535"/>
      <c r="JKW24" s="535"/>
      <c r="JKX24" s="535"/>
      <c r="JKY24" s="535"/>
      <c r="JKZ24" s="535"/>
      <c r="JLA24" s="535"/>
      <c r="JLB24" s="535"/>
      <c r="JLC24" s="535"/>
      <c r="JLD24" s="535"/>
      <c r="JLE24" s="535"/>
      <c r="JLF24" s="535"/>
      <c r="JLG24" s="535"/>
      <c r="JLH24" s="535"/>
      <c r="JLI24" s="535"/>
      <c r="JLJ24" s="535"/>
      <c r="JLK24" s="535"/>
      <c r="JLL24" s="535"/>
      <c r="JLM24" s="535"/>
      <c r="JLN24" s="535"/>
      <c r="JLO24" s="535"/>
      <c r="JLP24" s="535"/>
      <c r="JLQ24" s="535"/>
      <c r="JLR24" s="535"/>
      <c r="JLS24" s="535"/>
      <c r="JLT24" s="535"/>
      <c r="JLU24" s="535"/>
      <c r="JLV24" s="535"/>
      <c r="JLW24" s="535"/>
      <c r="JLX24" s="535"/>
      <c r="JLY24" s="535"/>
      <c r="JLZ24" s="535"/>
      <c r="JMA24" s="535"/>
      <c r="JMB24" s="535"/>
      <c r="JMC24" s="535"/>
      <c r="JMD24" s="535"/>
      <c r="JME24" s="535"/>
      <c r="JMF24" s="535"/>
      <c r="JMG24" s="535"/>
      <c r="JMH24" s="535"/>
      <c r="JMI24" s="535"/>
      <c r="JMJ24" s="535"/>
      <c r="JMK24" s="535"/>
      <c r="JML24" s="535"/>
      <c r="JMM24" s="535"/>
      <c r="JMN24" s="535"/>
      <c r="JMO24" s="535"/>
      <c r="JMP24" s="535"/>
      <c r="JMQ24" s="535"/>
      <c r="JMR24" s="535"/>
      <c r="JMS24" s="535"/>
      <c r="JMT24" s="535"/>
      <c r="JMU24" s="535"/>
      <c r="JMV24" s="535"/>
      <c r="JMW24" s="535"/>
      <c r="JMX24" s="535"/>
      <c r="JMY24" s="535"/>
      <c r="JMZ24" s="535"/>
      <c r="JNA24" s="535"/>
      <c r="JNB24" s="535"/>
      <c r="JNC24" s="535"/>
      <c r="JND24" s="535"/>
      <c r="JNE24" s="535"/>
      <c r="JNF24" s="535"/>
      <c r="JNG24" s="535"/>
      <c r="JNH24" s="535"/>
      <c r="JNI24" s="535"/>
      <c r="JNJ24" s="535"/>
      <c r="JNK24" s="535"/>
      <c r="JNL24" s="535"/>
      <c r="JNM24" s="535"/>
      <c r="JNN24" s="535"/>
      <c r="JNO24" s="535"/>
      <c r="JNP24" s="535"/>
      <c r="JNQ24" s="535"/>
      <c r="JNR24" s="535"/>
      <c r="JNS24" s="535"/>
      <c r="JNT24" s="535"/>
      <c r="JNU24" s="535"/>
      <c r="JNV24" s="535"/>
      <c r="JNW24" s="535"/>
      <c r="JNX24" s="535"/>
      <c r="JNY24" s="535"/>
      <c r="JNZ24" s="535"/>
      <c r="JOA24" s="535"/>
      <c r="JOB24" s="535"/>
      <c r="JOC24" s="535"/>
      <c r="JOD24" s="535"/>
      <c r="JOE24" s="535"/>
      <c r="JOF24" s="535"/>
      <c r="JOG24" s="535"/>
      <c r="JOH24" s="535"/>
      <c r="JOI24" s="535"/>
      <c r="JOJ24" s="535"/>
      <c r="JOK24" s="535"/>
      <c r="JOL24" s="535"/>
      <c r="JOM24" s="535"/>
      <c r="JON24" s="535"/>
      <c r="JOO24" s="535"/>
      <c r="JOP24" s="535"/>
      <c r="JOQ24" s="535"/>
      <c r="JOR24" s="535"/>
      <c r="JOS24" s="535"/>
      <c r="JOT24" s="535"/>
      <c r="JOU24" s="535"/>
      <c r="JOV24" s="535"/>
      <c r="JOW24" s="535"/>
      <c r="JOX24" s="535"/>
      <c r="JOY24" s="535"/>
      <c r="JOZ24" s="535"/>
      <c r="JPA24" s="535"/>
      <c r="JPB24" s="535"/>
      <c r="JPC24" s="535"/>
      <c r="JPD24" s="535"/>
      <c r="JPE24" s="535"/>
      <c r="JPF24" s="535"/>
      <c r="JPG24" s="535"/>
      <c r="JPH24" s="535"/>
      <c r="JPI24" s="535"/>
      <c r="JPJ24" s="535"/>
      <c r="JPK24" s="535"/>
      <c r="JPL24" s="535"/>
      <c r="JPM24" s="535"/>
      <c r="JPN24" s="535"/>
      <c r="JPO24" s="535"/>
      <c r="JPP24" s="535"/>
      <c r="JPQ24" s="535"/>
      <c r="JPR24" s="535"/>
      <c r="JPS24" s="535"/>
      <c r="JPT24" s="535"/>
      <c r="JPU24" s="535"/>
      <c r="JPV24" s="535"/>
      <c r="JPW24" s="535"/>
      <c r="JPX24" s="535"/>
      <c r="JPY24" s="535"/>
      <c r="JPZ24" s="535"/>
      <c r="JQA24" s="535"/>
      <c r="JQB24" s="535"/>
      <c r="JQC24" s="535"/>
      <c r="JQD24" s="535"/>
      <c r="JQE24" s="535"/>
      <c r="JQF24" s="535"/>
      <c r="JQG24" s="535"/>
      <c r="JQH24" s="535"/>
      <c r="JQI24" s="535"/>
      <c r="JQJ24" s="535"/>
      <c r="JQK24" s="535"/>
      <c r="JQL24" s="535"/>
      <c r="JQM24" s="535"/>
      <c r="JQN24" s="535"/>
      <c r="JQO24" s="535"/>
      <c r="JQP24" s="535"/>
      <c r="JQQ24" s="535"/>
      <c r="JQR24" s="535"/>
      <c r="JQS24" s="535"/>
      <c r="JQT24" s="535"/>
      <c r="JQU24" s="535"/>
      <c r="JQV24" s="535"/>
      <c r="JQW24" s="535"/>
      <c r="JQX24" s="535"/>
      <c r="JQY24" s="535"/>
      <c r="JQZ24" s="535"/>
      <c r="JRA24" s="535"/>
      <c r="JRB24" s="535"/>
      <c r="JRC24" s="535"/>
      <c r="JRD24" s="535"/>
      <c r="JRE24" s="535"/>
      <c r="JRF24" s="535"/>
      <c r="JRG24" s="535"/>
      <c r="JRH24" s="535"/>
      <c r="JRI24" s="535"/>
      <c r="JRJ24" s="535"/>
      <c r="JRK24" s="535"/>
      <c r="JRL24" s="535"/>
      <c r="JRM24" s="535"/>
      <c r="JRN24" s="535"/>
      <c r="JRO24" s="535"/>
      <c r="JRP24" s="535"/>
      <c r="JRQ24" s="535"/>
      <c r="JRR24" s="535"/>
      <c r="JRS24" s="535"/>
      <c r="JRT24" s="535"/>
      <c r="JRU24" s="535"/>
      <c r="JRV24" s="535"/>
      <c r="JRW24" s="535"/>
      <c r="JRX24" s="535"/>
      <c r="JRY24" s="535"/>
      <c r="JRZ24" s="535"/>
      <c r="JSA24" s="535"/>
      <c r="JSB24" s="535"/>
      <c r="JSC24" s="535"/>
      <c r="JSD24" s="535"/>
      <c r="JSE24" s="535"/>
      <c r="JSF24" s="535"/>
      <c r="JSG24" s="535"/>
      <c r="JSH24" s="535"/>
      <c r="JSI24" s="535"/>
      <c r="JSJ24" s="535"/>
      <c r="JSK24" s="535"/>
      <c r="JSL24" s="535"/>
      <c r="JSM24" s="535"/>
      <c r="JSN24" s="535"/>
      <c r="JSO24" s="535"/>
      <c r="JSP24" s="535"/>
      <c r="JSQ24" s="535"/>
      <c r="JSR24" s="535"/>
      <c r="JSS24" s="535"/>
      <c r="JST24" s="535"/>
      <c r="JSU24" s="535"/>
      <c r="JSV24" s="535"/>
      <c r="JSW24" s="535"/>
      <c r="JSX24" s="535"/>
      <c r="JSY24" s="535"/>
      <c r="JSZ24" s="535"/>
      <c r="JTA24" s="535"/>
      <c r="JTB24" s="535"/>
      <c r="JTC24" s="535"/>
      <c r="JTD24" s="535"/>
      <c r="JTE24" s="535"/>
      <c r="JTF24" s="535"/>
      <c r="JTG24" s="535"/>
      <c r="JTH24" s="535"/>
      <c r="JTI24" s="535"/>
      <c r="JTJ24" s="535"/>
      <c r="JTK24" s="535"/>
      <c r="JTL24" s="535"/>
      <c r="JTM24" s="535"/>
      <c r="JTN24" s="535"/>
      <c r="JTO24" s="535"/>
      <c r="JTP24" s="535"/>
      <c r="JTQ24" s="535"/>
      <c r="JTR24" s="535"/>
      <c r="JTS24" s="535"/>
      <c r="JTT24" s="535"/>
      <c r="JTU24" s="535"/>
      <c r="JTV24" s="535"/>
      <c r="JTW24" s="535"/>
      <c r="JTX24" s="535"/>
      <c r="JTY24" s="535"/>
      <c r="JTZ24" s="535"/>
      <c r="JUA24" s="535"/>
      <c r="JUB24" s="535"/>
      <c r="JUC24" s="535"/>
      <c r="JUD24" s="535"/>
      <c r="JUE24" s="535"/>
      <c r="JUF24" s="535"/>
      <c r="JUG24" s="535"/>
      <c r="JUH24" s="535"/>
      <c r="JUI24" s="535"/>
      <c r="JUJ24" s="535"/>
      <c r="JUK24" s="535"/>
      <c r="JUL24" s="535"/>
      <c r="JUM24" s="535"/>
      <c r="JUN24" s="535"/>
      <c r="JUO24" s="535"/>
      <c r="JUP24" s="535"/>
      <c r="JUQ24" s="535"/>
      <c r="JUR24" s="535"/>
      <c r="JUS24" s="535"/>
      <c r="JUT24" s="535"/>
      <c r="JUU24" s="535"/>
      <c r="JUV24" s="535"/>
      <c r="JUW24" s="535"/>
      <c r="JUX24" s="535"/>
      <c r="JUY24" s="535"/>
      <c r="JUZ24" s="535"/>
      <c r="JVA24" s="535"/>
      <c r="JVB24" s="535"/>
      <c r="JVC24" s="535"/>
      <c r="JVD24" s="535"/>
      <c r="JVE24" s="535"/>
      <c r="JVF24" s="535"/>
      <c r="JVG24" s="535"/>
      <c r="JVH24" s="535"/>
      <c r="JVI24" s="535"/>
      <c r="JVJ24" s="535"/>
      <c r="JVK24" s="535"/>
      <c r="JVL24" s="535"/>
      <c r="JVM24" s="535"/>
      <c r="JVN24" s="535"/>
      <c r="JVO24" s="535"/>
      <c r="JVP24" s="535"/>
      <c r="JVQ24" s="535"/>
      <c r="JVR24" s="535"/>
      <c r="JVS24" s="535"/>
      <c r="JVT24" s="535"/>
      <c r="JVU24" s="535"/>
      <c r="JVV24" s="535"/>
      <c r="JVW24" s="535"/>
      <c r="JVX24" s="535"/>
      <c r="JVY24" s="535"/>
      <c r="JVZ24" s="535"/>
      <c r="JWA24" s="535"/>
      <c r="JWB24" s="535"/>
      <c r="JWC24" s="535"/>
      <c r="JWD24" s="535"/>
      <c r="JWE24" s="535"/>
      <c r="JWF24" s="535"/>
      <c r="JWG24" s="535"/>
      <c r="JWH24" s="535"/>
      <c r="JWI24" s="535"/>
      <c r="JWJ24" s="535"/>
      <c r="JWK24" s="535"/>
      <c r="JWL24" s="535"/>
      <c r="JWM24" s="535"/>
      <c r="JWN24" s="535"/>
      <c r="JWO24" s="535"/>
      <c r="JWP24" s="535"/>
      <c r="JWQ24" s="535"/>
      <c r="JWR24" s="535"/>
      <c r="JWS24" s="535"/>
      <c r="JWT24" s="535"/>
      <c r="JWU24" s="535"/>
      <c r="JWV24" s="535"/>
      <c r="JWW24" s="535"/>
      <c r="JWX24" s="535"/>
      <c r="JWY24" s="535"/>
      <c r="JWZ24" s="535"/>
      <c r="JXA24" s="535"/>
      <c r="JXB24" s="535"/>
      <c r="JXC24" s="535"/>
      <c r="JXD24" s="535"/>
      <c r="JXE24" s="535"/>
      <c r="JXF24" s="535"/>
      <c r="JXG24" s="535"/>
      <c r="JXH24" s="535"/>
      <c r="JXI24" s="535"/>
      <c r="JXJ24" s="535"/>
      <c r="JXK24" s="535"/>
      <c r="JXL24" s="535"/>
      <c r="JXM24" s="535"/>
      <c r="JXN24" s="535"/>
      <c r="JXO24" s="535"/>
      <c r="JXP24" s="535"/>
      <c r="JXQ24" s="535"/>
      <c r="JXR24" s="535"/>
      <c r="JXS24" s="535"/>
      <c r="JXT24" s="535"/>
      <c r="JXU24" s="535"/>
      <c r="JXV24" s="535"/>
      <c r="JXW24" s="535"/>
      <c r="JXX24" s="535"/>
      <c r="JXY24" s="535"/>
      <c r="JXZ24" s="535"/>
      <c r="JYA24" s="535"/>
      <c r="JYB24" s="535"/>
      <c r="JYC24" s="535"/>
      <c r="JYD24" s="535"/>
      <c r="JYE24" s="535"/>
      <c r="JYF24" s="535"/>
      <c r="JYG24" s="535"/>
      <c r="JYH24" s="535"/>
      <c r="JYI24" s="535"/>
      <c r="JYJ24" s="535"/>
      <c r="JYK24" s="535"/>
      <c r="JYL24" s="535"/>
      <c r="JYM24" s="535"/>
      <c r="JYN24" s="535"/>
      <c r="JYO24" s="535"/>
      <c r="JYP24" s="535"/>
      <c r="JYQ24" s="535"/>
      <c r="JYR24" s="535"/>
      <c r="JYS24" s="535"/>
      <c r="JYT24" s="535"/>
      <c r="JYU24" s="535"/>
      <c r="JYV24" s="535"/>
      <c r="JYW24" s="535"/>
      <c r="JYX24" s="535"/>
      <c r="JYY24" s="535"/>
      <c r="JYZ24" s="535"/>
      <c r="JZA24" s="535"/>
      <c r="JZB24" s="535"/>
      <c r="JZC24" s="535"/>
      <c r="JZD24" s="535"/>
      <c r="JZE24" s="535"/>
      <c r="JZF24" s="535"/>
      <c r="JZG24" s="535"/>
      <c r="JZH24" s="535"/>
      <c r="JZI24" s="535"/>
      <c r="JZJ24" s="535"/>
      <c r="JZK24" s="535"/>
      <c r="JZL24" s="535"/>
      <c r="JZM24" s="535"/>
      <c r="JZN24" s="535"/>
      <c r="JZO24" s="535"/>
      <c r="JZP24" s="535"/>
      <c r="JZQ24" s="535"/>
      <c r="JZR24" s="535"/>
      <c r="JZS24" s="535"/>
      <c r="JZT24" s="535"/>
      <c r="JZU24" s="535"/>
      <c r="JZV24" s="535"/>
      <c r="JZW24" s="535"/>
      <c r="JZX24" s="535"/>
      <c r="JZY24" s="535"/>
      <c r="JZZ24" s="535"/>
      <c r="KAA24" s="535"/>
      <c r="KAB24" s="535"/>
      <c r="KAC24" s="535"/>
      <c r="KAD24" s="535"/>
      <c r="KAE24" s="535"/>
      <c r="KAF24" s="535"/>
      <c r="KAG24" s="535"/>
      <c r="KAH24" s="535"/>
      <c r="KAI24" s="535"/>
      <c r="KAJ24" s="535"/>
      <c r="KAK24" s="535"/>
      <c r="KAL24" s="535"/>
      <c r="KAM24" s="535"/>
      <c r="KAN24" s="535"/>
      <c r="KAO24" s="535"/>
      <c r="KAP24" s="535"/>
      <c r="KAQ24" s="535"/>
      <c r="KAR24" s="535"/>
      <c r="KAS24" s="535"/>
      <c r="KAT24" s="535"/>
      <c r="KAU24" s="535"/>
      <c r="KAV24" s="535"/>
      <c r="KAW24" s="535"/>
      <c r="KAX24" s="535"/>
      <c r="KAY24" s="535"/>
      <c r="KAZ24" s="535"/>
      <c r="KBA24" s="535"/>
      <c r="KBB24" s="535"/>
      <c r="KBC24" s="535"/>
      <c r="KBD24" s="535"/>
      <c r="KBE24" s="535"/>
      <c r="KBF24" s="535"/>
      <c r="KBG24" s="535"/>
      <c r="KBH24" s="535"/>
      <c r="KBI24" s="535"/>
      <c r="KBJ24" s="535"/>
      <c r="KBK24" s="535"/>
      <c r="KBL24" s="535"/>
      <c r="KBM24" s="535"/>
      <c r="KBN24" s="535"/>
      <c r="KBO24" s="535"/>
      <c r="KBP24" s="535"/>
      <c r="KBQ24" s="535"/>
      <c r="KBR24" s="535"/>
      <c r="KBS24" s="535"/>
      <c r="KBT24" s="535"/>
      <c r="KBU24" s="535"/>
      <c r="KBV24" s="535"/>
      <c r="KBW24" s="535"/>
      <c r="KBX24" s="535"/>
      <c r="KBY24" s="535"/>
      <c r="KBZ24" s="535"/>
      <c r="KCA24" s="535"/>
      <c r="KCB24" s="535"/>
      <c r="KCC24" s="535"/>
      <c r="KCD24" s="535"/>
      <c r="KCE24" s="535"/>
      <c r="KCF24" s="535"/>
      <c r="KCG24" s="535"/>
      <c r="KCH24" s="535"/>
      <c r="KCI24" s="535"/>
      <c r="KCJ24" s="535"/>
      <c r="KCK24" s="535"/>
      <c r="KCL24" s="535"/>
      <c r="KCM24" s="535"/>
      <c r="KCN24" s="535"/>
      <c r="KCO24" s="535"/>
      <c r="KCP24" s="535"/>
      <c r="KCQ24" s="535"/>
      <c r="KCR24" s="535"/>
      <c r="KCS24" s="535"/>
      <c r="KCT24" s="535"/>
      <c r="KCU24" s="535"/>
      <c r="KCV24" s="535"/>
      <c r="KCW24" s="535"/>
      <c r="KCX24" s="535"/>
      <c r="KCY24" s="535"/>
      <c r="KCZ24" s="535"/>
      <c r="KDA24" s="535"/>
      <c r="KDB24" s="535"/>
      <c r="KDC24" s="535"/>
      <c r="KDD24" s="535"/>
      <c r="KDE24" s="535"/>
      <c r="KDF24" s="535"/>
      <c r="KDG24" s="535"/>
      <c r="KDH24" s="535"/>
      <c r="KDI24" s="535"/>
      <c r="KDJ24" s="535"/>
      <c r="KDK24" s="535"/>
      <c r="KDL24" s="535"/>
      <c r="KDM24" s="535"/>
      <c r="KDN24" s="535"/>
      <c r="KDO24" s="535"/>
      <c r="KDP24" s="535"/>
      <c r="KDQ24" s="535"/>
      <c r="KDR24" s="535"/>
      <c r="KDS24" s="535"/>
      <c r="KDT24" s="535"/>
      <c r="KDU24" s="535"/>
      <c r="KDV24" s="535"/>
      <c r="KDW24" s="535"/>
      <c r="KDX24" s="535"/>
      <c r="KDY24" s="535"/>
      <c r="KDZ24" s="535"/>
      <c r="KEA24" s="535"/>
      <c r="KEB24" s="535"/>
      <c r="KEC24" s="535"/>
      <c r="KED24" s="535"/>
      <c r="KEE24" s="535"/>
      <c r="KEF24" s="535"/>
      <c r="KEG24" s="535"/>
      <c r="KEH24" s="535"/>
      <c r="KEI24" s="535"/>
      <c r="KEJ24" s="535"/>
      <c r="KEK24" s="535"/>
      <c r="KEL24" s="535"/>
      <c r="KEM24" s="535"/>
      <c r="KEN24" s="535"/>
      <c r="KEO24" s="535"/>
      <c r="KEP24" s="535"/>
      <c r="KEQ24" s="535"/>
      <c r="KER24" s="535"/>
      <c r="KES24" s="535"/>
      <c r="KET24" s="535"/>
      <c r="KEU24" s="535"/>
      <c r="KEV24" s="535"/>
      <c r="KEW24" s="535"/>
      <c r="KEX24" s="535"/>
      <c r="KEY24" s="535"/>
      <c r="KEZ24" s="535"/>
      <c r="KFA24" s="535"/>
      <c r="KFB24" s="535"/>
      <c r="KFC24" s="535"/>
      <c r="KFD24" s="535"/>
      <c r="KFE24" s="535"/>
      <c r="KFF24" s="535"/>
      <c r="KFG24" s="535"/>
      <c r="KFH24" s="535"/>
      <c r="KFI24" s="535"/>
      <c r="KFJ24" s="535"/>
      <c r="KFK24" s="535"/>
      <c r="KFL24" s="535"/>
      <c r="KFM24" s="535"/>
      <c r="KFN24" s="535"/>
      <c r="KFO24" s="535"/>
      <c r="KFP24" s="535"/>
      <c r="KFQ24" s="535"/>
      <c r="KFR24" s="535"/>
      <c r="KFS24" s="535"/>
      <c r="KFT24" s="535"/>
      <c r="KFU24" s="535"/>
      <c r="KFV24" s="535"/>
      <c r="KFW24" s="535"/>
      <c r="KFX24" s="535"/>
      <c r="KFY24" s="535"/>
      <c r="KFZ24" s="535"/>
      <c r="KGA24" s="535"/>
      <c r="KGB24" s="535"/>
      <c r="KGC24" s="535"/>
      <c r="KGD24" s="535"/>
      <c r="KGE24" s="535"/>
      <c r="KGF24" s="535"/>
      <c r="KGG24" s="535"/>
      <c r="KGH24" s="535"/>
      <c r="KGI24" s="535"/>
      <c r="KGJ24" s="535"/>
      <c r="KGK24" s="535"/>
      <c r="KGL24" s="535"/>
      <c r="KGM24" s="535"/>
      <c r="KGN24" s="535"/>
      <c r="KGO24" s="535"/>
      <c r="KGP24" s="535"/>
      <c r="KGQ24" s="535"/>
      <c r="KGR24" s="535"/>
      <c r="KGS24" s="535"/>
      <c r="KGT24" s="535"/>
      <c r="KGU24" s="535"/>
      <c r="KGV24" s="535"/>
      <c r="KGW24" s="535"/>
      <c r="KGX24" s="535"/>
      <c r="KGY24" s="535"/>
      <c r="KGZ24" s="535"/>
      <c r="KHA24" s="535"/>
      <c r="KHB24" s="535"/>
      <c r="KHC24" s="535"/>
      <c r="KHD24" s="535"/>
      <c r="KHE24" s="535"/>
      <c r="KHF24" s="535"/>
      <c r="KHG24" s="535"/>
      <c r="KHH24" s="535"/>
      <c r="KHI24" s="535"/>
      <c r="KHJ24" s="535"/>
      <c r="KHK24" s="535"/>
      <c r="KHL24" s="535"/>
      <c r="KHM24" s="535"/>
      <c r="KHN24" s="535"/>
      <c r="KHO24" s="535"/>
      <c r="KHP24" s="535"/>
      <c r="KHQ24" s="535"/>
      <c r="KHR24" s="535"/>
      <c r="KHS24" s="535"/>
      <c r="KHT24" s="535"/>
      <c r="KHU24" s="535"/>
      <c r="KHV24" s="535"/>
      <c r="KHW24" s="535"/>
      <c r="KHX24" s="535"/>
      <c r="KHY24" s="535"/>
      <c r="KHZ24" s="535"/>
      <c r="KIA24" s="535"/>
      <c r="KIB24" s="535"/>
      <c r="KIC24" s="535"/>
      <c r="KID24" s="535"/>
      <c r="KIE24" s="535"/>
      <c r="KIF24" s="535"/>
      <c r="KIG24" s="535"/>
      <c r="KIH24" s="535"/>
      <c r="KII24" s="535"/>
      <c r="KIJ24" s="535"/>
      <c r="KIK24" s="535"/>
      <c r="KIL24" s="535"/>
      <c r="KIM24" s="535"/>
      <c r="KIN24" s="535"/>
      <c r="KIO24" s="535"/>
      <c r="KIP24" s="535"/>
      <c r="KIQ24" s="535"/>
      <c r="KIR24" s="535"/>
      <c r="KIS24" s="535"/>
      <c r="KIT24" s="535"/>
      <c r="KIU24" s="535"/>
      <c r="KIV24" s="535"/>
      <c r="KIW24" s="535"/>
      <c r="KIX24" s="535"/>
      <c r="KIY24" s="535"/>
      <c r="KIZ24" s="535"/>
      <c r="KJA24" s="535"/>
      <c r="KJB24" s="535"/>
      <c r="KJC24" s="535"/>
      <c r="KJD24" s="535"/>
      <c r="KJE24" s="535"/>
      <c r="KJF24" s="535"/>
      <c r="KJG24" s="535"/>
      <c r="KJH24" s="535"/>
      <c r="KJI24" s="535"/>
      <c r="KJJ24" s="535"/>
      <c r="KJK24" s="535"/>
      <c r="KJL24" s="535"/>
      <c r="KJM24" s="535"/>
      <c r="KJN24" s="535"/>
      <c r="KJO24" s="535"/>
      <c r="KJP24" s="535"/>
      <c r="KJQ24" s="535"/>
      <c r="KJR24" s="535"/>
      <c r="KJS24" s="535"/>
      <c r="KJT24" s="535"/>
      <c r="KJU24" s="535"/>
      <c r="KJV24" s="535"/>
      <c r="KJW24" s="535"/>
      <c r="KJX24" s="535"/>
      <c r="KJY24" s="535"/>
      <c r="KJZ24" s="535"/>
      <c r="KKA24" s="535"/>
      <c r="KKB24" s="535"/>
      <c r="KKC24" s="535"/>
      <c r="KKD24" s="535"/>
      <c r="KKE24" s="535"/>
      <c r="KKF24" s="535"/>
      <c r="KKG24" s="535"/>
      <c r="KKH24" s="535"/>
      <c r="KKI24" s="535"/>
      <c r="KKJ24" s="535"/>
      <c r="KKK24" s="535"/>
      <c r="KKL24" s="535"/>
      <c r="KKM24" s="535"/>
      <c r="KKN24" s="535"/>
      <c r="KKO24" s="535"/>
      <c r="KKP24" s="535"/>
      <c r="KKQ24" s="535"/>
      <c r="KKR24" s="535"/>
      <c r="KKS24" s="535"/>
      <c r="KKT24" s="535"/>
      <c r="KKU24" s="535"/>
      <c r="KKV24" s="535"/>
      <c r="KKW24" s="535"/>
      <c r="KKX24" s="535"/>
      <c r="KKY24" s="535"/>
      <c r="KKZ24" s="535"/>
      <c r="KLA24" s="535"/>
      <c r="KLB24" s="535"/>
      <c r="KLC24" s="535"/>
      <c r="KLD24" s="535"/>
      <c r="KLE24" s="535"/>
      <c r="KLF24" s="535"/>
      <c r="KLG24" s="535"/>
      <c r="KLH24" s="535"/>
      <c r="KLI24" s="535"/>
      <c r="KLJ24" s="535"/>
      <c r="KLK24" s="535"/>
      <c r="KLL24" s="535"/>
      <c r="KLM24" s="535"/>
      <c r="KLN24" s="535"/>
      <c r="KLO24" s="535"/>
      <c r="KLP24" s="535"/>
      <c r="KLQ24" s="535"/>
      <c r="KLR24" s="535"/>
      <c r="KLS24" s="535"/>
      <c r="KLT24" s="535"/>
      <c r="KLU24" s="535"/>
      <c r="KLV24" s="535"/>
      <c r="KLW24" s="535"/>
      <c r="KLX24" s="535"/>
      <c r="KLY24" s="535"/>
      <c r="KLZ24" s="535"/>
      <c r="KMA24" s="535"/>
      <c r="KMB24" s="535"/>
      <c r="KMC24" s="535"/>
      <c r="KMD24" s="535"/>
      <c r="KME24" s="535"/>
      <c r="KMF24" s="535"/>
      <c r="KMG24" s="535"/>
      <c r="KMH24" s="535"/>
      <c r="KMI24" s="535"/>
      <c r="KMJ24" s="535"/>
      <c r="KMK24" s="535"/>
      <c r="KML24" s="535"/>
      <c r="KMM24" s="535"/>
      <c r="KMN24" s="535"/>
      <c r="KMO24" s="535"/>
      <c r="KMP24" s="535"/>
      <c r="KMQ24" s="535"/>
      <c r="KMR24" s="535"/>
      <c r="KMS24" s="535"/>
      <c r="KMT24" s="535"/>
      <c r="KMU24" s="535"/>
      <c r="KMV24" s="535"/>
      <c r="KMW24" s="535"/>
      <c r="KMX24" s="535"/>
      <c r="KMY24" s="535"/>
      <c r="KMZ24" s="535"/>
      <c r="KNA24" s="535"/>
      <c r="KNB24" s="535"/>
      <c r="KNC24" s="535"/>
      <c r="KND24" s="535"/>
      <c r="KNE24" s="535"/>
      <c r="KNF24" s="535"/>
      <c r="KNG24" s="535"/>
      <c r="KNH24" s="535"/>
      <c r="KNI24" s="535"/>
      <c r="KNJ24" s="535"/>
      <c r="KNK24" s="535"/>
      <c r="KNL24" s="535"/>
      <c r="KNM24" s="535"/>
      <c r="KNN24" s="535"/>
      <c r="KNO24" s="535"/>
      <c r="KNP24" s="535"/>
      <c r="KNQ24" s="535"/>
      <c r="KNR24" s="535"/>
      <c r="KNS24" s="535"/>
      <c r="KNT24" s="535"/>
      <c r="KNU24" s="535"/>
      <c r="KNV24" s="535"/>
      <c r="KNW24" s="535"/>
      <c r="KNX24" s="535"/>
      <c r="KNY24" s="535"/>
      <c r="KNZ24" s="535"/>
      <c r="KOA24" s="535"/>
      <c r="KOB24" s="535"/>
      <c r="KOC24" s="535"/>
      <c r="KOD24" s="535"/>
      <c r="KOE24" s="535"/>
      <c r="KOF24" s="535"/>
      <c r="KOG24" s="535"/>
      <c r="KOH24" s="535"/>
      <c r="KOI24" s="535"/>
      <c r="KOJ24" s="535"/>
      <c r="KOK24" s="535"/>
      <c r="KOL24" s="535"/>
      <c r="KOM24" s="535"/>
      <c r="KON24" s="535"/>
      <c r="KOO24" s="535"/>
      <c r="KOP24" s="535"/>
      <c r="KOQ24" s="535"/>
      <c r="KOR24" s="535"/>
      <c r="KOS24" s="535"/>
      <c r="KOT24" s="535"/>
      <c r="KOU24" s="535"/>
      <c r="KOV24" s="535"/>
      <c r="KOW24" s="535"/>
      <c r="KOX24" s="535"/>
      <c r="KOY24" s="535"/>
      <c r="KOZ24" s="535"/>
      <c r="KPA24" s="535"/>
      <c r="KPB24" s="535"/>
      <c r="KPC24" s="535"/>
      <c r="KPD24" s="535"/>
      <c r="KPE24" s="535"/>
      <c r="KPF24" s="535"/>
      <c r="KPG24" s="535"/>
      <c r="KPH24" s="535"/>
      <c r="KPI24" s="535"/>
      <c r="KPJ24" s="535"/>
      <c r="KPK24" s="535"/>
      <c r="KPL24" s="535"/>
      <c r="KPM24" s="535"/>
      <c r="KPN24" s="535"/>
      <c r="KPO24" s="535"/>
      <c r="KPP24" s="535"/>
      <c r="KPQ24" s="535"/>
      <c r="KPR24" s="535"/>
      <c r="KPS24" s="535"/>
      <c r="KPT24" s="535"/>
      <c r="KPU24" s="535"/>
      <c r="KPV24" s="535"/>
      <c r="KPW24" s="535"/>
      <c r="KPX24" s="535"/>
      <c r="KPY24" s="535"/>
      <c r="KPZ24" s="535"/>
      <c r="KQA24" s="535"/>
      <c r="KQB24" s="535"/>
      <c r="KQC24" s="535"/>
      <c r="KQD24" s="535"/>
      <c r="KQE24" s="535"/>
      <c r="KQF24" s="535"/>
      <c r="KQG24" s="535"/>
      <c r="KQH24" s="535"/>
      <c r="KQI24" s="535"/>
      <c r="KQJ24" s="535"/>
      <c r="KQK24" s="535"/>
      <c r="KQL24" s="535"/>
      <c r="KQM24" s="535"/>
      <c r="KQN24" s="535"/>
      <c r="KQO24" s="535"/>
      <c r="KQP24" s="535"/>
      <c r="KQQ24" s="535"/>
      <c r="KQR24" s="535"/>
      <c r="KQS24" s="535"/>
      <c r="KQT24" s="535"/>
      <c r="KQU24" s="535"/>
      <c r="KQV24" s="535"/>
      <c r="KQW24" s="535"/>
      <c r="KQX24" s="535"/>
      <c r="KQY24" s="535"/>
      <c r="KQZ24" s="535"/>
      <c r="KRA24" s="535"/>
      <c r="KRB24" s="535"/>
      <c r="KRC24" s="535"/>
      <c r="KRD24" s="535"/>
      <c r="KRE24" s="535"/>
      <c r="KRF24" s="535"/>
      <c r="KRG24" s="535"/>
      <c r="KRH24" s="535"/>
      <c r="KRI24" s="535"/>
      <c r="KRJ24" s="535"/>
      <c r="KRK24" s="535"/>
      <c r="KRL24" s="535"/>
      <c r="KRM24" s="535"/>
      <c r="KRN24" s="535"/>
      <c r="KRO24" s="535"/>
      <c r="KRP24" s="535"/>
      <c r="KRQ24" s="535"/>
      <c r="KRR24" s="535"/>
      <c r="KRS24" s="535"/>
      <c r="KRT24" s="535"/>
      <c r="KRU24" s="535"/>
      <c r="KRV24" s="535"/>
      <c r="KRW24" s="535"/>
      <c r="KRX24" s="535"/>
      <c r="KRY24" s="535"/>
      <c r="KRZ24" s="535"/>
      <c r="KSA24" s="535"/>
      <c r="KSB24" s="535"/>
      <c r="KSC24" s="535"/>
      <c r="KSD24" s="535"/>
      <c r="KSE24" s="535"/>
      <c r="KSF24" s="535"/>
      <c r="KSG24" s="535"/>
      <c r="KSH24" s="535"/>
      <c r="KSI24" s="535"/>
      <c r="KSJ24" s="535"/>
      <c r="KSK24" s="535"/>
      <c r="KSL24" s="535"/>
      <c r="KSM24" s="535"/>
      <c r="KSN24" s="535"/>
      <c r="KSO24" s="535"/>
      <c r="KSP24" s="535"/>
      <c r="KSQ24" s="535"/>
      <c r="KSR24" s="535"/>
      <c r="KSS24" s="535"/>
      <c r="KST24" s="535"/>
      <c r="KSU24" s="535"/>
      <c r="KSV24" s="535"/>
      <c r="KSW24" s="535"/>
      <c r="KSX24" s="535"/>
      <c r="KSY24" s="535"/>
      <c r="KSZ24" s="535"/>
      <c r="KTA24" s="535"/>
      <c r="KTB24" s="535"/>
      <c r="KTC24" s="535"/>
      <c r="KTD24" s="535"/>
      <c r="KTE24" s="535"/>
      <c r="KTF24" s="535"/>
      <c r="KTG24" s="535"/>
      <c r="KTH24" s="535"/>
      <c r="KTI24" s="535"/>
      <c r="KTJ24" s="535"/>
      <c r="KTK24" s="535"/>
      <c r="KTL24" s="535"/>
      <c r="KTM24" s="535"/>
      <c r="KTN24" s="535"/>
      <c r="KTO24" s="535"/>
      <c r="KTP24" s="535"/>
      <c r="KTQ24" s="535"/>
      <c r="KTR24" s="535"/>
      <c r="KTS24" s="535"/>
      <c r="KTT24" s="535"/>
      <c r="KTU24" s="535"/>
      <c r="KTV24" s="535"/>
      <c r="KTW24" s="535"/>
      <c r="KTX24" s="535"/>
      <c r="KTY24" s="535"/>
      <c r="KTZ24" s="535"/>
      <c r="KUA24" s="535"/>
      <c r="KUB24" s="535"/>
      <c r="KUC24" s="535"/>
      <c r="KUD24" s="535"/>
      <c r="KUE24" s="535"/>
      <c r="KUF24" s="535"/>
      <c r="KUG24" s="535"/>
      <c r="KUH24" s="535"/>
      <c r="KUI24" s="535"/>
      <c r="KUJ24" s="535"/>
      <c r="KUK24" s="535"/>
      <c r="KUL24" s="535"/>
      <c r="KUM24" s="535"/>
      <c r="KUN24" s="535"/>
      <c r="KUO24" s="535"/>
      <c r="KUP24" s="535"/>
      <c r="KUQ24" s="535"/>
      <c r="KUR24" s="535"/>
      <c r="KUS24" s="535"/>
      <c r="KUT24" s="535"/>
      <c r="KUU24" s="535"/>
      <c r="KUV24" s="535"/>
      <c r="KUW24" s="535"/>
      <c r="KUX24" s="535"/>
      <c r="KUY24" s="535"/>
      <c r="KUZ24" s="535"/>
      <c r="KVA24" s="535"/>
      <c r="KVB24" s="535"/>
      <c r="KVC24" s="535"/>
      <c r="KVD24" s="535"/>
      <c r="KVE24" s="535"/>
      <c r="KVF24" s="535"/>
      <c r="KVG24" s="535"/>
      <c r="KVH24" s="535"/>
      <c r="KVI24" s="535"/>
      <c r="KVJ24" s="535"/>
      <c r="KVK24" s="535"/>
      <c r="KVL24" s="535"/>
      <c r="KVM24" s="535"/>
      <c r="KVN24" s="535"/>
      <c r="KVO24" s="535"/>
      <c r="KVP24" s="535"/>
      <c r="KVQ24" s="535"/>
      <c r="KVR24" s="535"/>
      <c r="KVS24" s="535"/>
      <c r="KVT24" s="535"/>
      <c r="KVU24" s="535"/>
      <c r="KVV24" s="535"/>
      <c r="KVW24" s="535"/>
      <c r="KVX24" s="535"/>
      <c r="KVY24" s="535"/>
      <c r="KVZ24" s="535"/>
      <c r="KWA24" s="535"/>
      <c r="KWB24" s="535"/>
      <c r="KWC24" s="535"/>
      <c r="KWD24" s="535"/>
      <c r="KWE24" s="535"/>
      <c r="KWF24" s="535"/>
      <c r="KWG24" s="535"/>
      <c r="KWH24" s="535"/>
      <c r="KWI24" s="535"/>
      <c r="KWJ24" s="535"/>
      <c r="KWK24" s="535"/>
      <c r="KWL24" s="535"/>
      <c r="KWM24" s="535"/>
      <c r="KWN24" s="535"/>
      <c r="KWO24" s="535"/>
      <c r="KWP24" s="535"/>
      <c r="KWQ24" s="535"/>
      <c r="KWR24" s="535"/>
      <c r="KWS24" s="535"/>
      <c r="KWT24" s="535"/>
      <c r="KWU24" s="535"/>
      <c r="KWV24" s="535"/>
      <c r="KWW24" s="535"/>
      <c r="KWX24" s="535"/>
      <c r="KWY24" s="535"/>
      <c r="KWZ24" s="535"/>
      <c r="KXA24" s="535"/>
      <c r="KXB24" s="535"/>
      <c r="KXC24" s="535"/>
      <c r="KXD24" s="535"/>
      <c r="KXE24" s="535"/>
      <c r="KXF24" s="535"/>
      <c r="KXG24" s="535"/>
      <c r="KXH24" s="535"/>
      <c r="KXI24" s="535"/>
      <c r="KXJ24" s="535"/>
      <c r="KXK24" s="535"/>
      <c r="KXL24" s="535"/>
      <c r="KXM24" s="535"/>
      <c r="KXN24" s="535"/>
      <c r="KXO24" s="535"/>
      <c r="KXP24" s="535"/>
      <c r="KXQ24" s="535"/>
      <c r="KXR24" s="535"/>
      <c r="KXS24" s="535"/>
      <c r="KXT24" s="535"/>
      <c r="KXU24" s="535"/>
      <c r="KXV24" s="535"/>
      <c r="KXW24" s="535"/>
      <c r="KXX24" s="535"/>
      <c r="KXY24" s="535"/>
      <c r="KXZ24" s="535"/>
      <c r="KYA24" s="535"/>
      <c r="KYB24" s="535"/>
      <c r="KYC24" s="535"/>
      <c r="KYD24" s="535"/>
      <c r="KYE24" s="535"/>
      <c r="KYF24" s="535"/>
      <c r="KYG24" s="535"/>
      <c r="KYH24" s="535"/>
      <c r="KYI24" s="535"/>
      <c r="KYJ24" s="535"/>
      <c r="KYK24" s="535"/>
      <c r="KYL24" s="535"/>
      <c r="KYM24" s="535"/>
      <c r="KYN24" s="535"/>
      <c r="KYO24" s="535"/>
      <c r="KYP24" s="535"/>
      <c r="KYQ24" s="535"/>
      <c r="KYR24" s="535"/>
      <c r="KYS24" s="535"/>
      <c r="KYT24" s="535"/>
      <c r="KYU24" s="535"/>
      <c r="KYV24" s="535"/>
      <c r="KYW24" s="535"/>
      <c r="KYX24" s="535"/>
      <c r="KYY24" s="535"/>
      <c r="KYZ24" s="535"/>
      <c r="KZA24" s="535"/>
      <c r="KZB24" s="535"/>
      <c r="KZC24" s="535"/>
      <c r="KZD24" s="535"/>
      <c r="KZE24" s="535"/>
      <c r="KZF24" s="535"/>
      <c r="KZG24" s="535"/>
      <c r="KZH24" s="535"/>
      <c r="KZI24" s="535"/>
      <c r="KZJ24" s="535"/>
      <c r="KZK24" s="535"/>
      <c r="KZL24" s="535"/>
      <c r="KZM24" s="535"/>
      <c r="KZN24" s="535"/>
      <c r="KZO24" s="535"/>
      <c r="KZP24" s="535"/>
      <c r="KZQ24" s="535"/>
      <c r="KZR24" s="535"/>
      <c r="KZS24" s="535"/>
      <c r="KZT24" s="535"/>
      <c r="KZU24" s="535"/>
      <c r="KZV24" s="535"/>
      <c r="KZW24" s="535"/>
      <c r="KZX24" s="535"/>
      <c r="KZY24" s="535"/>
      <c r="KZZ24" s="535"/>
      <c r="LAA24" s="535"/>
      <c r="LAB24" s="535"/>
      <c r="LAC24" s="535"/>
      <c r="LAD24" s="535"/>
      <c r="LAE24" s="535"/>
      <c r="LAF24" s="535"/>
      <c r="LAG24" s="535"/>
      <c r="LAH24" s="535"/>
      <c r="LAI24" s="535"/>
      <c r="LAJ24" s="535"/>
      <c r="LAK24" s="535"/>
      <c r="LAL24" s="535"/>
      <c r="LAM24" s="535"/>
      <c r="LAN24" s="535"/>
      <c r="LAO24" s="535"/>
      <c r="LAP24" s="535"/>
      <c r="LAQ24" s="535"/>
      <c r="LAR24" s="535"/>
      <c r="LAS24" s="535"/>
      <c r="LAT24" s="535"/>
      <c r="LAU24" s="535"/>
      <c r="LAV24" s="535"/>
      <c r="LAW24" s="535"/>
      <c r="LAX24" s="535"/>
      <c r="LAY24" s="535"/>
      <c r="LAZ24" s="535"/>
      <c r="LBA24" s="535"/>
      <c r="LBB24" s="535"/>
      <c r="LBC24" s="535"/>
      <c r="LBD24" s="535"/>
      <c r="LBE24" s="535"/>
      <c r="LBF24" s="535"/>
      <c r="LBG24" s="535"/>
      <c r="LBH24" s="535"/>
      <c r="LBI24" s="535"/>
      <c r="LBJ24" s="535"/>
      <c r="LBK24" s="535"/>
      <c r="LBL24" s="535"/>
      <c r="LBM24" s="535"/>
      <c r="LBN24" s="535"/>
      <c r="LBO24" s="535"/>
      <c r="LBP24" s="535"/>
      <c r="LBQ24" s="535"/>
      <c r="LBR24" s="535"/>
      <c r="LBS24" s="535"/>
      <c r="LBT24" s="535"/>
      <c r="LBU24" s="535"/>
      <c r="LBV24" s="535"/>
      <c r="LBW24" s="535"/>
      <c r="LBX24" s="535"/>
      <c r="LBY24" s="535"/>
      <c r="LBZ24" s="535"/>
      <c r="LCA24" s="535"/>
      <c r="LCB24" s="535"/>
      <c r="LCC24" s="535"/>
      <c r="LCD24" s="535"/>
      <c r="LCE24" s="535"/>
      <c r="LCF24" s="535"/>
      <c r="LCG24" s="535"/>
      <c r="LCH24" s="535"/>
      <c r="LCI24" s="535"/>
      <c r="LCJ24" s="535"/>
      <c r="LCK24" s="535"/>
      <c r="LCL24" s="535"/>
      <c r="LCM24" s="535"/>
      <c r="LCN24" s="535"/>
      <c r="LCO24" s="535"/>
      <c r="LCP24" s="535"/>
      <c r="LCQ24" s="535"/>
      <c r="LCR24" s="535"/>
      <c r="LCS24" s="535"/>
      <c r="LCT24" s="535"/>
      <c r="LCU24" s="535"/>
      <c r="LCV24" s="535"/>
      <c r="LCW24" s="535"/>
      <c r="LCX24" s="535"/>
      <c r="LCY24" s="535"/>
      <c r="LCZ24" s="535"/>
      <c r="LDA24" s="535"/>
      <c r="LDB24" s="535"/>
      <c r="LDC24" s="535"/>
      <c r="LDD24" s="535"/>
      <c r="LDE24" s="535"/>
      <c r="LDF24" s="535"/>
      <c r="LDG24" s="535"/>
      <c r="LDH24" s="535"/>
      <c r="LDI24" s="535"/>
      <c r="LDJ24" s="535"/>
      <c r="LDK24" s="535"/>
      <c r="LDL24" s="535"/>
      <c r="LDM24" s="535"/>
      <c r="LDN24" s="535"/>
      <c r="LDO24" s="535"/>
      <c r="LDP24" s="535"/>
      <c r="LDQ24" s="535"/>
      <c r="LDR24" s="535"/>
      <c r="LDS24" s="535"/>
      <c r="LDT24" s="535"/>
      <c r="LDU24" s="535"/>
      <c r="LDV24" s="535"/>
      <c r="LDW24" s="535"/>
      <c r="LDX24" s="535"/>
      <c r="LDY24" s="535"/>
      <c r="LDZ24" s="535"/>
      <c r="LEA24" s="535"/>
      <c r="LEB24" s="535"/>
      <c r="LEC24" s="535"/>
      <c r="LED24" s="535"/>
      <c r="LEE24" s="535"/>
      <c r="LEF24" s="535"/>
      <c r="LEG24" s="535"/>
      <c r="LEH24" s="535"/>
      <c r="LEI24" s="535"/>
      <c r="LEJ24" s="535"/>
      <c r="LEK24" s="535"/>
      <c r="LEL24" s="535"/>
      <c r="LEM24" s="535"/>
      <c r="LEN24" s="535"/>
      <c r="LEO24" s="535"/>
      <c r="LEP24" s="535"/>
      <c r="LEQ24" s="535"/>
      <c r="LER24" s="535"/>
      <c r="LES24" s="535"/>
      <c r="LET24" s="535"/>
      <c r="LEU24" s="535"/>
      <c r="LEV24" s="535"/>
      <c r="LEW24" s="535"/>
      <c r="LEX24" s="535"/>
      <c r="LEY24" s="535"/>
      <c r="LEZ24" s="535"/>
      <c r="LFA24" s="535"/>
      <c r="LFB24" s="535"/>
      <c r="LFC24" s="535"/>
      <c r="LFD24" s="535"/>
      <c r="LFE24" s="535"/>
      <c r="LFF24" s="535"/>
      <c r="LFG24" s="535"/>
      <c r="LFH24" s="535"/>
      <c r="LFI24" s="535"/>
      <c r="LFJ24" s="535"/>
      <c r="LFK24" s="535"/>
      <c r="LFL24" s="535"/>
      <c r="LFM24" s="535"/>
      <c r="LFN24" s="535"/>
      <c r="LFO24" s="535"/>
      <c r="LFP24" s="535"/>
      <c r="LFQ24" s="535"/>
      <c r="LFR24" s="535"/>
      <c r="LFS24" s="535"/>
      <c r="LFT24" s="535"/>
      <c r="LFU24" s="535"/>
      <c r="LFV24" s="535"/>
      <c r="LFW24" s="535"/>
      <c r="LFX24" s="535"/>
      <c r="LFY24" s="535"/>
      <c r="LFZ24" s="535"/>
      <c r="LGA24" s="535"/>
      <c r="LGB24" s="535"/>
      <c r="LGC24" s="535"/>
      <c r="LGD24" s="535"/>
      <c r="LGE24" s="535"/>
      <c r="LGF24" s="535"/>
      <c r="LGG24" s="535"/>
      <c r="LGH24" s="535"/>
      <c r="LGI24" s="535"/>
      <c r="LGJ24" s="535"/>
      <c r="LGK24" s="535"/>
      <c r="LGL24" s="535"/>
      <c r="LGM24" s="535"/>
      <c r="LGN24" s="535"/>
      <c r="LGO24" s="535"/>
      <c r="LGP24" s="535"/>
      <c r="LGQ24" s="535"/>
      <c r="LGR24" s="535"/>
      <c r="LGS24" s="535"/>
      <c r="LGT24" s="535"/>
      <c r="LGU24" s="535"/>
      <c r="LGV24" s="535"/>
      <c r="LGW24" s="535"/>
      <c r="LGX24" s="535"/>
      <c r="LGY24" s="535"/>
      <c r="LGZ24" s="535"/>
      <c r="LHA24" s="535"/>
      <c r="LHB24" s="535"/>
      <c r="LHC24" s="535"/>
      <c r="LHD24" s="535"/>
      <c r="LHE24" s="535"/>
      <c r="LHF24" s="535"/>
      <c r="LHG24" s="535"/>
      <c r="LHH24" s="535"/>
      <c r="LHI24" s="535"/>
      <c r="LHJ24" s="535"/>
      <c r="LHK24" s="535"/>
      <c r="LHL24" s="535"/>
      <c r="LHM24" s="535"/>
      <c r="LHN24" s="535"/>
      <c r="LHO24" s="535"/>
      <c r="LHP24" s="535"/>
      <c r="LHQ24" s="535"/>
      <c r="LHR24" s="535"/>
      <c r="LHS24" s="535"/>
      <c r="LHT24" s="535"/>
      <c r="LHU24" s="535"/>
      <c r="LHV24" s="535"/>
      <c r="LHW24" s="535"/>
      <c r="LHX24" s="535"/>
      <c r="LHY24" s="535"/>
      <c r="LHZ24" s="535"/>
      <c r="LIA24" s="535"/>
      <c r="LIB24" s="535"/>
      <c r="LIC24" s="535"/>
      <c r="LID24" s="535"/>
      <c r="LIE24" s="535"/>
      <c r="LIF24" s="535"/>
      <c r="LIG24" s="535"/>
      <c r="LIH24" s="535"/>
      <c r="LII24" s="535"/>
      <c r="LIJ24" s="535"/>
      <c r="LIK24" s="535"/>
      <c r="LIL24" s="535"/>
      <c r="LIM24" s="535"/>
      <c r="LIN24" s="535"/>
      <c r="LIO24" s="535"/>
      <c r="LIP24" s="535"/>
      <c r="LIQ24" s="535"/>
      <c r="LIR24" s="535"/>
      <c r="LIS24" s="535"/>
      <c r="LIT24" s="535"/>
      <c r="LIU24" s="535"/>
      <c r="LIV24" s="535"/>
      <c r="LIW24" s="535"/>
      <c r="LIX24" s="535"/>
      <c r="LIY24" s="535"/>
      <c r="LIZ24" s="535"/>
      <c r="LJA24" s="535"/>
      <c r="LJB24" s="535"/>
      <c r="LJC24" s="535"/>
      <c r="LJD24" s="535"/>
      <c r="LJE24" s="535"/>
      <c r="LJF24" s="535"/>
      <c r="LJG24" s="535"/>
      <c r="LJH24" s="535"/>
      <c r="LJI24" s="535"/>
      <c r="LJJ24" s="535"/>
      <c r="LJK24" s="535"/>
      <c r="LJL24" s="535"/>
      <c r="LJM24" s="535"/>
      <c r="LJN24" s="535"/>
      <c r="LJO24" s="535"/>
      <c r="LJP24" s="535"/>
      <c r="LJQ24" s="535"/>
      <c r="LJR24" s="535"/>
      <c r="LJS24" s="535"/>
      <c r="LJT24" s="535"/>
      <c r="LJU24" s="535"/>
      <c r="LJV24" s="535"/>
      <c r="LJW24" s="535"/>
      <c r="LJX24" s="535"/>
      <c r="LJY24" s="535"/>
      <c r="LJZ24" s="535"/>
      <c r="LKA24" s="535"/>
      <c r="LKB24" s="535"/>
      <c r="LKC24" s="535"/>
      <c r="LKD24" s="535"/>
      <c r="LKE24" s="535"/>
      <c r="LKF24" s="535"/>
      <c r="LKG24" s="535"/>
      <c r="LKH24" s="535"/>
      <c r="LKI24" s="535"/>
      <c r="LKJ24" s="535"/>
      <c r="LKK24" s="535"/>
      <c r="LKL24" s="535"/>
      <c r="LKM24" s="535"/>
      <c r="LKN24" s="535"/>
      <c r="LKO24" s="535"/>
      <c r="LKP24" s="535"/>
      <c r="LKQ24" s="535"/>
      <c r="LKR24" s="535"/>
      <c r="LKS24" s="535"/>
      <c r="LKT24" s="535"/>
      <c r="LKU24" s="535"/>
      <c r="LKV24" s="535"/>
      <c r="LKW24" s="535"/>
      <c r="LKX24" s="535"/>
      <c r="LKY24" s="535"/>
      <c r="LKZ24" s="535"/>
      <c r="LLA24" s="535"/>
      <c r="LLB24" s="535"/>
      <c r="LLC24" s="535"/>
      <c r="LLD24" s="535"/>
      <c r="LLE24" s="535"/>
      <c r="LLF24" s="535"/>
      <c r="LLG24" s="535"/>
      <c r="LLH24" s="535"/>
      <c r="LLI24" s="535"/>
      <c r="LLJ24" s="535"/>
      <c r="LLK24" s="535"/>
      <c r="LLL24" s="535"/>
      <c r="LLM24" s="535"/>
      <c r="LLN24" s="535"/>
      <c r="LLO24" s="535"/>
      <c r="LLP24" s="535"/>
      <c r="LLQ24" s="535"/>
      <c r="LLR24" s="535"/>
      <c r="LLS24" s="535"/>
      <c r="LLT24" s="535"/>
      <c r="LLU24" s="535"/>
      <c r="LLV24" s="535"/>
      <c r="LLW24" s="535"/>
      <c r="LLX24" s="535"/>
      <c r="LLY24" s="535"/>
      <c r="LLZ24" s="535"/>
      <c r="LMA24" s="535"/>
      <c r="LMB24" s="535"/>
      <c r="LMC24" s="535"/>
      <c r="LMD24" s="535"/>
      <c r="LME24" s="535"/>
      <c r="LMF24" s="535"/>
      <c r="LMG24" s="535"/>
      <c r="LMH24" s="535"/>
      <c r="LMI24" s="535"/>
      <c r="LMJ24" s="535"/>
      <c r="LMK24" s="535"/>
      <c r="LML24" s="535"/>
      <c r="LMM24" s="535"/>
      <c r="LMN24" s="535"/>
      <c r="LMO24" s="535"/>
      <c r="LMP24" s="535"/>
      <c r="LMQ24" s="535"/>
      <c r="LMR24" s="535"/>
      <c r="LMS24" s="535"/>
      <c r="LMT24" s="535"/>
      <c r="LMU24" s="535"/>
      <c r="LMV24" s="535"/>
      <c r="LMW24" s="535"/>
      <c r="LMX24" s="535"/>
      <c r="LMY24" s="535"/>
      <c r="LMZ24" s="535"/>
      <c r="LNA24" s="535"/>
      <c r="LNB24" s="535"/>
      <c r="LNC24" s="535"/>
      <c r="LND24" s="535"/>
      <c r="LNE24" s="535"/>
      <c r="LNF24" s="535"/>
      <c r="LNG24" s="535"/>
      <c r="LNH24" s="535"/>
      <c r="LNI24" s="535"/>
      <c r="LNJ24" s="535"/>
      <c r="LNK24" s="535"/>
      <c r="LNL24" s="535"/>
      <c r="LNM24" s="535"/>
      <c r="LNN24" s="535"/>
      <c r="LNO24" s="535"/>
      <c r="LNP24" s="535"/>
      <c r="LNQ24" s="535"/>
      <c r="LNR24" s="535"/>
      <c r="LNS24" s="535"/>
      <c r="LNT24" s="535"/>
      <c r="LNU24" s="535"/>
      <c r="LNV24" s="535"/>
      <c r="LNW24" s="535"/>
      <c r="LNX24" s="535"/>
      <c r="LNY24" s="535"/>
      <c r="LNZ24" s="535"/>
      <c r="LOA24" s="535"/>
      <c r="LOB24" s="535"/>
      <c r="LOC24" s="535"/>
      <c r="LOD24" s="535"/>
      <c r="LOE24" s="535"/>
      <c r="LOF24" s="535"/>
      <c r="LOG24" s="535"/>
      <c r="LOH24" s="535"/>
      <c r="LOI24" s="535"/>
      <c r="LOJ24" s="535"/>
      <c r="LOK24" s="535"/>
      <c r="LOL24" s="535"/>
      <c r="LOM24" s="535"/>
      <c r="LON24" s="535"/>
      <c r="LOO24" s="535"/>
      <c r="LOP24" s="535"/>
      <c r="LOQ24" s="535"/>
      <c r="LOR24" s="535"/>
      <c r="LOS24" s="535"/>
      <c r="LOT24" s="535"/>
      <c r="LOU24" s="535"/>
      <c r="LOV24" s="535"/>
      <c r="LOW24" s="535"/>
      <c r="LOX24" s="535"/>
      <c r="LOY24" s="535"/>
      <c r="LOZ24" s="535"/>
      <c r="LPA24" s="535"/>
      <c r="LPB24" s="535"/>
      <c r="LPC24" s="535"/>
      <c r="LPD24" s="535"/>
      <c r="LPE24" s="535"/>
      <c r="LPF24" s="535"/>
      <c r="LPG24" s="535"/>
      <c r="LPH24" s="535"/>
      <c r="LPI24" s="535"/>
      <c r="LPJ24" s="535"/>
      <c r="LPK24" s="535"/>
      <c r="LPL24" s="535"/>
      <c r="LPM24" s="535"/>
      <c r="LPN24" s="535"/>
      <c r="LPO24" s="535"/>
      <c r="LPP24" s="535"/>
      <c r="LPQ24" s="535"/>
      <c r="LPR24" s="535"/>
      <c r="LPS24" s="535"/>
      <c r="LPT24" s="535"/>
      <c r="LPU24" s="535"/>
      <c r="LPV24" s="535"/>
      <c r="LPW24" s="535"/>
      <c r="LPX24" s="535"/>
      <c r="LPY24" s="535"/>
      <c r="LPZ24" s="535"/>
      <c r="LQA24" s="535"/>
      <c r="LQB24" s="535"/>
      <c r="LQC24" s="535"/>
      <c r="LQD24" s="535"/>
      <c r="LQE24" s="535"/>
      <c r="LQF24" s="535"/>
      <c r="LQG24" s="535"/>
      <c r="LQH24" s="535"/>
      <c r="LQI24" s="535"/>
      <c r="LQJ24" s="535"/>
      <c r="LQK24" s="535"/>
      <c r="LQL24" s="535"/>
      <c r="LQM24" s="535"/>
      <c r="LQN24" s="535"/>
      <c r="LQO24" s="535"/>
      <c r="LQP24" s="535"/>
      <c r="LQQ24" s="535"/>
      <c r="LQR24" s="535"/>
      <c r="LQS24" s="535"/>
      <c r="LQT24" s="535"/>
      <c r="LQU24" s="535"/>
      <c r="LQV24" s="535"/>
      <c r="LQW24" s="535"/>
      <c r="LQX24" s="535"/>
      <c r="LQY24" s="535"/>
      <c r="LQZ24" s="535"/>
      <c r="LRA24" s="535"/>
      <c r="LRB24" s="535"/>
      <c r="LRC24" s="535"/>
      <c r="LRD24" s="535"/>
      <c r="LRE24" s="535"/>
      <c r="LRF24" s="535"/>
      <c r="LRG24" s="535"/>
      <c r="LRH24" s="535"/>
      <c r="LRI24" s="535"/>
      <c r="LRJ24" s="535"/>
      <c r="LRK24" s="535"/>
      <c r="LRL24" s="535"/>
      <c r="LRM24" s="535"/>
      <c r="LRN24" s="535"/>
      <c r="LRO24" s="535"/>
      <c r="LRP24" s="535"/>
      <c r="LRQ24" s="535"/>
      <c r="LRR24" s="535"/>
      <c r="LRS24" s="535"/>
      <c r="LRT24" s="535"/>
      <c r="LRU24" s="535"/>
      <c r="LRV24" s="535"/>
      <c r="LRW24" s="535"/>
      <c r="LRX24" s="535"/>
      <c r="LRY24" s="535"/>
      <c r="LRZ24" s="535"/>
      <c r="LSA24" s="535"/>
      <c r="LSB24" s="535"/>
      <c r="LSC24" s="535"/>
      <c r="LSD24" s="535"/>
      <c r="LSE24" s="535"/>
      <c r="LSF24" s="535"/>
      <c r="LSG24" s="535"/>
      <c r="LSH24" s="535"/>
      <c r="LSI24" s="535"/>
      <c r="LSJ24" s="535"/>
      <c r="LSK24" s="535"/>
      <c r="LSL24" s="535"/>
      <c r="LSM24" s="535"/>
      <c r="LSN24" s="535"/>
      <c r="LSO24" s="535"/>
      <c r="LSP24" s="535"/>
      <c r="LSQ24" s="535"/>
      <c r="LSR24" s="535"/>
      <c r="LSS24" s="535"/>
      <c r="LST24" s="535"/>
      <c r="LSU24" s="535"/>
      <c r="LSV24" s="535"/>
      <c r="LSW24" s="535"/>
      <c r="LSX24" s="535"/>
      <c r="LSY24" s="535"/>
      <c r="LSZ24" s="535"/>
      <c r="LTA24" s="535"/>
      <c r="LTB24" s="535"/>
      <c r="LTC24" s="535"/>
      <c r="LTD24" s="535"/>
      <c r="LTE24" s="535"/>
      <c r="LTF24" s="535"/>
      <c r="LTG24" s="535"/>
      <c r="LTH24" s="535"/>
      <c r="LTI24" s="535"/>
      <c r="LTJ24" s="535"/>
      <c r="LTK24" s="535"/>
      <c r="LTL24" s="535"/>
      <c r="LTM24" s="535"/>
      <c r="LTN24" s="535"/>
      <c r="LTO24" s="535"/>
      <c r="LTP24" s="535"/>
      <c r="LTQ24" s="535"/>
      <c r="LTR24" s="535"/>
      <c r="LTS24" s="535"/>
      <c r="LTT24" s="535"/>
      <c r="LTU24" s="535"/>
      <c r="LTV24" s="535"/>
      <c r="LTW24" s="535"/>
      <c r="LTX24" s="535"/>
      <c r="LTY24" s="535"/>
      <c r="LTZ24" s="535"/>
      <c r="LUA24" s="535"/>
      <c r="LUB24" s="535"/>
      <c r="LUC24" s="535"/>
      <c r="LUD24" s="535"/>
      <c r="LUE24" s="535"/>
      <c r="LUF24" s="535"/>
      <c r="LUG24" s="535"/>
      <c r="LUH24" s="535"/>
      <c r="LUI24" s="535"/>
      <c r="LUJ24" s="535"/>
      <c r="LUK24" s="535"/>
      <c r="LUL24" s="535"/>
      <c r="LUM24" s="535"/>
      <c r="LUN24" s="535"/>
      <c r="LUO24" s="535"/>
      <c r="LUP24" s="535"/>
      <c r="LUQ24" s="535"/>
      <c r="LUR24" s="535"/>
      <c r="LUS24" s="535"/>
      <c r="LUT24" s="535"/>
      <c r="LUU24" s="535"/>
      <c r="LUV24" s="535"/>
      <c r="LUW24" s="535"/>
      <c r="LUX24" s="535"/>
      <c r="LUY24" s="535"/>
      <c r="LUZ24" s="535"/>
      <c r="LVA24" s="535"/>
      <c r="LVB24" s="535"/>
      <c r="LVC24" s="535"/>
      <c r="LVD24" s="535"/>
      <c r="LVE24" s="535"/>
      <c r="LVF24" s="535"/>
      <c r="LVG24" s="535"/>
      <c r="LVH24" s="535"/>
      <c r="LVI24" s="535"/>
      <c r="LVJ24" s="535"/>
      <c r="LVK24" s="535"/>
      <c r="LVL24" s="535"/>
      <c r="LVM24" s="535"/>
      <c r="LVN24" s="535"/>
      <c r="LVO24" s="535"/>
      <c r="LVP24" s="535"/>
      <c r="LVQ24" s="535"/>
      <c r="LVR24" s="535"/>
      <c r="LVS24" s="535"/>
      <c r="LVT24" s="535"/>
      <c r="LVU24" s="535"/>
      <c r="LVV24" s="535"/>
      <c r="LVW24" s="535"/>
      <c r="LVX24" s="535"/>
      <c r="LVY24" s="535"/>
      <c r="LVZ24" s="535"/>
      <c r="LWA24" s="535"/>
      <c r="LWB24" s="535"/>
      <c r="LWC24" s="535"/>
      <c r="LWD24" s="535"/>
      <c r="LWE24" s="535"/>
      <c r="LWF24" s="535"/>
      <c r="LWG24" s="535"/>
      <c r="LWH24" s="535"/>
      <c r="LWI24" s="535"/>
      <c r="LWJ24" s="535"/>
      <c r="LWK24" s="535"/>
      <c r="LWL24" s="535"/>
      <c r="LWM24" s="535"/>
      <c r="LWN24" s="535"/>
      <c r="LWO24" s="535"/>
      <c r="LWP24" s="535"/>
      <c r="LWQ24" s="535"/>
      <c r="LWR24" s="535"/>
      <c r="LWS24" s="535"/>
      <c r="LWT24" s="535"/>
      <c r="LWU24" s="535"/>
      <c r="LWV24" s="535"/>
      <c r="LWW24" s="535"/>
      <c r="LWX24" s="535"/>
      <c r="LWY24" s="535"/>
      <c r="LWZ24" s="535"/>
      <c r="LXA24" s="535"/>
      <c r="LXB24" s="535"/>
      <c r="LXC24" s="535"/>
      <c r="LXD24" s="535"/>
      <c r="LXE24" s="535"/>
      <c r="LXF24" s="535"/>
      <c r="LXG24" s="535"/>
      <c r="LXH24" s="535"/>
      <c r="LXI24" s="535"/>
      <c r="LXJ24" s="535"/>
      <c r="LXK24" s="535"/>
      <c r="LXL24" s="535"/>
      <c r="LXM24" s="535"/>
      <c r="LXN24" s="535"/>
      <c r="LXO24" s="535"/>
      <c r="LXP24" s="535"/>
      <c r="LXQ24" s="535"/>
      <c r="LXR24" s="535"/>
      <c r="LXS24" s="535"/>
      <c r="LXT24" s="535"/>
      <c r="LXU24" s="535"/>
      <c r="LXV24" s="535"/>
      <c r="LXW24" s="535"/>
      <c r="LXX24" s="535"/>
      <c r="LXY24" s="535"/>
      <c r="LXZ24" s="535"/>
      <c r="LYA24" s="535"/>
      <c r="LYB24" s="535"/>
      <c r="LYC24" s="535"/>
      <c r="LYD24" s="535"/>
      <c r="LYE24" s="535"/>
      <c r="LYF24" s="535"/>
      <c r="LYG24" s="535"/>
      <c r="LYH24" s="535"/>
      <c r="LYI24" s="535"/>
      <c r="LYJ24" s="535"/>
      <c r="LYK24" s="535"/>
      <c r="LYL24" s="535"/>
      <c r="LYM24" s="535"/>
      <c r="LYN24" s="535"/>
      <c r="LYO24" s="535"/>
      <c r="LYP24" s="535"/>
      <c r="LYQ24" s="535"/>
      <c r="LYR24" s="535"/>
      <c r="LYS24" s="535"/>
      <c r="LYT24" s="535"/>
      <c r="LYU24" s="535"/>
      <c r="LYV24" s="535"/>
      <c r="LYW24" s="535"/>
      <c r="LYX24" s="535"/>
      <c r="LYY24" s="535"/>
      <c r="LYZ24" s="535"/>
      <c r="LZA24" s="535"/>
      <c r="LZB24" s="535"/>
      <c r="LZC24" s="535"/>
      <c r="LZD24" s="535"/>
      <c r="LZE24" s="535"/>
      <c r="LZF24" s="535"/>
      <c r="LZG24" s="535"/>
      <c r="LZH24" s="535"/>
      <c r="LZI24" s="535"/>
      <c r="LZJ24" s="535"/>
      <c r="LZK24" s="535"/>
      <c r="LZL24" s="535"/>
      <c r="LZM24" s="535"/>
      <c r="LZN24" s="535"/>
      <c r="LZO24" s="535"/>
      <c r="LZP24" s="535"/>
      <c r="LZQ24" s="535"/>
      <c r="LZR24" s="535"/>
      <c r="LZS24" s="535"/>
      <c r="LZT24" s="535"/>
      <c r="LZU24" s="535"/>
      <c r="LZV24" s="535"/>
      <c r="LZW24" s="535"/>
      <c r="LZX24" s="535"/>
      <c r="LZY24" s="535"/>
      <c r="LZZ24" s="535"/>
      <c r="MAA24" s="535"/>
      <c r="MAB24" s="535"/>
      <c r="MAC24" s="535"/>
      <c r="MAD24" s="535"/>
      <c r="MAE24" s="535"/>
      <c r="MAF24" s="535"/>
      <c r="MAG24" s="535"/>
      <c r="MAH24" s="535"/>
      <c r="MAI24" s="535"/>
      <c r="MAJ24" s="535"/>
      <c r="MAK24" s="535"/>
      <c r="MAL24" s="535"/>
      <c r="MAM24" s="535"/>
      <c r="MAN24" s="535"/>
      <c r="MAO24" s="535"/>
      <c r="MAP24" s="535"/>
      <c r="MAQ24" s="535"/>
      <c r="MAR24" s="535"/>
      <c r="MAS24" s="535"/>
      <c r="MAT24" s="535"/>
      <c r="MAU24" s="535"/>
      <c r="MAV24" s="535"/>
      <c r="MAW24" s="535"/>
      <c r="MAX24" s="535"/>
      <c r="MAY24" s="535"/>
      <c r="MAZ24" s="535"/>
      <c r="MBA24" s="535"/>
      <c r="MBB24" s="535"/>
      <c r="MBC24" s="535"/>
      <c r="MBD24" s="535"/>
      <c r="MBE24" s="535"/>
      <c r="MBF24" s="535"/>
      <c r="MBG24" s="535"/>
      <c r="MBH24" s="535"/>
      <c r="MBI24" s="535"/>
      <c r="MBJ24" s="535"/>
      <c r="MBK24" s="535"/>
      <c r="MBL24" s="535"/>
      <c r="MBM24" s="535"/>
      <c r="MBN24" s="535"/>
      <c r="MBO24" s="535"/>
      <c r="MBP24" s="535"/>
      <c r="MBQ24" s="535"/>
      <c r="MBR24" s="535"/>
      <c r="MBS24" s="535"/>
      <c r="MBT24" s="535"/>
      <c r="MBU24" s="535"/>
      <c r="MBV24" s="535"/>
      <c r="MBW24" s="535"/>
      <c r="MBX24" s="535"/>
      <c r="MBY24" s="535"/>
      <c r="MBZ24" s="535"/>
      <c r="MCA24" s="535"/>
      <c r="MCB24" s="535"/>
      <c r="MCC24" s="535"/>
      <c r="MCD24" s="535"/>
      <c r="MCE24" s="535"/>
      <c r="MCF24" s="535"/>
      <c r="MCG24" s="535"/>
      <c r="MCH24" s="535"/>
      <c r="MCI24" s="535"/>
      <c r="MCJ24" s="535"/>
      <c r="MCK24" s="535"/>
      <c r="MCL24" s="535"/>
      <c r="MCM24" s="535"/>
      <c r="MCN24" s="535"/>
      <c r="MCO24" s="535"/>
      <c r="MCP24" s="535"/>
      <c r="MCQ24" s="535"/>
      <c r="MCR24" s="535"/>
      <c r="MCS24" s="535"/>
      <c r="MCT24" s="535"/>
      <c r="MCU24" s="535"/>
      <c r="MCV24" s="535"/>
      <c r="MCW24" s="535"/>
      <c r="MCX24" s="535"/>
      <c r="MCY24" s="535"/>
      <c r="MCZ24" s="535"/>
      <c r="MDA24" s="535"/>
      <c r="MDB24" s="535"/>
      <c r="MDC24" s="535"/>
      <c r="MDD24" s="535"/>
      <c r="MDE24" s="535"/>
      <c r="MDF24" s="535"/>
      <c r="MDG24" s="535"/>
      <c r="MDH24" s="535"/>
      <c r="MDI24" s="535"/>
      <c r="MDJ24" s="535"/>
      <c r="MDK24" s="535"/>
      <c r="MDL24" s="535"/>
      <c r="MDM24" s="535"/>
      <c r="MDN24" s="535"/>
      <c r="MDO24" s="535"/>
      <c r="MDP24" s="535"/>
      <c r="MDQ24" s="535"/>
      <c r="MDR24" s="535"/>
      <c r="MDS24" s="535"/>
      <c r="MDT24" s="535"/>
      <c r="MDU24" s="535"/>
      <c r="MDV24" s="535"/>
      <c r="MDW24" s="535"/>
      <c r="MDX24" s="535"/>
      <c r="MDY24" s="535"/>
      <c r="MDZ24" s="535"/>
      <c r="MEA24" s="535"/>
      <c r="MEB24" s="535"/>
      <c r="MEC24" s="535"/>
      <c r="MED24" s="535"/>
      <c r="MEE24" s="535"/>
      <c r="MEF24" s="535"/>
      <c r="MEG24" s="535"/>
      <c r="MEH24" s="535"/>
      <c r="MEI24" s="535"/>
      <c r="MEJ24" s="535"/>
      <c r="MEK24" s="535"/>
      <c r="MEL24" s="535"/>
      <c r="MEM24" s="535"/>
      <c r="MEN24" s="535"/>
      <c r="MEO24" s="535"/>
      <c r="MEP24" s="535"/>
      <c r="MEQ24" s="535"/>
      <c r="MER24" s="535"/>
      <c r="MES24" s="535"/>
      <c r="MET24" s="535"/>
      <c r="MEU24" s="535"/>
      <c r="MEV24" s="535"/>
      <c r="MEW24" s="535"/>
      <c r="MEX24" s="535"/>
      <c r="MEY24" s="535"/>
      <c r="MEZ24" s="535"/>
      <c r="MFA24" s="535"/>
      <c r="MFB24" s="535"/>
      <c r="MFC24" s="535"/>
      <c r="MFD24" s="535"/>
      <c r="MFE24" s="535"/>
      <c r="MFF24" s="535"/>
      <c r="MFG24" s="535"/>
      <c r="MFH24" s="535"/>
      <c r="MFI24" s="535"/>
      <c r="MFJ24" s="535"/>
      <c r="MFK24" s="535"/>
      <c r="MFL24" s="535"/>
      <c r="MFM24" s="535"/>
      <c r="MFN24" s="535"/>
      <c r="MFO24" s="535"/>
      <c r="MFP24" s="535"/>
      <c r="MFQ24" s="535"/>
      <c r="MFR24" s="535"/>
      <c r="MFS24" s="535"/>
      <c r="MFT24" s="535"/>
      <c r="MFU24" s="535"/>
      <c r="MFV24" s="535"/>
      <c r="MFW24" s="535"/>
      <c r="MFX24" s="535"/>
      <c r="MFY24" s="535"/>
      <c r="MFZ24" s="535"/>
      <c r="MGA24" s="535"/>
      <c r="MGB24" s="535"/>
      <c r="MGC24" s="535"/>
      <c r="MGD24" s="535"/>
      <c r="MGE24" s="535"/>
      <c r="MGF24" s="535"/>
      <c r="MGG24" s="535"/>
      <c r="MGH24" s="535"/>
      <c r="MGI24" s="535"/>
      <c r="MGJ24" s="535"/>
      <c r="MGK24" s="535"/>
      <c r="MGL24" s="535"/>
      <c r="MGM24" s="535"/>
      <c r="MGN24" s="535"/>
      <c r="MGO24" s="535"/>
      <c r="MGP24" s="535"/>
      <c r="MGQ24" s="535"/>
      <c r="MGR24" s="535"/>
      <c r="MGS24" s="535"/>
      <c r="MGT24" s="535"/>
      <c r="MGU24" s="535"/>
      <c r="MGV24" s="535"/>
      <c r="MGW24" s="535"/>
      <c r="MGX24" s="535"/>
      <c r="MGY24" s="535"/>
      <c r="MGZ24" s="535"/>
      <c r="MHA24" s="535"/>
      <c r="MHB24" s="535"/>
      <c r="MHC24" s="535"/>
      <c r="MHD24" s="535"/>
      <c r="MHE24" s="535"/>
      <c r="MHF24" s="535"/>
      <c r="MHG24" s="535"/>
      <c r="MHH24" s="535"/>
      <c r="MHI24" s="535"/>
      <c r="MHJ24" s="535"/>
      <c r="MHK24" s="535"/>
      <c r="MHL24" s="535"/>
      <c r="MHM24" s="535"/>
      <c r="MHN24" s="535"/>
      <c r="MHO24" s="535"/>
      <c r="MHP24" s="535"/>
      <c r="MHQ24" s="535"/>
      <c r="MHR24" s="535"/>
      <c r="MHS24" s="535"/>
      <c r="MHT24" s="535"/>
      <c r="MHU24" s="535"/>
      <c r="MHV24" s="535"/>
      <c r="MHW24" s="535"/>
      <c r="MHX24" s="535"/>
      <c r="MHY24" s="535"/>
      <c r="MHZ24" s="535"/>
      <c r="MIA24" s="535"/>
      <c r="MIB24" s="535"/>
      <c r="MIC24" s="535"/>
      <c r="MID24" s="535"/>
      <c r="MIE24" s="535"/>
      <c r="MIF24" s="535"/>
      <c r="MIG24" s="535"/>
      <c r="MIH24" s="535"/>
      <c r="MII24" s="535"/>
      <c r="MIJ24" s="535"/>
      <c r="MIK24" s="535"/>
      <c r="MIL24" s="535"/>
      <c r="MIM24" s="535"/>
      <c r="MIN24" s="535"/>
      <c r="MIO24" s="535"/>
      <c r="MIP24" s="535"/>
      <c r="MIQ24" s="535"/>
      <c r="MIR24" s="535"/>
      <c r="MIS24" s="535"/>
      <c r="MIT24" s="535"/>
      <c r="MIU24" s="535"/>
      <c r="MIV24" s="535"/>
      <c r="MIW24" s="535"/>
      <c r="MIX24" s="535"/>
      <c r="MIY24" s="535"/>
      <c r="MIZ24" s="535"/>
      <c r="MJA24" s="535"/>
      <c r="MJB24" s="535"/>
      <c r="MJC24" s="535"/>
      <c r="MJD24" s="535"/>
      <c r="MJE24" s="535"/>
      <c r="MJF24" s="535"/>
      <c r="MJG24" s="535"/>
      <c r="MJH24" s="535"/>
      <c r="MJI24" s="535"/>
      <c r="MJJ24" s="535"/>
      <c r="MJK24" s="535"/>
      <c r="MJL24" s="535"/>
      <c r="MJM24" s="535"/>
      <c r="MJN24" s="535"/>
      <c r="MJO24" s="535"/>
      <c r="MJP24" s="535"/>
      <c r="MJQ24" s="535"/>
      <c r="MJR24" s="535"/>
      <c r="MJS24" s="535"/>
      <c r="MJT24" s="535"/>
      <c r="MJU24" s="535"/>
      <c r="MJV24" s="535"/>
      <c r="MJW24" s="535"/>
      <c r="MJX24" s="535"/>
      <c r="MJY24" s="535"/>
      <c r="MJZ24" s="535"/>
      <c r="MKA24" s="535"/>
      <c r="MKB24" s="535"/>
      <c r="MKC24" s="535"/>
      <c r="MKD24" s="535"/>
      <c r="MKE24" s="535"/>
      <c r="MKF24" s="535"/>
      <c r="MKG24" s="535"/>
      <c r="MKH24" s="535"/>
      <c r="MKI24" s="535"/>
      <c r="MKJ24" s="535"/>
      <c r="MKK24" s="535"/>
      <c r="MKL24" s="535"/>
      <c r="MKM24" s="535"/>
      <c r="MKN24" s="535"/>
      <c r="MKO24" s="535"/>
      <c r="MKP24" s="535"/>
      <c r="MKQ24" s="535"/>
      <c r="MKR24" s="535"/>
      <c r="MKS24" s="535"/>
      <c r="MKT24" s="535"/>
      <c r="MKU24" s="535"/>
      <c r="MKV24" s="535"/>
      <c r="MKW24" s="535"/>
      <c r="MKX24" s="535"/>
      <c r="MKY24" s="535"/>
      <c r="MKZ24" s="535"/>
      <c r="MLA24" s="535"/>
      <c r="MLB24" s="535"/>
      <c r="MLC24" s="535"/>
      <c r="MLD24" s="535"/>
      <c r="MLE24" s="535"/>
      <c r="MLF24" s="535"/>
      <c r="MLG24" s="535"/>
      <c r="MLH24" s="535"/>
      <c r="MLI24" s="535"/>
      <c r="MLJ24" s="535"/>
      <c r="MLK24" s="535"/>
      <c r="MLL24" s="535"/>
      <c r="MLM24" s="535"/>
      <c r="MLN24" s="535"/>
      <c r="MLO24" s="535"/>
      <c r="MLP24" s="535"/>
      <c r="MLQ24" s="535"/>
      <c r="MLR24" s="535"/>
      <c r="MLS24" s="535"/>
      <c r="MLT24" s="535"/>
      <c r="MLU24" s="535"/>
      <c r="MLV24" s="535"/>
      <c r="MLW24" s="535"/>
      <c r="MLX24" s="535"/>
      <c r="MLY24" s="535"/>
      <c r="MLZ24" s="535"/>
      <c r="MMA24" s="535"/>
      <c r="MMB24" s="535"/>
      <c r="MMC24" s="535"/>
      <c r="MMD24" s="535"/>
      <c r="MME24" s="535"/>
      <c r="MMF24" s="535"/>
      <c r="MMG24" s="535"/>
      <c r="MMH24" s="535"/>
      <c r="MMI24" s="535"/>
      <c r="MMJ24" s="535"/>
      <c r="MMK24" s="535"/>
      <c r="MML24" s="535"/>
      <c r="MMM24" s="535"/>
      <c r="MMN24" s="535"/>
      <c r="MMO24" s="535"/>
      <c r="MMP24" s="535"/>
      <c r="MMQ24" s="535"/>
      <c r="MMR24" s="535"/>
      <c r="MMS24" s="535"/>
      <c r="MMT24" s="535"/>
      <c r="MMU24" s="535"/>
      <c r="MMV24" s="535"/>
      <c r="MMW24" s="535"/>
      <c r="MMX24" s="535"/>
      <c r="MMY24" s="535"/>
      <c r="MMZ24" s="535"/>
      <c r="MNA24" s="535"/>
      <c r="MNB24" s="535"/>
      <c r="MNC24" s="535"/>
      <c r="MND24" s="535"/>
      <c r="MNE24" s="535"/>
      <c r="MNF24" s="535"/>
      <c r="MNG24" s="535"/>
      <c r="MNH24" s="535"/>
      <c r="MNI24" s="535"/>
      <c r="MNJ24" s="535"/>
      <c r="MNK24" s="535"/>
      <c r="MNL24" s="535"/>
      <c r="MNM24" s="535"/>
      <c r="MNN24" s="535"/>
      <c r="MNO24" s="535"/>
      <c r="MNP24" s="535"/>
      <c r="MNQ24" s="535"/>
      <c r="MNR24" s="535"/>
      <c r="MNS24" s="535"/>
      <c r="MNT24" s="535"/>
      <c r="MNU24" s="535"/>
      <c r="MNV24" s="535"/>
      <c r="MNW24" s="535"/>
      <c r="MNX24" s="535"/>
      <c r="MNY24" s="535"/>
      <c r="MNZ24" s="535"/>
      <c r="MOA24" s="535"/>
      <c r="MOB24" s="535"/>
      <c r="MOC24" s="535"/>
      <c r="MOD24" s="535"/>
      <c r="MOE24" s="535"/>
      <c r="MOF24" s="535"/>
      <c r="MOG24" s="535"/>
      <c r="MOH24" s="535"/>
      <c r="MOI24" s="535"/>
      <c r="MOJ24" s="535"/>
      <c r="MOK24" s="535"/>
      <c r="MOL24" s="535"/>
      <c r="MOM24" s="535"/>
      <c r="MON24" s="535"/>
      <c r="MOO24" s="535"/>
      <c r="MOP24" s="535"/>
      <c r="MOQ24" s="535"/>
      <c r="MOR24" s="535"/>
      <c r="MOS24" s="535"/>
      <c r="MOT24" s="535"/>
      <c r="MOU24" s="535"/>
      <c r="MOV24" s="535"/>
      <c r="MOW24" s="535"/>
      <c r="MOX24" s="535"/>
      <c r="MOY24" s="535"/>
      <c r="MOZ24" s="535"/>
      <c r="MPA24" s="535"/>
      <c r="MPB24" s="535"/>
      <c r="MPC24" s="535"/>
      <c r="MPD24" s="535"/>
      <c r="MPE24" s="535"/>
      <c r="MPF24" s="535"/>
      <c r="MPG24" s="535"/>
      <c r="MPH24" s="535"/>
      <c r="MPI24" s="535"/>
      <c r="MPJ24" s="535"/>
      <c r="MPK24" s="535"/>
      <c r="MPL24" s="535"/>
      <c r="MPM24" s="535"/>
      <c r="MPN24" s="535"/>
      <c r="MPO24" s="535"/>
      <c r="MPP24" s="535"/>
      <c r="MPQ24" s="535"/>
      <c r="MPR24" s="535"/>
      <c r="MPS24" s="535"/>
      <c r="MPT24" s="535"/>
      <c r="MPU24" s="535"/>
      <c r="MPV24" s="535"/>
      <c r="MPW24" s="535"/>
      <c r="MPX24" s="535"/>
      <c r="MPY24" s="535"/>
      <c r="MPZ24" s="535"/>
      <c r="MQA24" s="535"/>
      <c r="MQB24" s="535"/>
      <c r="MQC24" s="535"/>
      <c r="MQD24" s="535"/>
      <c r="MQE24" s="535"/>
      <c r="MQF24" s="535"/>
      <c r="MQG24" s="535"/>
      <c r="MQH24" s="535"/>
      <c r="MQI24" s="535"/>
      <c r="MQJ24" s="535"/>
      <c r="MQK24" s="535"/>
      <c r="MQL24" s="535"/>
      <c r="MQM24" s="535"/>
      <c r="MQN24" s="535"/>
      <c r="MQO24" s="535"/>
      <c r="MQP24" s="535"/>
      <c r="MQQ24" s="535"/>
      <c r="MQR24" s="535"/>
      <c r="MQS24" s="535"/>
      <c r="MQT24" s="535"/>
      <c r="MQU24" s="535"/>
      <c r="MQV24" s="535"/>
      <c r="MQW24" s="535"/>
      <c r="MQX24" s="535"/>
      <c r="MQY24" s="535"/>
      <c r="MQZ24" s="535"/>
      <c r="MRA24" s="535"/>
      <c r="MRB24" s="535"/>
      <c r="MRC24" s="535"/>
      <c r="MRD24" s="535"/>
      <c r="MRE24" s="535"/>
      <c r="MRF24" s="535"/>
      <c r="MRG24" s="535"/>
      <c r="MRH24" s="535"/>
      <c r="MRI24" s="535"/>
      <c r="MRJ24" s="535"/>
      <c r="MRK24" s="535"/>
      <c r="MRL24" s="535"/>
      <c r="MRM24" s="535"/>
      <c r="MRN24" s="535"/>
      <c r="MRO24" s="535"/>
      <c r="MRP24" s="535"/>
      <c r="MRQ24" s="535"/>
      <c r="MRR24" s="535"/>
      <c r="MRS24" s="535"/>
      <c r="MRT24" s="535"/>
      <c r="MRU24" s="535"/>
      <c r="MRV24" s="535"/>
      <c r="MRW24" s="535"/>
      <c r="MRX24" s="535"/>
      <c r="MRY24" s="535"/>
      <c r="MRZ24" s="535"/>
      <c r="MSA24" s="535"/>
      <c r="MSB24" s="535"/>
      <c r="MSC24" s="535"/>
      <c r="MSD24" s="535"/>
      <c r="MSE24" s="535"/>
      <c r="MSF24" s="535"/>
      <c r="MSG24" s="535"/>
      <c r="MSH24" s="535"/>
      <c r="MSI24" s="535"/>
      <c r="MSJ24" s="535"/>
      <c r="MSK24" s="535"/>
      <c r="MSL24" s="535"/>
      <c r="MSM24" s="535"/>
      <c r="MSN24" s="535"/>
      <c r="MSO24" s="535"/>
      <c r="MSP24" s="535"/>
      <c r="MSQ24" s="535"/>
      <c r="MSR24" s="535"/>
      <c r="MSS24" s="535"/>
      <c r="MST24" s="535"/>
      <c r="MSU24" s="535"/>
      <c r="MSV24" s="535"/>
      <c r="MSW24" s="535"/>
      <c r="MSX24" s="535"/>
      <c r="MSY24" s="535"/>
      <c r="MSZ24" s="535"/>
      <c r="MTA24" s="535"/>
      <c r="MTB24" s="535"/>
      <c r="MTC24" s="535"/>
      <c r="MTD24" s="535"/>
      <c r="MTE24" s="535"/>
      <c r="MTF24" s="535"/>
      <c r="MTG24" s="535"/>
      <c r="MTH24" s="535"/>
      <c r="MTI24" s="535"/>
      <c r="MTJ24" s="535"/>
      <c r="MTK24" s="535"/>
      <c r="MTL24" s="535"/>
      <c r="MTM24" s="535"/>
      <c r="MTN24" s="535"/>
      <c r="MTO24" s="535"/>
      <c r="MTP24" s="535"/>
      <c r="MTQ24" s="535"/>
      <c r="MTR24" s="535"/>
      <c r="MTS24" s="535"/>
      <c r="MTT24" s="535"/>
      <c r="MTU24" s="535"/>
      <c r="MTV24" s="535"/>
      <c r="MTW24" s="535"/>
      <c r="MTX24" s="535"/>
      <c r="MTY24" s="535"/>
      <c r="MTZ24" s="535"/>
      <c r="MUA24" s="535"/>
      <c r="MUB24" s="535"/>
      <c r="MUC24" s="535"/>
      <c r="MUD24" s="535"/>
      <c r="MUE24" s="535"/>
      <c r="MUF24" s="535"/>
      <c r="MUG24" s="535"/>
      <c r="MUH24" s="535"/>
      <c r="MUI24" s="535"/>
      <c r="MUJ24" s="535"/>
      <c r="MUK24" s="535"/>
      <c r="MUL24" s="535"/>
      <c r="MUM24" s="535"/>
      <c r="MUN24" s="535"/>
      <c r="MUO24" s="535"/>
      <c r="MUP24" s="535"/>
      <c r="MUQ24" s="535"/>
      <c r="MUR24" s="535"/>
      <c r="MUS24" s="535"/>
      <c r="MUT24" s="535"/>
      <c r="MUU24" s="535"/>
      <c r="MUV24" s="535"/>
      <c r="MUW24" s="535"/>
      <c r="MUX24" s="535"/>
      <c r="MUY24" s="535"/>
      <c r="MUZ24" s="535"/>
      <c r="MVA24" s="535"/>
      <c r="MVB24" s="535"/>
      <c r="MVC24" s="535"/>
      <c r="MVD24" s="535"/>
      <c r="MVE24" s="535"/>
      <c r="MVF24" s="535"/>
      <c r="MVG24" s="535"/>
      <c r="MVH24" s="535"/>
      <c r="MVI24" s="535"/>
      <c r="MVJ24" s="535"/>
      <c r="MVK24" s="535"/>
      <c r="MVL24" s="535"/>
      <c r="MVM24" s="535"/>
      <c r="MVN24" s="535"/>
      <c r="MVO24" s="535"/>
      <c r="MVP24" s="535"/>
      <c r="MVQ24" s="535"/>
      <c r="MVR24" s="535"/>
      <c r="MVS24" s="535"/>
      <c r="MVT24" s="535"/>
      <c r="MVU24" s="535"/>
      <c r="MVV24" s="535"/>
      <c r="MVW24" s="535"/>
      <c r="MVX24" s="535"/>
      <c r="MVY24" s="535"/>
      <c r="MVZ24" s="535"/>
      <c r="MWA24" s="535"/>
      <c r="MWB24" s="535"/>
      <c r="MWC24" s="535"/>
      <c r="MWD24" s="535"/>
      <c r="MWE24" s="535"/>
      <c r="MWF24" s="535"/>
      <c r="MWG24" s="535"/>
      <c r="MWH24" s="535"/>
      <c r="MWI24" s="535"/>
      <c r="MWJ24" s="535"/>
      <c r="MWK24" s="535"/>
      <c r="MWL24" s="535"/>
      <c r="MWM24" s="535"/>
      <c r="MWN24" s="535"/>
      <c r="MWO24" s="535"/>
      <c r="MWP24" s="535"/>
      <c r="MWQ24" s="535"/>
      <c r="MWR24" s="535"/>
      <c r="MWS24" s="535"/>
      <c r="MWT24" s="535"/>
      <c r="MWU24" s="535"/>
      <c r="MWV24" s="535"/>
      <c r="MWW24" s="535"/>
      <c r="MWX24" s="535"/>
      <c r="MWY24" s="535"/>
      <c r="MWZ24" s="535"/>
      <c r="MXA24" s="535"/>
      <c r="MXB24" s="535"/>
      <c r="MXC24" s="535"/>
      <c r="MXD24" s="535"/>
      <c r="MXE24" s="535"/>
      <c r="MXF24" s="535"/>
      <c r="MXG24" s="535"/>
      <c r="MXH24" s="535"/>
      <c r="MXI24" s="535"/>
      <c r="MXJ24" s="535"/>
      <c r="MXK24" s="535"/>
      <c r="MXL24" s="535"/>
      <c r="MXM24" s="535"/>
      <c r="MXN24" s="535"/>
      <c r="MXO24" s="535"/>
      <c r="MXP24" s="535"/>
      <c r="MXQ24" s="535"/>
      <c r="MXR24" s="535"/>
      <c r="MXS24" s="535"/>
      <c r="MXT24" s="535"/>
      <c r="MXU24" s="535"/>
      <c r="MXV24" s="535"/>
      <c r="MXW24" s="535"/>
      <c r="MXX24" s="535"/>
      <c r="MXY24" s="535"/>
      <c r="MXZ24" s="535"/>
      <c r="MYA24" s="535"/>
      <c r="MYB24" s="535"/>
      <c r="MYC24" s="535"/>
      <c r="MYD24" s="535"/>
      <c r="MYE24" s="535"/>
      <c r="MYF24" s="535"/>
      <c r="MYG24" s="535"/>
      <c r="MYH24" s="535"/>
      <c r="MYI24" s="535"/>
      <c r="MYJ24" s="535"/>
      <c r="MYK24" s="535"/>
      <c r="MYL24" s="535"/>
      <c r="MYM24" s="535"/>
      <c r="MYN24" s="535"/>
      <c r="MYO24" s="535"/>
      <c r="MYP24" s="535"/>
      <c r="MYQ24" s="535"/>
      <c r="MYR24" s="535"/>
      <c r="MYS24" s="535"/>
      <c r="MYT24" s="535"/>
      <c r="MYU24" s="535"/>
      <c r="MYV24" s="535"/>
      <c r="MYW24" s="535"/>
      <c r="MYX24" s="535"/>
      <c r="MYY24" s="535"/>
      <c r="MYZ24" s="535"/>
      <c r="MZA24" s="535"/>
      <c r="MZB24" s="535"/>
      <c r="MZC24" s="535"/>
      <c r="MZD24" s="535"/>
      <c r="MZE24" s="535"/>
      <c r="MZF24" s="535"/>
      <c r="MZG24" s="535"/>
      <c r="MZH24" s="535"/>
      <c r="MZI24" s="535"/>
      <c r="MZJ24" s="535"/>
      <c r="MZK24" s="535"/>
      <c r="MZL24" s="535"/>
      <c r="MZM24" s="535"/>
      <c r="MZN24" s="535"/>
      <c r="MZO24" s="535"/>
      <c r="MZP24" s="535"/>
      <c r="MZQ24" s="535"/>
      <c r="MZR24" s="535"/>
      <c r="MZS24" s="535"/>
      <c r="MZT24" s="535"/>
      <c r="MZU24" s="535"/>
      <c r="MZV24" s="535"/>
      <c r="MZW24" s="535"/>
      <c r="MZX24" s="535"/>
      <c r="MZY24" s="535"/>
      <c r="MZZ24" s="535"/>
      <c r="NAA24" s="535"/>
      <c r="NAB24" s="535"/>
      <c r="NAC24" s="535"/>
      <c r="NAD24" s="535"/>
      <c r="NAE24" s="535"/>
      <c r="NAF24" s="535"/>
      <c r="NAG24" s="535"/>
      <c r="NAH24" s="535"/>
      <c r="NAI24" s="535"/>
      <c r="NAJ24" s="535"/>
      <c r="NAK24" s="535"/>
      <c r="NAL24" s="535"/>
      <c r="NAM24" s="535"/>
      <c r="NAN24" s="535"/>
      <c r="NAO24" s="535"/>
      <c r="NAP24" s="535"/>
      <c r="NAQ24" s="535"/>
      <c r="NAR24" s="535"/>
      <c r="NAS24" s="535"/>
      <c r="NAT24" s="535"/>
      <c r="NAU24" s="535"/>
      <c r="NAV24" s="535"/>
      <c r="NAW24" s="535"/>
      <c r="NAX24" s="535"/>
      <c r="NAY24" s="535"/>
      <c r="NAZ24" s="535"/>
      <c r="NBA24" s="535"/>
      <c r="NBB24" s="535"/>
      <c r="NBC24" s="535"/>
      <c r="NBD24" s="535"/>
      <c r="NBE24" s="535"/>
      <c r="NBF24" s="535"/>
      <c r="NBG24" s="535"/>
      <c r="NBH24" s="535"/>
      <c r="NBI24" s="535"/>
      <c r="NBJ24" s="535"/>
      <c r="NBK24" s="535"/>
      <c r="NBL24" s="535"/>
      <c r="NBM24" s="535"/>
      <c r="NBN24" s="535"/>
      <c r="NBO24" s="535"/>
      <c r="NBP24" s="535"/>
      <c r="NBQ24" s="535"/>
      <c r="NBR24" s="535"/>
      <c r="NBS24" s="535"/>
      <c r="NBT24" s="535"/>
      <c r="NBU24" s="535"/>
      <c r="NBV24" s="535"/>
      <c r="NBW24" s="535"/>
      <c r="NBX24" s="535"/>
      <c r="NBY24" s="535"/>
      <c r="NBZ24" s="535"/>
      <c r="NCA24" s="535"/>
      <c r="NCB24" s="535"/>
      <c r="NCC24" s="535"/>
      <c r="NCD24" s="535"/>
      <c r="NCE24" s="535"/>
      <c r="NCF24" s="535"/>
      <c r="NCG24" s="535"/>
      <c r="NCH24" s="535"/>
      <c r="NCI24" s="535"/>
      <c r="NCJ24" s="535"/>
      <c r="NCK24" s="535"/>
      <c r="NCL24" s="535"/>
      <c r="NCM24" s="535"/>
      <c r="NCN24" s="535"/>
      <c r="NCO24" s="535"/>
      <c r="NCP24" s="535"/>
      <c r="NCQ24" s="535"/>
      <c r="NCR24" s="535"/>
      <c r="NCS24" s="535"/>
      <c r="NCT24" s="535"/>
      <c r="NCU24" s="535"/>
      <c r="NCV24" s="535"/>
      <c r="NCW24" s="535"/>
      <c r="NCX24" s="535"/>
      <c r="NCY24" s="535"/>
      <c r="NCZ24" s="535"/>
      <c r="NDA24" s="535"/>
      <c r="NDB24" s="535"/>
      <c r="NDC24" s="535"/>
      <c r="NDD24" s="535"/>
      <c r="NDE24" s="535"/>
      <c r="NDF24" s="535"/>
      <c r="NDG24" s="535"/>
      <c r="NDH24" s="535"/>
      <c r="NDI24" s="535"/>
      <c r="NDJ24" s="535"/>
      <c r="NDK24" s="535"/>
      <c r="NDL24" s="535"/>
      <c r="NDM24" s="535"/>
      <c r="NDN24" s="535"/>
      <c r="NDO24" s="535"/>
      <c r="NDP24" s="535"/>
      <c r="NDQ24" s="535"/>
      <c r="NDR24" s="535"/>
      <c r="NDS24" s="535"/>
      <c r="NDT24" s="535"/>
      <c r="NDU24" s="535"/>
      <c r="NDV24" s="535"/>
      <c r="NDW24" s="535"/>
      <c r="NDX24" s="535"/>
      <c r="NDY24" s="535"/>
      <c r="NDZ24" s="535"/>
      <c r="NEA24" s="535"/>
      <c r="NEB24" s="535"/>
      <c r="NEC24" s="535"/>
      <c r="NED24" s="535"/>
      <c r="NEE24" s="535"/>
      <c r="NEF24" s="535"/>
      <c r="NEG24" s="535"/>
      <c r="NEH24" s="535"/>
      <c r="NEI24" s="535"/>
      <c r="NEJ24" s="535"/>
      <c r="NEK24" s="535"/>
      <c r="NEL24" s="535"/>
      <c r="NEM24" s="535"/>
      <c r="NEN24" s="535"/>
      <c r="NEO24" s="535"/>
      <c r="NEP24" s="535"/>
      <c r="NEQ24" s="535"/>
      <c r="NER24" s="535"/>
      <c r="NES24" s="535"/>
      <c r="NET24" s="535"/>
      <c r="NEU24" s="535"/>
      <c r="NEV24" s="535"/>
      <c r="NEW24" s="535"/>
      <c r="NEX24" s="535"/>
      <c r="NEY24" s="535"/>
      <c r="NEZ24" s="535"/>
      <c r="NFA24" s="535"/>
      <c r="NFB24" s="535"/>
      <c r="NFC24" s="535"/>
      <c r="NFD24" s="535"/>
      <c r="NFE24" s="535"/>
      <c r="NFF24" s="535"/>
      <c r="NFG24" s="535"/>
      <c r="NFH24" s="535"/>
      <c r="NFI24" s="535"/>
      <c r="NFJ24" s="535"/>
      <c r="NFK24" s="535"/>
      <c r="NFL24" s="535"/>
      <c r="NFM24" s="535"/>
      <c r="NFN24" s="535"/>
      <c r="NFO24" s="535"/>
      <c r="NFP24" s="535"/>
      <c r="NFQ24" s="535"/>
      <c r="NFR24" s="535"/>
      <c r="NFS24" s="535"/>
      <c r="NFT24" s="535"/>
      <c r="NFU24" s="535"/>
      <c r="NFV24" s="535"/>
      <c r="NFW24" s="535"/>
      <c r="NFX24" s="535"/>
      <c r="NFY24" s="535"/>
      <c r="NFZ24" s="535"/>
      <c r="NGA24" s="535"/>
      <c r="NGB24" s="535"/>
      <c r="NGC24" s="535"/>
      <c r="NGD24" s="535"/>
      <c r="NGE24" s="535"/>
      <c r="NGF24" s="535"/>
      <c r="NGG24" s="535"/>
      <c r="NGH24" s="535"/>
      <c r="NGI24" s="535"/>
      <c r="NGJ24" s="535"/>
      <c r="NGK24" s="535"/>
      <c r="NGL24" s="535"/>
      <c r="NGM24" s="535"/>
      <c r="NGN24" s="535"/>
      <c r="NGO24" s="535"/>
      <c r="NGP24" s="535"/>
      <c r="NGQ24" s="535"/>
      <c r="NGR24" s="535"/>
      <c r="NGS24" s="535"/>
      <c r="NGT24" s="535"/>
      <c r="NGU24" s="535"/>
      <c r="NGV24" s="535"/>
      <c r="NGW24" s="535"/>
      <c r="NGX24" s="535"/>
      <c r="NGY24" s="535"/>
      <c r="NGZ24" s="535"/>
      <c r="NHA24" s="535"/>
      <c r="NHB24" s="535"/>
      <c r="NHC24" s="535"/>
      <c r="NHD24" s="535"/>
      <c r="NHE24" s="535"/>
      <c r="NHF24" s="535"/>
      <c r="NHG24" s="535"/>
      <c r="NHH24" s="535"/>
      <c r="NHI24" s="535"/>
      <c r="NHJ24" s="535"/>
      <c r="NHK24" s="535"/>
      <c r="NHL24" s="535"/>
      <c r="NHM24" s="535"/>
      <c r="NHN24" s="535"/>
      <c r="NHO24" s="535"/>
      <c r="NHP24" s="535"/>
      <c r="NHQ24" s="535"/>
      <c r="NHR24" s="535"/>
      <c r="NHS24" s="535"/>
      <c r="NHT24" s="535"/>
      <c r="NHU24" s="535"/>
      <c r="NHV24" s="535"/>
      <c r="NHW24" s="535"/>
      <c r="NHX24" s="535"/>
      <c r="NHY24" s="535"/>
      <c r="NHZ24" s="535"/>
      <c r="NIA24" s="535"/>
      <c r="NIB24" s="535"/>
      <c r="NIC24" s="535"/>
      <c r="NID24" s="535"/>
      <c r="NIE24" s="535"/>
      <c r="NIF24" s="535"/>
      <c r="NIG24" s="535"/>
      <c r="NIH24" s="535"/>
      <c r="NII24" s="535"/>
      <c r="NIJ24" s="535"/>
      <c r="NIK24" s="535"/>
      <c r="NIL24" s="535"/>
      <c r="NIM24" s="535"/>
      <c r="NIN24" s="535"/>
      <c r="NIO24" s="535"/>
      <c r="NIP24" s="535"/>
      <c r="NIQ24" s="535"/>
      <c r="NIR24" s="535"/>
      <c r="NIS24" s="535"/>
      <c r="NIT24" s="535"/>
      <c r="NIU24" s="535"/>
      <c r="NIV24" s="535"/>
      <c r="NIW24" s="535"/>
      <c r="NIX24" s="535"/>
      <c r="NIY24" s="535"/>
      <c r="NIZ24" s="535"/>
      <c r="NJA24" s="535"/>
      <c r="NJB24" s="535"/>
      <c r="NJC24" s="535"/>
      <c r="NJD24" s="535"/>
      <c r="NJE24" s="535"/>
      <c r="NJF24" s="535"/>
      <c r="NJG24" s="535"/>
      <c r="NJH24" s="535"/>
      <c r="NJI24" s="535"/>
      <c r="NJJ24" s="535"/>
      <c r="NJK24" s="535"/>
      <c r="NJL24" s="535"/>
      <c r="NJM24" s="535"/>
      <c r="NJN24" s="535"/>
      <c r="NJO24" s="535"/>
      <c r="NJP24" s="535"/>
      <c r="NJQ24" s="535"/>
      <c r="NJR24" s="535"/>
      <c r="NJS24" s="535"/>
      <c r="NJT24" s="535"/>
      <c r="NJU24" s="535"/>
      <c r="NJV24" s="535"/>
      <c r="NJW24" s="535"/>
      <c r="NJX24" s="535"/>
      <c r="NJY24" s="535"/>
      <c r="NJZ24" s="535"/>
      <c r="NKA24" s="535"/>
      <c r="NKB24" s="535"/>
      <c r="NKC24" s="535"/>
      <c r="NKD24" s="535"/>
      <c r="NKE24" s="535"/>
      <c r="NKF24" s="535"/>
      <c r="NKG24" s="535"/>
      <c r="NKH24" s="535"/>
      <c r="NKI24" s="535"/>
      <c r="NKJ24" s="535"/>
      <c r="NKK24" s="535"/>
      <c r="NKL24" s="535"/>
      <c r="NKM24" s="535"/>
      <c r="NKN24" s="535"/>
      <c r="NKO24" s="535"/>
      <c r="NKP24" s="535"/>
      <c r="NKQ24" s="535"/>
      <c r="NKR24" s="535"/>
      <c r="NKS24" s="535"/>
      <c r="NKT24" s="535"/>
      <c r="NKU24" s="535"/>
      <c r="NKV24" s="535"/>
      <c r="NKW24" s="535"/>
      <c r="NKX24" s="535"/>
      <c r="NKY24" s="535"/>
      <c r="NKZ24" s="535"/>
      <c r="NLA24" s="535"/>
      <c r="NLB24" s="535"/>
      <c r="NLC24" s="535"/>
      <c r="NLD24" s="535"/>
      <c r="NLE24" s="535"/>
      <c r="NLF24" s="535"/>
      <c r="NLG24" s="535"/>
      <c r="NLH24" s="535"/>
      <c r="NLI24" s="535"/>
      <c r="NLJ24" s="535"/>
      <c r="NLK24" s="535"/>
      <c r="NLL24" s="535"/>
      <c r="NLM24" s="535"/>
      <c r="NLN24" s="535"/>
      <c r="NLO24" s="535"/>
      <c r="NLP24" s="535"/>
      <c r="NLQ24" s="535"/>
      <c r="NLR24" s="535"/>
      <c r="NLS24" s="535"/>
      <c r="NLT24" s="535"/>
      <c r="NLU24" s="535"/>
      <c r="NLV24" s="535"/>
      <c r="NLW24" s="535"/>
      <c r="NLX24" s="535"/>
      <c r="NLY24" s="535"/>
      <c r="NLZ24" s="535"/>
      <c r="NMA24" s="535"/>
      <c r="NMB24" s="535"/>
      <c r="NMC24" s="535"/>
      <c r="NMD24" s="535"/>
      <c r="NME24" s="535"/>
      <c r="NMF24" s="535"/>
      <c r="NMG24" s="535"/>
      <c r="NMH24" s="535"/>
      <c r="NMI24" s="535"/>
      <c r="NMJ24" s="535"/>
      <c r="NMK24" s="535"/>
      <c r="NML24" s="535"/>
      <c r="NMM24" s="535"/>
      <c r="NMN24" s="535"/>
      <c r="NMO24" s="535"/>
      <c r="NMP24" s="535"/>
      <c r="NMQ24" s="535"/>
      <c r="NMR24" s="535"/>
      <c r="NMS24" s="535"/>
      <c r="NMT24" s="535"/>
      <c r="NMU24" s="535"/>
      <c r="NMV24" s="535"/>
      <c r="NMW24" s="535"/>
      <c r="NMX24" s="535"/>
      <c r="NMY24" s="535"/>
      <c r="NMZ24" s="535"/>
      <c r="NNA24" s="535"/>
      <c r="NNB24" s="535"/>
      <c r="NNC24" s="535"/>
      <c r="NND24" s="535"/>
      <c r="NNE24" s="535"/>
      <c r="NNF24" s="535"/>
      <c r="NNG24" s="535"/>
      <c r="NNH24" s="535"/>
      <c r="NNI24" s="535"/>
      <c r="NNJ24" s="535"/>
      <c r="NNK24" s="535"/>
      <c r="NNL24" s="535"/>
      <c r="NNM24" s="535"/>
      <c r="NNN24" s="535"/>
      <c r="NNO24" s="535"/>
      <c r="NNP24" s="535"/>
      <c r="NNQ24" s="535"/>
      <c r="NNR24" s="535"/>
      <c r="NNS24" s="535"/>
      <c r="NNT24" s="535"/>
      <c r="NNU24" s="535"/>
      <c r="NNV24" s="535"/>
      <c r="NNW24" s="535"/>
      <c r="NNX24" s="535"/>
      <c r="NNY24" s="535"/>
      <c r="NNZ24" s="535"/>
      <c r="NOA24" s="535"/>
      <c r="NOB24" s="535"/>
      <c r="NOC24" s="535"/>
      <c r="NOD24" s="535"/>
      <c r="NOE24" s="535"/>
      <c r="NOF24" s="535"/>
      <c r="NOG24" s="535"/>
      <c r="NOH24" s="535"/>
      <c r="NOI24" s="535"/>
      <c r="NOJ24" s="535"/>
      <c r="NOK24" s="535"/>
      <c r="NOL24" s="535"/>
      <c r="NOM24" s="535"/>
      <c r="NON24" s="535"/>
      <c r="NOO24" s="535"/>
      <c r="NOP24" s="535"/>
      <c r="NOQ24" s="535"/>
      <c r="NOR24" s="535"/>
      <c r="NOS24" s="535"/>
      <c r="NOT24" s="535"/>
      <c r="NOU24" s="535"/>
      <c r="NOV24" s="535"/>
      <c r="NOW24" s="535"/>
      <c r="NOX24" s="535"/>
      <c r="NOY24" s="535"/>
      <c r="NOZ24" s="535"/>
      <c r="NPA24" s="535"/>
      <c r="NPB24" s="535"/>
      <c r="NPC24" s="535"/>
      <c r="NPD24" s="535"/>
      <c r="NPE24" s="535"/>
      <c r="NPF24" s="535"/>
      <c r="NPG24" s="535"/>
      <c r="NPH24" s="535"/>
      <c r="NPI24" s="535"/>
      <c r="NPJ24" s="535"/>
      <c r="NPK24" s="535"/>
      <c r="NPL24" s="535"/>
      <c r="NPM24" s="535"/>
      <c r="NPN24" s="535"/>
      <c r="NPO24" s="535"/>
      <c r="NPP24" s="535"/>
      <c r="NPQ24" s="535"/>
      <c r="NPR24" s="535"/>
      <c r="NPS24" s="535"/>
      <c r="NPT24" s="535"/>
      <c r="NPU24" s="535"/>
      <c r="NPV24" s="535"/>
      <c r="NPW24" s="535"/>
      <c r="NPX24" s="535"/>
      <c r="NPY24" s="535"/>
      <c r="NPZ24" s="535"/>
      <c r="NQA24" s="535"/>
      <c r="NQB24" s="535"/>
      <c r="NQC24" s="535"/>
      <c r="NQD24" s="535"/>
      <c r="NQE24" s="535"/>
      <c r="NQF24" s="535"/>
      <c r="NQG24" s="535"/>
      <c r="NQH24" s="535"/>
      <c r="NQI24" s="535"/>
      <c r="NQJ24" s="535"/>
      <c r="NQK24" s="535"/>
      <c r="NQL24" s="535"/>
      <c r="NQM24" s="535"/>
      <c r="NQN24" s="535"/>
      <c r="NQO24" s="535"/>
      <c r="NQP24" s="535"/>
      <c r="NQQ24" s="535"/>
      <c r="NQR24" s="535"/>
      <c r="NQS24" s="535"/>
      <c r="NQT24" s="535"/>
      <c r="NQU24" s="535"/>
      <c r="NQV24" s="535"/>
      <c r="NQW24" s="535"/>
      <c r="NQX24" s="535"/>
      <c r="NQY24" s="535"/>
      <c r="NQZ24" s="535"/>
      <c r="NRA24" s="535"/>
      <c r="NRB24" s="535"/>
      <c r="NRC24" s="535"/>
      <c r="NRD24" s="535"/>
      <c r="NRE24" s="535"/>
      <c r="NRF24" s="535"/>
      <c r="NRG24" s="535"/>
      <c r="NRH24" s="535"/>
      <c r="NRI24" s="535"/>
      <c r="NRJ24" s="535"/>
      <c r="NRK24" s="535"/>
      <c r="NRL24" s="535"/>
      <c r="NRM24" s="535"/>
      <c r="NRN24" s="535"/>
      <c r="NRO24" s="535"/>
      <c r="NRP24" s="535"/>
      <c r="NRQ24" s="535"/>
      <c r="NRR24" s="535"/>
      <c r="NRS24" s="535"/>
      <c r="NRT24" s="535"/>
      <c r="NRU24" s="535"/>
      <c r="NRV24" s="535"/>
      <c r="NRW24" s="535"/>
      <c r="NRX24" s="535"/>
      <c r="NRY24" s="535"/>
      <c r="NRZ24" s="535"/>
      <c r="NSA24" s="535"/>
      <c r="NSB24" s="535"/>
      <c r="NSC24" s="535"/>
      <c r="NSD24" s="535"/>
      <c r="NSE24" s="535"/>
      <c r="NSF24" s="535"/>
      <c r="NSG24" s="535"/>
      <c r="NSH24" s="535"/>
      <c r="NSI24" s="535"/>
      <c r="NSJ24" s="535"/>
      <c r="NSK24" s="535"/>
      <c r="NSL24" s="535"/>
      <c r="NSM24" s="535"/>
      <c r="NSN24" s="535"/>
      <c r="NSO24" s="535"/>
      <c r="NSP24" s="535"/>
      <c r="NSQ24" s="535"/>
      <c r="NSR24" s="535"/>
      <c r="NSS24" s="535"/>
      <c r="NST24" s="535"/>
      <c r="NSU24" s="535"/>
      <c r="NSV24" s="535"/>
      <c r="NSW24" s="535"/>
      <c r="NSX24" s="535"/>
      <c r="NSY24" s="535"/>
      <c r="NSZ24" s="535"/>
      <c r="NTA24" s="535"/>
      <c r="NTB24" s="535"/>
      <c r="NTC24" s="535"/>
      <c r="NTD24" s="535"/>
      <c r="NTE24" s="535"/>
      <c r="NTF24" s="535"/>
      <c r="NTG24" s="535"/>
      <c r="NTH24" s="535"/>
      <c r="NTI24" s="535"/>
      <c r="NTJ24" s="535"/>
      <c r="NTK24" s="535"/>
      <c r="NTL24" s="535"/>
      <c r="NTM24" s="535"/>
      <c r="NTN24" s="535"/>
      <c r="NTO24" s="535"/>
      <c r="NTP24" s="535"/>
      <c r="NTQ24" s="535"/>
      <c r="NTR24" s="535"/>
      <c r="NTS24" s="535"/>
      <c r="NTT24" s="535"/>
      <c r="NTU24" s="535"/>
      <c r="NTV24" s="535"/>
      <c r="NTW24" s="535"/>
      <c r="NTX24" s="535"/>
      <c r="NTY24" s="535"/>
      <c r="NTZ24" s="535"/>
      <c r="NUA24" s="535"/>
      <c r="NUB24" s="535"/>
      <c r="NUC24" s="535"/>
      <c r="NUD24" s="535"/>
      <c r="NUE24" s="535"/>
      <c r="NUF24" s="535"/>
      <c r="NUG24" s="535"/>
      <c r="NUH24" s="535"/>
      <c r="NUI24" s="535"/>
      <c r="NUJ24" s="535"/>
      <c r="NUK24" s="535"/>
      <c r="NUL24" s="535"/>
      <c r="NUM24" s="535"/>
      <c r="NUN24" s="535"/>
      <c r="NUO24" s="535"/>
      <c r="NUP24" s="535"/>
      <c r="NUQ24" s="535"/>
      <c r="NUR24" s="535"/>
      <c r="NUS24" s="535"/>
      <c r="NUT24" s="535"/>
      <c r="NUU24" s="535"/>
      <c r="NUV24" s="535"/>
      <c r="NUW24" s="535"/>
      <c r="NUX24" s="535"/>
      <c r="NUY24" s="535"/>
      <c r="NUZ24" s="535"/>
      <c r="NVA24" s="535"/>
      <c r="NVB24" s="535"/>
      <c r="NVC24" s="535"/>
      <c r="NVD24" s="535"/>
      <c r="NVE24" s="535"/>
      <c r="NVF24" s="535"/>
      <c r="NVG24" s="535"/>
      <c r="NVH24" s="535"/>
      <c r="NVI24" s="535"/>
      <c r="NVJ24" s="535"/>
      <c r="NVK24" s="535"/>
      <c r="NVL24" s="535"/>
      <c r="NVM24" s="535"/>
      <c r="NVN24" s="535"/>
      <c r="NVO24" s="535"/>
      <c r="NVP24" s="535"/>
      <c r="NVQ24" s="535"/>
      <c r="NVR24" s="535"/>
      <c r="NVS24" s="535"/>
      <c r="NVT24" s="535"/>
      <c r="NVU24" s="535"/>
      <c r="NVV24" s="535"/>
      <c r="NVW24" s="535"/>
      <c r="NVX24" s="535"/>
      <c r="NVY24" s="535"/>
      <c r="NVZ24" s="535"/>
      <c r="NWA24" s="535"/>
      <c r="NWB24" s="535"/>
      <c r="NWC24" s="535"/>
      <c r="NWD24" s="535"/>
      <c r="NWE24" s="535"/>
      <c r="NWF24" s="535"/>
      <c r="NWG24" s="535"/>
      <c r="NWH24" s="535"/>
      <c r="NWI24" s="535"/>
      <c r="NWJ24" s="535"/>
      <c r="NWK24" s="535"/>
      <c r="NWL24" s="535"/>
      <c r="NWM24" s="535"/>
      <c r="NWN24" s="535"/>
      <c r="NWO24" s="535"/>
      <c r="NWP24" s="535"/>
      <c r="NWQ24" s="535"/>
      <c r="NWR24" s="535"/>
      <c r="NWS24" s="535"/>
      <c r="NWT24" s="535"/>
      <c r="NWU24" s="535"/>
      <c r="NWV24" s="535"/>
      <c r="NWW24" s="535"/>
      <c r="NWX24" s="535"/>
      <c r="NWY24" s="535"/>
      <c r="NWZ24" s="535"/>
      <c r="NXA24" s="535"/>
      <c r="NXB24" s="535"/>
      <c r="NXC24" s="535"/>
      <c r="NXD24" s="535"/>
      <c r="NXE24" s="535"/>
      <c r="NXF24" s="535"/>
      <c r="NXG24" s="535"/>
      <c r="NXH24" s="535"/>
      <c r="NXI24" s="535"/>
      <c r="NXJ24" s="535"/>
      <c r="NXK24" s="535"/>
      <c r="NXL24" s="535"/>
      <c r="NXM24" s="535"/>
      <c r="NXN24" s="535"/>
      <c r="NXO24" s="535"/>
      <c r="NXP24" s="535"/>
      <c r="NXQ24" s="535"/>
      <c r="NXR24" s="535"/>
      <c r="NXS24" s="535"/>
      <c r="NXT24" s="535"/>
      <c r="NXU24" s="535"/>
      <c r="NXV24" s="535"/>
      <c r="NXW24" s="535"/>
      <c r="NXX24" s="535"/>
      <c r="NXY24" s="535"/>
      <c r="NXZ24" s="535"/>
      <c r="NYA24" s="535"/>
      <c r="NYB24" s="535"/>
      <c r="NYC24" s="535"/>
      <c r="NYD24" s="535"/>
      <c r="NYE24" s="535"/>
      <c r="NYF24" s="535"/>
      <c r="NYG24" s="535"/>
      <c r="NYH24" s="535"/>
      <c r="NYI24" s="535"/>
      <c r="NYJ24" s="535"/>
      <c r="NYK24" s="535"/>
      <c r="NYL24" s="535"/>
      <c r="NYM24" s="535"/>
      <c r="NYN24" s="535"/>
      <c r="NYO24" s="535"/>
      <c r="NYP24" s="535"/>
      <c r="NYQ24" s="535"/>
      <c r="NYR24" s="535"/>
      <c r="NYS24" s="535"/>
      <c r="NYT24" s="535"/>
      <c r="NYU24" s="535"/>
      <c r="NYV24" s="535"/>
      <c r="NYW24" s="535"/>
      <c r="NYX24" s="535"/>
      <c r="NYY24" s="535"/>
      <c r="NYZ24" s="535"/>
      <c r="NZA24" s="535"/>
      <c r="NZB24" s="535"/>
      <c r="NZC24" s="535"/>
      <c r="NZD24" s="535"/>
      <c r="NZE24" s="535"/>
      <c r="NZF24" s="535"/>
      <c r="NZG24" s="535"/>
      <c r="NZH24" s="535"/>
      <c r="NZI24" s="535"/>
      <c r="NZJ24" s="535"/>
      <c r="NZK24" s="535"/>
      <c r="NZL24" s="535"/>
      <c r="NZM24" s="535"/>
      <c r="NZN24" s="535"/>
      <c r="NZO24" s="535"/>
      <c r="NZP24" s="535"/>
      <c r="NZQ24" s="535"/>
      <c r="NZR24" s="535"/>
      <c r="NZS24" s="535"/>
      <c r="NZT24" s="535"/>
      <c r="NZU24" s="535"/>
      <c r="NZV24" s="535"/>
      <c r="NZW24" s="535"/>
      <c r="NZX24" s="535"/>
      <c r="NZY24" s="535"/>
      <c r="NZZ24" s="535"/>
      <c r="OAA24" s="535"/>
      <c r="OAB24" s="535"/>
      <c r="OAC24" s="535"/>
      <c r="OAD24" s="535"/>
      <c r="OAE24" s="535"/>
      <c r="OAF24" s="535"/>
      <c r="OAG24" s="535"/>
      <c r="OAH24" s="535"/>
      <c r="OAI24" s="535"/>
      <c r="OAJ24" s="535"/>
      <c r="OAK24" s="535"/>
      <c r="OAL24" s="535"/>
      <c r="OAM24" s="535"/>
      <c r="OAN24" s="535"/>
      <c r="OAO24" s="535"/>
      <c r="OAP24" s="535"/>
      <c r="OAQ24" s="535"/>
      <c r="OAR24" s="535"/>
      <c r="OAS24" s="535"/>
      <c r="OAT24" s="535"/>
      <c r="OAU24" s="535"/>
      <c r="OAV24" s="535"/>
      <c r="OAW24" s="535"/>
      <c r="OAX24" s="535"/>
      <c r="OAY24" s="535"/>
      <c r="OAZ24" s="535"/>
      <c r="OBA24" s="535"/>
      <c r="OBB24" s="535"/>
      <c r="OBC24" s="535"/>
      <c r="OBD24" s="535"/>
      <c r="OBE24" s="535"/>
      <c r="OBF24" s="535"/>
      <c r="OBG24" s="535"/>
      <c r="OBH24" s="535"/>
      <c r="OBI24" s="535"/>
      <c r="OBJ24" s="535"/>
      <c r="OBK24" s="535"/>
      <c r="OBL24" s="535"/>
      <c r="OBM24" s="535"/>
      <c r="OBN24" s="535"/>
      <c r="OBO24" s="535"/>
      <c r="OBP24" s="535"/>
      <c r="OBQ24" s="535"/>
      <c r="OBR24" s="535"/>
      <c r="OBS24" s="535"/>
      <c r="OBT24" s="535"/>
      <c r="OBU24" s="535"/>
      <c r="OBV24" s="535"/>
      <c r="OBW24" s="535"/>
      <c r="OBX24" s="535"/>
      <c r="OBY24" s="535"/>
      <c r="OBZ24" s="535"/>
      <c r="OCA24" s="535"/>
      <c r="OCB24" s="535"/>
      <c r="OCC24" s="535"/>
      <c r="OCD24" s="535"/>
      <c r="OCE24" s="535"/>
      <c r="OCF24" s="535"/>
      <c r="OCG24" s="535"/>
      <c r="OCH24" s="535"/>
      <c r="OCI24" s="535"/>
      <c r="OCJ24" s="535"/>
      <c r="OCK24" s="535"/>
      <c r="OCL24" s="535"/>
      <c r="OCM24" s="535"/>
      <c r="OCN24" s="535"/>
      <c r="OCO24" s="535"/>
      <c r="OCP24" s="535"/>
      <c r="OCQ24" s="535"/>
      <c r="OCR24" s="535"/>
      <c r="OCS24" s="535"/>
      <c r="OCT24" s="535"/>
      <c r="OCU24" s="535"/>
      <c r="OCV24" s="535"/>
      <c r="OCW24" s="535"/>
      <c r="OCX24" s="535"/>
      <c r="OCY24" s="535"/>
      <c r="OCZ24" s="535"/>
      <c r="ODA24" s="535"/>
      <c r="ODB24" s="535"/>
      <c r="ODC24" s="535"/>
      <c r="ODD24" s="535"/>
      <c r="ODE24" s="535"/>
      <c r="ODF24" s="535"/>
      <c r="ODG24" s="535"/>
      <c r="ODH24" s="535"/>
      <c r="ODI24" s="535"/>
      <c r="ODJ24" s="535"/>
      <c r="ODK24" s="535"/>
      <c r="ODL24" s="535"/>
      <c r="ODM24" s="535"/>
      <c r="ODN24" s="535"/>
      <c r="ODO24" s="535"/>
      <c r="ODP24" s="535"/>
      <c r="ODQ24" s="535"/>
      <c r="ODR24" s="535"/>
      <c r="ODS24" s="535"/>
      <c r="ODT24" s="535"/>
      <c r="ODU24" s="535"/>
      <c r="ODV24" s="535"/>
      <c r="ODW24" s="535"/>
      <c r="ODX24" s="535"/>
      <c r="ODY24" s="535"/>
      <c r="ODZ24" s="535"/>
      <c r="OEA24" s="535"/>
      <c r="OEB24" s="535"/>
      <c r="OEC24" s="535"/>
      <c r="OED24" s="535"/>
      <c r="OEE24" s="535"/>
      <c r="OEF24" s="535"/>
      <c r="OEG24" s="535"/>
      <c r="OEH24" s="535"/>
      <c r="OEI24" s="535"/>
      <c r="OEJ24" s="535"/>
      <c r="OEK24" s="535"/>
      <c r="OEL24" s="535"/>
      <c r="OEM24" s="535"/>
      <c r="OEN24" s="535"/>
      <c r="OEO24" s="535"/>
      <c r="OEP24" s="535"/>
      <c r="OEQ24" s="535"/>
      <c r="OER24" s="535"/>
      <c r="OES24" s="535"/>
      <c r="OET24" s="535"/>
      <c r="OEU24" s="535"/>
      <c r="OEV24" s="535"/>
      <c r="OEW24" s="535"/>
      <c r="OEX24" s="535"/>
      <c r="OEY24" s="535"/>
      <c r="OEZ24" s="535"/>
      <c r="OFA24" s="535"/>
      <c r="OFB24" s="535"/>
      <c r="OFC24" s="535"/>
      <c r="OFD24" s="535"/>
      <c r="OFE24" s="535"/>
      <c r="OFF24" s="535"/>
      <c r="OFG24" s="535"/>
      <c r="OFH24" s="535"/>
      <c r="OFI24" s="535"/>
      <c r="OFJ24" s="535"/>
      <c r="OFK24" s="535"/>
      <c r="OFL24" s="535"/>
      <c r="OFM24" s="535"/>
      <c r="OFN24" s="535"/>
      <c r="OFO24" s="535"/>
      <c r="OFP24" s="535"/>
      <c r="OFQ24" s="535"/>
      <c r="OFR24" s="535"/>
      <c r="OFS24" s="535"/>
      <c r="OFT24" s="535"/>
      <c r="OFU24" s="535"/>
      <c r="OFV24" s="535"/>
      <c r="OFW24" s="535"/>
      <c r="OFX24" s="535"/>
      <c r="OFY24" s="535"/>
      <c r="OFZ24" s="535"/>
      <c r="OGA24" s="535"/>
      <c r="OGB24" s="535"/>
      <c r="OGC24" s="535"/>
      <c r="OGD24" s="535"/>
      <c r="OGE24" s="535"/>
      <c r="OGF24" s="535"/>
      <c r="OGG24" s="535"/>
      <c r="OGH24" s="535"/>
      <c r="OGI24" s="535"/>
      <c r="OGJ24" s="535"/>
      <c r="OGK24" s="535"/>
      <c r="OGL24" s="535"/>
      <c r="OGM24" s="535"/>
      <c r="OGN24" s="535"/>
      <c r="OGO24" s="535"/>
      <c r="OGP24" s="535"/>
      <c r="OGQ24" s="535"/>
      <c r="OGR24" s="535"/>
      <c r="OGS24" s="535"/>
      <c r="OGT24" s="535"/>
      <c r="OGU24" s="535"/>
      <c r="OGV24" s="535"/>
      <c r="OGW24" s="535"/>
      <c r="OGX24" s="535"/>
      <c r="OGY24" s="535"/>
      <c r="OGZ24" s="535"/>
      <c r="OHA24" s="535"/>
      <c r="OHB24" s="535"/>
      <c r="OHC24" s="535"/>
      <c r="OHD24" s="535"/>
      <c r="OHE24" s="535"/>
      <c r="OHF24" s="535"/>
      <c r="OHG24" s="535"/>
      <c r="OHH24" s="535"/>
      <c r="OHI24" s="535"/>
      <c r="OHJ24" s="535"/>
      <c r="OHK24" s="535"/>
      <c r="OHL24" s="535"/>
      <c r="OHM24" s="535"/>
      <c r="OHN24" s="535"/>
      <c r="OHO24" s="535"/>
      <c r="OHP24" s="535"/>
      <c r="OHQ24" s="535"/>
      <c r="OHR24" s="535"/>
      <c r="OHS24" s="535"/>
      <c r="OHT24" s="535"/>
      <c r="OHU24" s="535"/>
      <c r="OHV24" s="535"/>
      <c r="OHW24" s="535"/>
      <c r="OHX24" s="535"/>
      <c r="OHY24" s="535"/>
      <c r="OHZ24" s="535"/>
      <c r="OIA24" s="535"/>
      <c r="OIB24" s="535"/>
      <c r="OIC24" s="535"/>
      <c r="OID24" s="535"/>
      <c r="OIE24" s="535"/>
      <c r="OIF24" s="535"/>
      <c r="OIG24" s="535"/>
      <c r="OIH24" s="535"/>
      <c r="OII24" s="535"/>
      <c r="OIJ24" s="535"/>
      <c r="OIK24" s="535"/>
      <c r="OIL24" s="535"/>
      <c r="OIM24" s="535"/>
      <c r="OIN24" s="535"/>
      <c r="OIO24" s="535"/>
      <c r="OIP24" s="535"/>
      <c r="OIQ24" s="535"/>
      <c r="OIR24" s="535"/>
      <c r="OIS24" s="535"/>
      <c r="OIT24" s="535"/>
      <c r="OIU24" s="535"/>
      <c r="OIV24" s="535"/>
      <c r="OIW24" s="535"/>
      <c r="OIX24" s="535"/>
      <c r="OIY24" s="535"/>
      <c r="OIZ24" s="535"/>
      <c r="OJA24" s="535"/>
      <c r="OJB24" s="535"/>
      <c r="OJC24" s="535"/>
      <c r="OJD24" s="535"/>
      <c r="OJE24" s="535"/>
      <c r="OJF24" s="535"/>
      <c r="OJG24" s="535"/>
      <c r="OJH24" s="535"/>
      <c r="OJI24" s="535"/>
      <c r="OJJ24" s="535"/>
      <c r="OJK24" s="535"/>
      <c r="OJL24" s="535"/>
      <c r="OJM24" s="535"/>
      <c r="OJN24" s="535"/>
      <c r="OJO24" s="535"/>
      <c r="OJP24" s="535"/>
      <c r="OJQ24" s="535"/>
      <c r="OJR24" s="535"/>
      <c r="OJS24" s="535"/>
      <c r="OJT24" s="535"/>
      <c r="OJU24" s="535"/>
      <c r="OJV24" s="535"/>
      <c r="OJW24" s="535"/>
      <c r="OJX24" s="535"/>
      <c r="OJY24" s="535"/>
      <c r="OJZ24" s="535"/>
      <c r="OKA24" s="535"/>
      <c r="OKB24" s="535"/>
      <c r="OKC24" s="535"/>
      <c r="OKD24" s="535"/>
      <c r="OKE24" s="535"/>
      <c r="OKF24" s="535"/>
      <c r="OKG24" s="535"/>
      <c r="OKH24" s="535"/>
      <c r="OKI24" s="535"/>
      <c r="OKJ24" s="535"/>
      <c r="OKK24" s="535"/>
      <c r="OKL24" s="535"/>
      <c r="OKM24" s="535"/>
      <c r="OKN24" s="535"/>
      <c r="OKO24" s="535"/>
      <c r="OKP24" s="535"/>
      <c r="OKQ24" s="535"/>
      <c r="OKR24" s="535"/>
      <c r="OKS24" s="535"/>
      <c r="OKT24" s="535"/>
      <c r="OKU24" s="535"/>
      <c r="OKV24" s="535"/>
      <c r="OKW24" s="535"/>
      <c r="OKX24" s="535"/>
      <c r="OKY24" s="535"/>
      <c r="OKZ24" s="535"/>
      <c r="OLA24" s="535"/>
      <c r="OLB24" s="535"/>
      <c r="OLC24" s="535"/>
      <c r="OLD24" s="535"/>
      <c r="OLE24" s="535"/>
      <c r="OLF24" s="535"/>
      <c r="OLG24" s="535"/>
      <c r="OLH24" s="535"/>
      <c r="OLI24" s="535"/>
      <c r="OLJ24" s="535"/>
      <c r="OLK24" s="535"/>
      <c r="OLL24" s="535"/>
      <c r="OLM24" s="535"/>
      <c r="OLN24" s="535"/>
      <c r="OLO24" s="535"/>
      <c r="OLP24" s="535"/>
      <c r="OLQ24" s="535"/>
      <c r="OLR24" s="535"/>
      <c r="OLS24" s="535"/>
      <c r="OLT24" s="535"/>
      <c r="OLU24" s="535"/>
      <c r="OLV24" s="535"/>
      <c r="OLW24" s="535"/>
      <c r="OLX24" s="535"/>
      <c r="OLY24" s="535"/>
      <c r="OLZ24" s="535"/>
      <c r="OMA24" s="535"/>
      <c r="OMB24" s="535"/>
      <c r="OMC24" s="535"/>
      <c r="OMD24" s="535"/>
      <c r="OME24" s="535"/>
      <c r="OMF24" s="535"/>
      <c r="OMG24" s="535"/>
      <c r="OMH24" s="535"/>
      <c r="OMI24" s="535"/>
      <c r="OMJ24" s="535"/>
      <c r="OMK24" s="535"/>
      <c r="OML24" s="535"/>
      <c r="OMM24" s="535"/>
      <c r="OMN24" s="535"/>
      <c r="OMO24" s="535"/>
      <c r="OMP24" s="535"/>
      <c r="OMQ24" s="535"/>
      <c r="OMR24" s="535"/>
      <c r="OMS24" s="535"/>
      <c r="OMT24" s="535"/>
      <c r="OMU24" s="535"/>
      <c r="OMV24" s="535"/>
      <c r="OMW24" s="535"/>
      <c r="OMX24" s="535"/>
      <c r="OMY24" s="535"/>
      <c r="OMZ24" s="535"/>
      <c r="ONA24" s="535"/>
      <c r="ONB24" s="535"/>
      <c r="ONC24" s="535"/>
      <c r="OND24" s="535"/>
      <c r="ONE24" s="535"/>
      <c r="ONF24" s="535"/>
      <c r="ONG24" s="535"/>
      <c r="ONH24" s="535"/>
      <c r="ONI24" s="535"/>
      <c r="ONJ24" s="535"/>
      <c r="ONK24" s="535"/>
      <c r="ONL24" s="535"/>
      <c r="ONM24" s="535"/>
      <c r="ONN24" s="535"/>
      <c r="ONO24" s="535"/>
      <c r="ONP24" s="535"/>
      <c r="ONQ24" s="535"/>
      <c r="ONR24" s="535"/>
      <c r="ONS24" s="535"/>
      <c r="ONT24" s="535"/>
      <c r="ONU24" s="535"/>
      <c r="ONV24" s="535"/>
      <c r="ONW24" s="535"/>
      <c r="ONX24" s="535"/>
      <c r="ONY24" s="535"/>
      <c r="ONZ24" s="535"/>
      <c r="OOA24" s="535"/>
      <c r="OOB24" s="535"/>
      <c r="OOC24" s="535"/>
      <c r="OOD24" s="535"/>
      <c r="OOE24" s="535"/>
      <c r="OOF24" s="535"/>
      <c r="OOG24" s="535"/>
      <c r="OOH24" s="535"/>
      <c r="OOI24" s="535"/>
      <c r="OOJ24" s="535"/>
      <c r="OOK24" s="535"/>
      <c r="OOL24" s="535"/>
      <c r="OOM24" s="535"/>
      <c r="OON24" s="535"/>
      <c r="OOO24" s="535"/>
      <c r="OOP24" s="535"/>
      <c r="OOQ24" s="535"/>
      <c r="OOR24" s="535"/>
      <c r="OOS24" s="535"/>
      <c r="OOT24" s="535"/>
      <c r="OOU24" s="535"/>
      <c r="OOV24" s="535"/>
      <c r="OOW24" s="535"/>
      <c r="OOX24" s="535"/>
      <c r="OOY24" s="535"/>
      <c r="OOZ24" s="535"/>
      <c r="OPA24" s="535"/>
      <c r="OPB24" s="535"/>
      <c r="OPC24" s="535"/>
      <c r="OPD24" s="535"/>
      <c r="OPE24" s="535"/>
      <c r="OPF24" s="535"/>
      <c r="OPG24" s="535"/>
      <c r="OPH24" s="535"/>
      <c r="OPI24" s="535"/>
      <c r="OPJ24" s="535"/>
      <c r="OPK24" s="535"/>
      <c r="OPL24" s="535"/>
      <c r="OPM24" s="535"/>
      <c r="OPN24" s="535"/>
      <c r="OPO24" s="535"/>
      <c r="OPP24" s="535"/>
      <c r="OPQ24" s="535"/>
      <c r="OPR24" s="535"/>
      <c r="OPS24" s="535"/>
      <c r="OPT24" s="535"/>
      <c r="OPU24" s="535"/>
      <c r="OPV24" s="535"/>
      <c r="OPW24" s="535"/>
      <c r="OPX24" s="535"/>
      <c r="OPY24" s="535"/>
      <c r="OPZ24" s="535"/>
      <c r="OQA24" s="535"/>
      <c r="OQB24" s="535"/>
      <c r="OQC24" s="535"/>
      <c r="OQD24" s="535"/>
      <c r="OQE24" s="535"/>
      <c r="OQF24" s="535"/>
      <c r="OQG24" s="535"/>
      <c r="OQH24" s="535"/>
      <c r="OQI24" s="535"/>
      <c r="OQJ24" s="535"/>
      <c r="OQK24" s="535"/>
      <c r="OQL24" s="535"/>
      <c r="OQM24" s="535"/>
      <c r="OQN24" s="535"/>
      <c r="OQO24" s="535"/>
      <c r="OQP24" s="535"/>
      <c r="OQQ24" s="535"/>
      <c r="OQR24" s="535"/>
      <c r="OQS24" s="535"/>
      <c r="OQT24" s="535"/>
      <c r="OQU24" s="535"/>
      <c r="OQV24" s="535"/>
      <c r="OQW24" s="535"/>
      <c r="OQX24" s="535"/>
      <c r="OQY24" s="535"/>
      <c r="OQZ24" s="535"/>
      <c r="ORA24" s="535"/>
      <c r="ORB24" s="535"/>
      <c r="ORC24" s="535"/>
      <c r="ORD24" s="535"/>
      <c r="ORE24" s="535"/>
      <c r="ORF24" s="535"/>
      <c r="ORG24" s="535"/>
      <c r="ORH24" s="535"/>
      <c r="ORI24" s="535"/>
      <c r="ORJ24" s="535"/>
      <c r="ORK24" s="535"/>
      <c r="ORL24" s="535"/>
      <c r="ORM24" s="535"/>
      <c r="ORN24" s="535"/>
      <c r="ORO24" s="535"/>
      <c r="ORP24" s="535"/>
      <c r="ORQ24" s="535"/>
      <c r="ORR24" s="535"/>
      <c r="ORS24" s="535"/>
      <c r="ORT24" s="535"/>
      <c r="ORU24" s="535"/>
      <c r="ORV24" s="535"/>
      <c r="ORW24" s="535"/>
      <c r="ORX24" s="535"/>
      <c r="ORY24" s="535"/>
      <c r="ORZ24" s="535"/>
      <c r="OSA24" s="535"/>
      <c r="OSB24" s="535"/>
      <c r="OSC24" s="535"/>
      <c r="OSD24" s="535"/>
      <c r="OSE24" s="535"/>
      <c r="OSF24" s="535"/>
      <c r="OSG24" s="535"/>
      <c r="OSH24" s="535"/>
      <c r="OSI24" s="535"/>
      <c r="OSJ24" s="535"/>
      <c r="OSK24" s="535"/>
      <c r="OSL24" s="535"/>
      <c r="OSM24" s="535"/>
      <c r="OSN24" s="535"/>
      <c r="OSO24" s="535"/>
      <c r="OSP24" s="535"/>
      <c r="OSQ24" s="535"/>
      <c r="OSR24" s="535"/>
      <c r="OSS24" s="535"/>
      <c r="OST24" s="535"/>
      <c r="OSU24" s="535"/>
      <c r="OSV24" s="535"/>
      <c r="OSW24" s="535"/>
      <c r="OSX24" s="535"/>
      <c r="OSY24" s="535"/>
      <c r="OSZ24" s="535"/>
      <c r="OTA24" s="535"/>
      <c r="OTB24" s="535"/>
      <c r="OTC24" s="535"/>
      <c r="OTD24" s="535"/>
      <c r="OTE24" s="535"/>
      <c r="OTF24" s="535"/>
      <c r="OTG24" s="535"/>
      <c r="OTH24" s="535"/>
      <c r="OTI24" s="535"/>
      <c r="OTJ24" s="535"/>
      <c r="OTK24" s="535"/>
      <c r="OTL24" s="535"/>
      <c r="OTM24" s="535"/>
      <c r="OTN24" s="535"/>
      <c r="OTO24" s="535"/>
      <c r="OTP24" s="535"/>
      <c r="OTQ24" s="535"/>
      <c r="OTR24" s="535"/>
      <c r="OTS24" s="535"/>
      <c r="OTT24" s="535"/>
      <c r="OTU24" s="535"/>
      <c r="OTV24" s="535"/>
      <c r="OTW24" s="535"/>
      <c r="OTX24" s="535"/>
      <c r="OTY24" s="535"/>
      <c r="OTZ24" s="535"/>
      <c r="OUA24" s="535"/>
      <c r="OUB24" s="535"/>
      <c r="OUC24" s="535"/>
      <c r="OUD24" s="535"/>
      <c r="OUE24" s="535"/>
      <c r="OUF24" s="535"/>
      <c r="OUG24" s="535"/>
      <c r="OUH24" s="535"/>
      <c r="OUI24" s="535"/>
      <c r="OUJ24" s="535"/>
      <c r="OUK24" s="535"/>
      <c r="OUL24" s="535"/>
      <c r="OUM24" s="535"/>
      <c r="OUN24" s="535"/>
      <c r="OUO24" s="535"/>
      <c r="OUP24" s="535"/>
      <c r="OUQ24" s="535"/>
      <c r="OUR24" s="535"/>
      <c r="OUS24" s="535"/>
      <c r="OUT24" s="535"/>
      <c r="OUU24" s="535"/>
      <c r="OUV24" s="535"/>
      <c r="OUW24" s="535"/>
      <c r="OUX24" s="535"/>
      <c r="OUY24" s="535"/>
      <c r="OUZ24" s="535"/>
      <c r="OVA24" s="535"/>
      <c r="OVB24" s="535"/>
      <c r="OVC24" s="535"/>
      <c r="OVD24" s="535"/>
      <c r="OVE24" s="535"/>
      <c r="OVF24" s="535"/>
      <c r="OVG24" s="535"/>
      <c r="OVH24" s="535"/>
      <c r="OVI24" s="535"/>
      <c r="OVJ24" s="535"/>
      <c r="OVK24" s="535"/>
      <c r="OVL24" s="535"/>
      <c r="OVM24" s="535"/>
      <c r="OVN24" s="535"/>
      <c r="OVO24" s="535"/>
      <c r="OVP24" s="535"/>
      <c r="OVQ24" s="535"/>
      <c r="OVR24" s="535"/>
      <c r="OVS24" s="535"/>
      <c r="OVT24" s="535"/>
      <c r="OVU24" s="535"/>
      <c r="OVV24" s="535"/>
      <c r="OVW24" s="535"/>
      <c r="OVX24" s="535"/>
      <c r="OVY24" s="535"/>
      <c r="OVZ24" s="535"/>
      <c r="OWA24" s="535"/>
      <c r="OWB24" s="535"/>
      <c r="OWC24" s="535"/>
      <c r="OWD24" s="535"/>
      <c r="OWE24" s="535"/>
      <c r="OWF24" s="535"/>
      <c r="OWG24" s="535"/>
      <c r="OWH24" s="535"/>
      <c r="OWI24" s="535"/>
      <c r="OWJ24" s="535"/>
      <c r="OWK24" s="535"/>
      <c r="OWL24" s="535"/>
      <c r="OWM24" s="535"/>
      <c r="OWN24" s="535"/>
      <c r="OWO24" s="535"/>
      <c r="OWP24" s="535"/>
      <c r="OWQ24" s="535"/>
      <c r="OWR24" s="535"/>
      <c r="OWS24" s="535"/>
      <c r="OWT24" s="535"/>
      <c r="OWU24" s="535"/>
      <c r="OWV24" s="535"/>
      <c r="OWW24" s="535"/>
      <c r="OWX24" s="535"/>
      <c r="OWY24" s="535"/>
      <c r="OWZ24" s="535"/>
      <c r="OXA24" s="535"/>
      <c r="OXB24" s="535"/>
      <c r="OXC24" s="535"/>
      <c r="OXD24" s="535"/>
      <c r="OXE24" s="535"/>
      <c r="OXF24" s="535"/>
      <c r="OXG24" s="535"/>
      <c r="OXH24" s="535"/>
      <c r="OXI24" s="535"/>
      <c r="OXJ24" s="535"/>
      <c r="OXK24" s="535"/>
      <c r="OXL24" s="535"/>
      <c r="OXM24" s="535"/>
      <c r="OXN24" s="535"/>
      <c r="OXO24" s="535"/>
      <c r="OXP24" s="535"/>
      <c r="OXQ24" s="535"/>
      <c r="OXR24" s="535"/>
      <c r="OXS24" s="535"/>
      <c r="OXT24" s="535"/>
      <c r="OXU24" s="535"/>
      <c r="OXV24" s="535"/>
      <c r="OXW24" s="535"/>
      <c r="OXX24" s="535"/>
      <c r="OXY24" s="535"/>
      <c r="OXZ24" s="535"/>
      <c r="OYA24" s="535"/>
      <c r="OYB24" s="535"/>
      <c r="OYC24" s="535"/>
      <c r="OYD24" s="535"/>
      <c r="OYE24" s="535"/>
      <c r="OYF24" s="535"/>
      <c r="OYG24" s="535"/>
      <c r="OYH24" s="535"/>
      <c r="OYI24" s="535"/>
      <c r="OYJ24" s="535"/>
      <c r="OYK24" s="535"/>
      <c r="OYL24" s="535"/>
      <c r="OYM24" s="535"/>
      <c r="OYN24" s="535"/>
      <c r="OYO24" s="535"/>
      <c r="OYP24" s="535"/>
      <c r="OYQ24" s="535"/>
      <c r="OYR24" s="535"/>
      <c r="OYS24" s="535"/>
      <c r="OYT24" s="535"/>
      <c r="OYU24" s="535"/>
      <c r="OYV24" s="535"/>
      <c r="OYW24" s="535"/>
      <c r="OYX24" s="535"/>
      <c r="OYY24" s="535"/>
      <c r="OYZ24" s="535"/>
      <c r="OZA24" s="535"/>
      <c r="OZB24" s="535"/>
      <c r="OZC24" s="535"/>
      <c r="OZD24" s="535"/>
      <c r="OZE24" s="535"/>
      <c r="OZF24" s="535"/>
      <c r="OZG24" s="535"/>
      <c r="OZH24" s="535"/>
      <c r="OZI24" s="535"/>
      <c r="OZJ24" s="535"/>
      <c r="OZK24" s="535"/>
      <c r="OZL24" s="535"/>
      <c r="OZM24" s="535"/>
      <c r="OZN24" s="535"/>
      <c r="OZO24" s="535"/>
      <c r="OZP24" s="535"/>
      <c r="OZQ24" s="535"/>
      <c r="OZR24" s="535"/>
      <c r="OZS24" s="535"/>
      <c r="OZT24" s="535"/>
      <c r="OZU24" s="535"/>
      <c r="OZV24" s="535"/>
      <c r="OZW24" s="535"/>
      <c r="OZX24" s="535"/>
      <c r="OZY24" s="535"/>
      <c r="OZZ24" s="535"/>
      <c r="PAA24" s="535"/>
      <c r="PAB24" s="535"/>
      <c r="PAC24" s="535"/>
      <c r="PAD24" s="535"/>
      <c r="PAE24" s="535"/>
      <c r="PAF24" s="535"/>
      <c r="PAG24" s="535"/>
      <c r="PAH24" s="535"/>
      <c r="PAI24" s="535"/>
      <c r="PAJ24" s="535"/>
      <c r="PAK24" s="535"/>
      <c r="PAL24" s="535"/>
      <c r="PAM24" s="535"/>
      <c r="PAN24" s="535"/>
      <c r="PAO24" s="535"/>
      <c r="PAP24" s="535"/>
      <c r="PAQ24" s="535"/>
      <c r="PAR24" s="535"/>
      <c r="PAS24" s="535"/>
      <c r="PAT24" s="535"/>
      <c r="PAU24" s="535"/>
      <c r="PAV24" s="535"/>
      <c r="PAW24" s="535"/>
      <c r="PAX24" s="535"/>
      <c r="PAY24" s="535"/>
      <c r="PAZ24" s="535"/>
      <c r="PBA24" s="535"/>
      <c r="PBB24" s="535"/>
      <c r="PBC24" s="535"/>
      <c r="PBD24" s="535"/>
      <c r="PBE24" s="535"/>
      <c r="PBF24" s="535"/>
      <c r="PBG24" s="535"/>
      <c r="PBH24" s="535"/>
      <c r="PBI24" s="535"/>
      <c r="PBJ24" s="535"/>
      <c r="PBK24" s="535"/>
      <c r="PBL24" s="535"/>
      <c r="PBM24" s="535"/>
      <c r="PBN24" s="535"/>
      <c r="PBO24" s="535"/>
      <c r="PBP24" s="535"/>
      <c r="PBQ24" s="535"/>
      <c r="PBR24" s="535"/>
      <c r="PBS24" s="535"/>
      <c r="PBT24" s="535"/>
      <c r="PBU24" s="535"/>
      <c r="PBV24" s="535"/>
      <c r="PBW24" s="535"/>
      <c r="PBX24" s="535"/>
      <c r="PBY24" s="535"/>
      <c r="PBZ24" s="535"/>
      <c r="PCA24" s="535"/>
      <c r="PCB24" s="535"/>
      <c r="PCC24" s="535"/>
      <c r="PCD24" s="535"/>
      <c r="PCE24" s="535"/>
      <c r="PCF24" s="535"/>
      <c r="PCG24" s="535"/>
      <c r="PCH24" s="535"/>
      <c r="PCI24" s="535"/>
      <c r="PCJ24" s="535"/>
      <c r="PCK24" s="535"/>
      <c r="PCL24" s="535"/>
      <c r="PCM24" s="535"/>
      <c r="PCN24" s="535"/>
      <c r="PCO24" s="535"/>
      <c r="PCP24" s="535"/>
      <c r="PCQ24" s="535"/>
      <c r="PCR24" s="535"/>
      <c r="PCS24" s="535"/>
      <c r="PCT24" s="535"/>
      <c r="PCU24" s="535"/>
      <c r="PCV24" s="535"/>
      <c r="PCW24" s="535"/>
      <c r="PCX24" s="535"/>
      <c r="PCY24" s="535"/>
      <c r="PCZ24" s="535"/>
      <c r="PDA24" s="535"/>
      <c r="PDB24" s="535"/>
      <c r="PDC24" s="535"/>
      <c r="PDD24" s="535"/>
      <c r="PDE24" s="535"/>
      <c r="PDF24" s="535"/>
      <c r="PDG24" s="535"/>
      <c r="PDH24" s="535"/>
      <c r="PDI24" s="535"/>
      <c r="PDJ24" s="535"/>
      <c r="PDK24" s="535"/>
      <c r="PDL24" s="535"/>
      <c r="PDM24" s="535"/>
      <c r="PDN24" s="535"/>
      <c r="PDO24" s="535"/>
      <c r="PDP24" s="535"/>
      <c r="PDQ24" s="535"/>
      <c r="PDR24" s="535"/>
      <c r="PDS24" s="535"/>
      <c r="PDT24" s="535"/>
      <c r="PDU24" s="535"/>
      <c r="PDV24" s="535"/>
      <c r="PDW24" s="535"/>
      <c r="PDX24" s="535"/>
      <c r="PDY24" s="535"/>
      <c r="PDZ24" s="535"/>
      <c r="PEA24" s="535"/>
      <c r="PEB24" s="535"/>
      <c r="PEC24" s="535"/>
      <c r="PED24" s="535"/>
      <c r="PEE24" s="535"/>
      <c r="PEF24" s="535"/>
      <c r="PEG24" s="535"/>
      <c r="PEH24" s="535"/>
      <c r="PEI24" s="535"/>
      <c r="PEJ24" s="535"/>
      <c r="PEK24" s="535"/>
      <c r="PEL24" s="535"/>
      <c r="PEM24" s="535"/>
      <c r="PEN24" s="535"/>
      <c r="PEO24" s="535"/>
      <c r="PEP24" s="535"/>
      <c r="PEQ24" s="535"/>
      <c r="PER24" s="535"/>
      <c r="PES24" s="535"/>
      <c r="PET24" s="535"/>
      <c r="PEU24" s="535"/>
      <c r="PEV24" s="535"/>
      <c r="PEW24" s="535"/>
      <c r="PEX24" s="535"/>
      <c r="PEY24" s="535"/>
      <c r="PEZ24" s="535"/>
      <c r="PFA24" s="535"/>
      <c r="PFB24" s="535"/>
      <c r="PFC24" s="535"/>
      <c r="PFD24" s="535"/>
      <c r="PFE24" s="535"/>
      <c r="PFF24" s="535"/>
      <c r="PFG24" s="535"/>
      <c r="PFH24" s="535"/>
      <c r="PFI24" s="535"/>
      <c r="PFJ24" s="535"/>
      <c r="PFK24" s="535"/>
      <c r="PFL24" s="535"/>
      <c r="PFM24" s="535"/>
      <c r="PFN24" s="535"/>
      <c r="PFO24" s="535"/>
      <c r="PFP24" s="535"/>
      <c r="PFQ24" s="535"/>
      <c r="PFR24" s="535"/>
      <c r="PFS24" s="535"/>
      <c r="PFT24" s="535"/>
      <c r="PFU24" s="535"/>
      <c r="PFV24" s="535"/>
      <c r="PFW24" s="535"/>
      <c r="PFX24" s="535"/>
      <c r="PFY24" s="535"/>
      <c r="PFZ24" s="535"/>
      <c r="PGA24" s="535"/>
      <c r="PGB24" s="535"/>
      <c r="PGC24" s="535"/>
      <c r="PGD24" s="535"/>
      <c r="PGE24" s="535"/>
      <c r="PGF24" s="535"/>
      <c r="PGG24" s="535"/>
      <c r="PGH24" s="535"/>
      <c r="PGI24" s="535"/>
      <c r="PGJ24" s="535"/>
      <c r="PGK24" s="535"/>
      <c r="PGL24" s="535"/>
      <c r="PGM24" s="535"/>
      <c r="PGN24" s="535"/>
      <c r="PGO24" s="535"/>
      <c r="PGP24" s="535"/>
      <c r="PGQ24" s="535"/>
      <c r="PGR24" s="535"/>
      <c r="PGS24" s="535"/>
      <c r="PGT24" s="535"/>
      <c r="PGU24" s="535"/>
      <c r="PGV24" s="535"/>
      <c r="PGW24" s="535"/>
      <c r="PGX24" s="535"/>
      <c r="PGY24" s="535"/>
      <c r="PGZ24" s="535"/>
      <c r="PHA24" s="535"/>
      <c r="PHB24" s="535"/>
      <c r="PHC24" s="535"/>
      <c r="PHD24" s="535"/>
      <c r="PHE24" s="535"/>
      <c r="PHF24" s="535"/>
      <c r="PHG24" s="535"/>
      <c r="PHH24" s="535"/>
      <c r="PHI24" s="535"/>
      <c r="PHJ24" s="535"/>
      <c r="PHK24" s="535"/>
      <c r="PHL24" s="535"/>
      <c r="PHM24" s="535"/>
      <c r="PHN24" s="535"/>
      <c r="PHO24" s="535"/>
      <c r="PHP24" s="535"/>
      <c r="PHQ24" s="535"/>
      <c r="PHR24" s="535"/>
      <c r="PHS24" s="535"/>
      <c r="PHT24" s="535"/>
      <c r="PHU24" s="535"/>
      <c r="PHV24" s="535"/>
      <c r="PHW24" s="535"/>
      <c r="PHX24" s="535"/>
      <c r="PHY24" s="535"/>
      <c r="PHZ24" s="535"/>
      <c r="PIA24" s="535"/>
      <c r="PIB24" s="535"/>
      <c r="PIC24" s="535"/>
      <c r="PID24" s="535"/>
      <c r="PIE24" s="535"/>
      <c r="PIF24" s="535"/>
      <c r="PIG24" s="535"/>
      <c r="PIH24" s="535"/>
      <c r="PII24" s="535"/>
      <c r="PIJ24" s="535"/>
      <c r="PIK24" s="535"/>
      <c r="PIL24" s="535"/>
      <c r="PIM24" s="535"/>
      <c r="PIN24" s="535"/>
      <c r="PIO24" s="535"/>
      <c r="PIP24" s="535"/>
      <c r="PIQ24" s="535"/>
      <c r="PIR24" s="535"/>
      <c r="PIS24" s="535"/>
      <c r="PIT24" s="535"/>
      <c r="PIU24" s="535"/>
      <c r="PIV24" s="535"/>
      <c r="PIW24" s="535"/>
      <c r="PIX24" s="535"/>
      <c r="PIY24" s="535"/>
      <c r="PIZ24" s="535"/>
      <c r="PJA24" s="535"/>
      <c r="PJB24" s="535"/>
      <c r="PJC24" s="535"/>
      <c r="PJD24" s="535"/>
      <c r="PJE24" s="535"/>
      <c r="PJF24" s="535"/>
      <c r="PJG24" s="535"/>
      <c r="PJH24" s="535"/>
      <c r="PJI24" s="535"/>
      <c r="PJJ24" s="535"/>
      <c r="PJK24" s="535"/>
      <c r="PJL24" s="535"/>
      <c r="PJM24" s="535"/>
      <c r="PJN24" s="535"/>
      <c r="PJO24" s="535"/>
      <c r="PJP24" s="535"/>
      <c r="PJQ24" s="535"/>
      <c r="PJR24" s="535"/>
      <c r="PJS24" s="535"/>
      <c r="PJT24" s="535"/>
      <c r="PJU24" s="535"/>
      <c r="PJV24" s="535"/>
      <c r="PJW24" s="535"/>
      <c r="PJX24" s="535"/>
      <c r="PJY24" s="535"/>
      <c r="PJZ24" s="535"/>
      <c r="PKA24" s="535"/>
      <c r="PKB24" s="535"/>
      <c r="PKC24" s="535"/>
      <c r="PKD24" s="535"/>
      <c r="PKE24" s="535"/>
      <c r="PKF24" s="535"/>
      <c r="PKG24" s="535"/>
      <c r="PKH24" s="535"/>
      <c r="PKI24" s="535"/>
      <c r="PKJ24" s="535"/>
      <c r="PKK24" s="535"/>
      <c r="PKL24" s="535"/>
      <c r="PKM24" s="535"/>
      <c r="PKN24" s="535"/>
      <c r="PKO24" s="535"/>
      <c r="PKP24" s="535"/>
      <c r="PKQ24" s="535"/>
      <c r="PKR24" s="535"/>
      <c r="PKS24" s="535"/>
      <c r="PKT24" s="535"/>
      <c r="PKU24" s="535"/>
      <c r="PKV24" s="535"/>
      <c r="PKW24" s="535"/>
      <c r="PKX24" s="535"/>
      <c r="PKY24" s="535"/>
      <c r="PKZ24" s="535"/>
      <c r="PLA24" s="535"/>
      <c r="PLB24" s="535"/>
      <c r="PLC24" s="535"/>
      <c r="PLD24" s="535"/>
      <c r="PLE24" s="535"/>
      <c r="PLF24" s="535"/>
      <c r="PLG24" s="535"/>
      <c r="PLH24" s="535"/>
      <c r="PLI24" s="535"/>
      <c r="PLJ24" s="535"/>
      <c r="PLK24" s="535"/>
      <c r="PLL24" s="535"/>
      <c r="PLM24" s="535"/>
      <c r="PLN24" s="535"/>
      <c r="PLO24" s="535"/>
      <c r="PLP24" s="535"/>
      <c r="PLQ24" s="535"/>
      <c r="PLR24" s="535"/>
      <c r="PLS24" s="535"/>
      <c r="PLT24" s="535"/>
      <c r="PLU24" s="535"/>
      <c r="PLV24" s="535"/>
      <c r="PLW24" s="535"/>
      <c r="PLX24" s="535"/>
      <c r="PLY24" s="535"/>
      <c r="PLZ24" s="535"/>
      <c r="PMA24" s="535"/>
      <c r="PMB24" s="535"/>
      <c r="PMC24" s="535"/>
      <c r="PMD24" s="535"/>
      <c r="PME24" s="535"/>
      <c r="PMF24" s="535"/>
      <c r="PMG24" s="535"/>
      <c r="PMH24" s="535"/>
      <c r="PMI24" s="535"/>
      <c r="PMJ24" s="535"/>
      <c r="PMK24" s="535"/>
      <c r="PML24" s="535"/>
      <c r="PMM24" s="535"/>
      <c r="PMN24" s="535"/>
      <c r="PMO24" s="535"/>
      <c r="PMP24" s="535"/>
      <c r="PMQ24" s="535"/>
      <c r="PMR24" s="535"/>
      <c r="PMS24" s="535"/>
      <c r="PMT24" s="535"/>
      <c r="PMU24" s="535"/>
      <c r="PMV24" s="535"/>
      <c r="PMW24" s="535"/>
      <c r="PMX24" s="535"/>
      <c r="PMY24" s="535"/>
      <c r="PMZ24" s="535"/>
      <c r="PNA24" s="535"/>
      <c r="PNB24" s="535"/>
      <c r="PNC24" s="535"/>
      <c r="PND24" s="535"/>
      <c r="PNE24" s="535"/>
      <c r="PNF24" s="535"/>
      <c r="PNG24" s="535"/>
      <c r="PNH24" s="535"/>
      <c r="PNI24" s="535"/>
      <c r="PNJ24" s="535"/>
      <c r="PNK24" s="535"/>
      <c r="PNL24" s="535"/>
      <c r="PNM24" s="535"/>
      <c r="PNN24" s="535"/>
      <c r="PNO24" s="535"/>
      <c r="PNP24" s="535"/>
      <c r="PNQ24" s="535"/>
      <c r="PNR24" s="535"/>
      <c r="PNS24" s="535"/>
      <c r="PNT24" s="535"/>
      <c r="PNU24" s="535"/>
      <c r="PNV24" s="535"/>
      <c r="PNW24" s="535"/>
      <c r="PNX24" s="535"/>
      <c r="PNY24" s="535"/>
      <c r="PNZ24" s="535"/>
      <c r="POA24" s="535"/>
      <c r="POB24" s="535"/>
      <c r="POC24" s="535"/>
      <c r="POD24" s="535"/>
      <c r="POE24" s="535"/>
      <c r="POF24" s="535"/>
      <c r="POG24" s="535"/>
      <c r="POH24" s="535"/>
      <c r="POI24" s="535"/>
      <c r="POJ24" s="535"/>
      <c r="POK24" s="535"/>
      <c r="POL24" s="535"/>
      <c r="POM24" s="535"/>
      <c r="PON24" s="535"/>
      <c r="POO24" s="535"/>
      <c r="POP24" s="535"/>
      <c r="POQ24" s="535"/>
      <c r="POR24" s="535"/>
      <c r="POS24" s="535"/>
      <c r="POT24" s="535"/>
      <c r="POU24" s="535"/>
      <c r="POV24" s="535"/>
      <c r="POW24" s="535"/>
      <c r="POX24" s="535"/>
      <c r="POY24" s="535"/>
      <c r="POZ24" s="535"/>
      <c r="PPA24" s="535"/>
      <c r="PPB24" s="535"/>
      <c r="PPC24" s="535"/>
      <c r="PPD24" s="535"/>
      <c r="PPE24" s="535"/>
      <c r="PPF24" s="535"/>
      <c r="PPG24" s="535"/>
      <c r="PPH24" s="535"/>
      <c r="PPI24" s="535"/>
      <c r="PPJ24" s="535"/>
      <c r="PPK24" s="535"/>
      <c r="PPL24" s="535"/>
      <c r="PPM24" s="535"/>
      <c r="PPN24" s="535"/>
      <c r="PPO24" s="535"/>
      <c r="PPP24" s="535"/>
      <c r="PPQ24" s="535"/>
      <c r="PPR24" s="535"/>
      <c r="PPS24" s="535"/>
      <c r="PPT24" s="535"/>
      <c r="PPU24" s="535"/>
      <c r="PPV24" s="535"/>
      <c r="PPW24" s="535"/>
      <c r="PPX24" s="535"/>
      <c r="PPY24" s="535"/>
      <c r="PPZ24" s="535"/>
      <c r="PQA24" s="535"/>
      <c r="PQB24" s="535"/>
      <c r="PQC24" s="535"/>
      <c r="PQD24" s="535"/>
      <c r="PQE24" s="535"/>
      <c r="PQF24" s="535"/>
      <c r="PQG24" s="535"/>
      <c r="PQH24" s="535"/>
      <c r="PQI24" s="535"/>
      <c r="PQJ24" s="535"/>
      <c r="PQK24" s="535"/>
      <c r="PQL24" s="535"/>
      <c r="PQM24" s="535"/>
      <c r="PQN24" s="535"/>
      <c r="PQO24" s="535"/>
      <c r="PQP24" s="535"/>
      <c r="PQQ24" s="535"/>
      <c r="PQR24" s="535"/>
      <c r="PQS24" s="535"/>
      <c r="PQT24" s="535"/>
      <c r="PQU24" s="535"/>
      <c r="PQV24" s="535"/>
      <c r="PQW24" s="535"/>
      <c r="PQX24" s="535"/>
      <c r="PQY24" s="535"/>
      <c r="PQZ24" s="535"/>
      <c r="PRA24" s="535"/>
      <c r="PRB24" s="535"/>
      <c r="PRC24" s="535"/>
      <c r="PRD24" s="535"/>
      <c r="PRE24" s="535"/>
      <c r="PRF24" s="535"/>
      <c r="PRG24" s="535"/>
      <c r="PRH24" s="535"/>
      <c r="PRI24" s="535"/>
      <c r="PRJ24" s="535"/>
      <c r="PRK24" s="535"/>
      <c r="PRL24" s="535"/>
      <c r="PRM24" s="535"/>
      <c r="PRN24" s="535"/>
      <c r="PRO24" s="535"/>
      <c r="PRP24" s="535"/>
      <c r="PRQ24" s="535"/>
      <c r="PRR24" s="535"/>
      <c r="PRS24" s="535"/>
      <c r="PRT24" s="535"/>
      <c r="PRU24" s="535"/>
      <c r="PRV24" s="535"/>
      <c r="PRW24" s="535"/>
      <c r="PRX24" s="535"/>
      <c r="PRY24" s="535"/>
      <c r="PRZ24" s="535"/>
      <c r="PSA24" s="535"/>
      <c r="PSB24" s="535"/>
      <c r="PSC24" s="535"/>
      <c r="PSD24" s="535"/>
      <c r="PSE24" s="535"/>
      <c r="PSF24" s="535"/>
      <c r="PSG24" s="535"/>
      <c r="PSH24" s="535"/>
      <c r="PSI24" s="535"/>
      <c r="PSJ24" s="535"/>
      <c r="PSK24" s="535"/>
      <c r="PSL24" s="535"/>
      <c r="PSM24" s="535"/>
      <c r="PSN24" s="535"/>
      <c r="PSO24" s="535"/>
      <c r="PSP24" s="535"/>
      <c r="PSQ24" s="535"/>
      <c r="PSR24" s="535"/>
      <c r="PSS24" s="535"/>
      <c r="PST24" s="535"/>
      <c r="PSU24" s="535"/>
      <c r="PSV24" s="535"/>
      <c r="PSW24" s="535"/>
      <c r="PSX24" s="535"/>
      <c r="PSY24" s="535"/>
      <c r="PSZ24" s="535"/>
      <c r="PTA24" s="535"/>
      <c r="PTB24" s="535"/>
      <c r="PTC24" s="535"/>
      <c r="PTD24" s="535"/>
      <c r="PTE24" s="535"/>
      <c r="PTF24" s="535"/>
      <c r="PTG24" s="535"/>
      <c r="PTH24" s="535"/>
      <c r="PTI24" s="535"/>
      <c r="PTJ24" s="535"/>
      <c r="PTK24" s="535"/>
      <c r="PTL24" s="535"/>
      <c r="PTM24" s="535"/>
      <c r="PTN24" s="535"/>
      <c r="PTO24" s="535"/>
      <c r="PTP24" s="535"/>
      <c r="PTQ24" s="535"/>
      <c r="PTR24" s="535"/>
      <c r="PTS24" s="535"/>
      <c r="PTT24" s="535"/>
      <c r="PTU24" s="535"/>
      <c r="PTV24" s="535"/>
      <c r="PTW24" s="535"/>
      <c r="PTX24" s="535"/>
      <c r="PTY24" s="535"/>
      <c r="PTZ24" s="535"/>
      <c r="PUA24" s="535"/>
      <c r="PUB24" s="535"/>
      <c r="PUC24" s="535"/>
      <c r="PUD24" s="535"/>
      <c r="PUE24" s="535"/>
      <c r="PUF24" s="535"/>
      <c r="PUG24" s="535"/>
      <c r="PUH24" s="535"/>
      <c r="PUI24" s="535"/>
      <c r="PUJ24" s="535"/>
      <c r="PUK24" s="535"/>
      <c r="PUL24" s="535"/>
      <c r="PUM24" s="535"/>
      <c r="PUN24" s="535"/>
      <c r="PUO24" s="535"/>
      <c r="PUP24" s="535"/>
      <c r="PUQ24" s="535"/>
      <c r="PUR24" s="535"/>
      <c r="PUS24" s="535"/>
      <c r="PUT24" s="535"/>
      <c r="PUU24" s="535"/>
      <c r="PUV24" s="535"/>
      <c r="PUW24" s="535"/>
      <c r="PUX24" s="535"/>
      <c r="PUY24" s="535"/>
      <c r="PUZ24" s="535"/>
      <c r="PVA24" s="535"/>
      <c r="PVB24" s="535"/>
      <c r="PVC24" s="535"/>
      <c r="PVD24" s="535"/>
      <c r="PVE24" s="535"/>
      <c r="PVF24" s="535"/>
      <c r="PVG24" s="535"/>
      <c r="PVH24" s="535"/>
      <c r="PVI24" s="535"/>
      <c r="PVJ24" s="535"/>
      <c r="PVK24" s="535"/>
      <c r="PVL24" s="535"/>
      <c r="PVM24" s="535"/>
      <c r="PVN24" s="535"/>
      <c r="PVO24" s="535"/>
      <c r="PVP24" s="535"/>
      <c r="PVQ24" s="535"/>
      <c r="PVR24" s="535"/>
      <c r="PVS24" s="535"/>
      <c r="PVT24" s="535"/>
      <c r="PVU24" s="535"/>
      <c r="PVV24" s="535"/>
      <c r="PVW24" s="535"/>
      <c r="PVX24" s="535"/>
      <c r="PVY24" s="535"/>
      <c r="PVZ24" s="535"/>
      <c r="PWA24" s="535"/>
      <c r="PWB24" s="535"/>
      <c r="PWC24" s="535"/>
      <c r="PWD24" s="535"/>
      <c r="PWE24" s="535"/>
      <c r="PWF24" s="535"/>
      <c r="PWG24" s="535"/>
      <c r="PWH24" s="535"/>
      <c r="PWI24" s="535"/>
      <c r="PWJ24" s="535"/>
      <c r="PWK24" s="535"/>
      <c r="PWL24" s="535"/>
      <c r="PWM24" s="535"/>
      <c r="PWN24" s="535"/>
      <c r="PWO24" s="535"/>
      <c r="PWP24" s="535"/>
      <c r="PWQ24" s="535"/>
      <c r="PWR24" s="535"/>
      <c r="PWS24" s="535"/>
      <c r="PWT24" s="535"/>
      <c r="PWU24" s="535"/>
      <c r="PWV24" s="535"/>
      <c r="PWW24" s="535"/>
      <c r="PWX24" s="535"/>
      <c r="PWY24" s="535"/>
      <c r="PWZ24" s="535"/>
      <c r="PXA24" s="535"/>
      <c r="PXB24" s="535"/>
      <c r="PXC24" s="535"/>
      <c r="PXD24" s="535"/>
      <c r="PXE24" s="535"/>
      <c r="PXF24" s="535"/>
      <c r="PXG24" s="535"/>
      <c r="PXH24" s="535"/>
      <c r="PXI24" s="535"/>
      <c r="PXJ24" s="535"/>
      <c r="PXK24" s="535"/>
      <c r="PXL24" s="535"/>
      <c r="PXM24" s="535"/>
      <c r="PXN24" s="535"/>
      <c r="PXO24" s="535"/>
      <c r="PXP24" s="535"/>
      <c r="PXQ24" s="535"/>
      <c r="PXR24" s="535"/>
      <c r="PXS24" s="535"/>
      <c r="PXT24" s="535"/>
      <c r="PXU24" s="535"/>
      <c r="PXV24" s="535"/>
      <c r="PXW24" s="535"/>
      <c r="PXX24" s="535"/>
      <c r="PXY24" s="535"/>
      <c r="PXZ24" s="535"/>
      <c r="PYA24" s="535"/>
      <c r="PYB24" s="535"/>
      <c r="PYC24" s="535"/>
      <c r="PYD24" s="535"/>
      <c r="PYE24" s="535"/>
      <c r="PYF24" s="535"/>
      <c r="PYG24" s="535"/>
      <c r="PYH24" s="535"/>
      <c r="PYI24" s="535"/>
      <c r="PYJ24" s="535"/>
      <c r="PYK24" s="535"/>
      <c r="PYL24" s="535"/>
      <c r="PYM24" s="535"/>
      <c r="PYN24" s="535"/>
      <c r="PYO24" s="535"/>
      <c r="PYP24" s="535"/>
      <c r="PYQ24" s="535"/>
      <c r="PYR24" s="535"/>
      <c r="PYS24" s="535"/>
      <c r="PYT24" s="535"/>
      <c r="PYU24" s="535"/>
      <c r="PYV24" s="535"/>
      <c r="PYW24" s="535"/>
      <c r="PYX24" s="535"/>
      <c r="PYY24" s="535"/>
      <c r="PYZ24" s="535"/>
      <c r="PZA24" s="535"/>
      <c r="PZB24" s="535"/>
      <c r="PZC24" s="535"/>
      <c r="PZD24" s="535"/>
      <c r="PZE24" s="535"/>
      <c r="PZF24" s="535"/>
      <c r="PZG24" s="535"/>
      <c r="PZH24" s="535"/>
      <c r="PZI24" s="535"/>
      <c r="PZJ24" s="535"/>
      <c r="PZK24" s="535"/>
      <c r="PZL24" s="535"/>
      <c r="PZM24" s="535"/>
      <c r="PZN24" s="535"/>
      <c r="PZO24" s="535"/>
      <c r="PZP24" s="535"/>
      <c r="PZQ24" s="535"/>
      <c r="PZR24" s="535"/>
      <c r="PZS24" s="535"/>
      <c r="PZT24" s="535"/>
      <c r="PZU24" s="535"/>
      <c r="PZV24" s="535"/>
      <c r="PZW24" s="535"/>
      <c r="PZX24" s="535"/>
      <c r="PZY24" s="535"/>
      <c r="PZZ24" s="535"/>
      <c r="QAA24" s="535"/>
      <c r="QAB24" s="535"/>
      <c r="QAC24" s="535"/>
      <c r="QAD24" s="535"/>
      <c r="QAE24" s="535"/>
      <c r="QAF24" s="535"/>
      <c r="QAG24" s="535"/>
      <c r="QAH24" s="535"/>
      <c r="QAI24" s="535"/>
      <c r="QAJ24" s="535"/>
      <c r="QAK24" s="535"/>
      <c r="QAL24" s="535"/>
      <c r="QAM24" s="535"/>
      <c r="QAN24" s="535"/>
      <c r="QAO24" s="535"/>
      <c r="QAP24" s="535"/>
      <c r="QAQ24" s="535"/>
      <c r="QAR24" s="535"/>
      <c r="QAS24" s="535"/>
      <c r="QAT24" s="535"/>
      <c r="QAU24" s="535"/>
      <c r="QAV24" s="535"/>
      <c r="QAW24" s="535"/>
      <c r="QAX24" s="535"/>
      <c r="QAY24" s="535"/>
      <c r="QAZ24" s="535"/>
      <c r="QBA24" s="535"/>
      <c r="QBB24" s="535"/>
      <c r="QBC24" s="535"/>
      <c r="QBD24" s="535"/>
      <c r="QBE24" s="535"/>
      <c r="QBF24" s="535"/>
      <c r="QBG24" s="535"/>
      <c r="QBH24" s="535"/>
      <c r="QBI24" s="535"/>
      <c r="QBJ24" s="535"/>
      <c r="QBK24" s="535"/>
      <c r="QBL24" s="535"/>
      <c r="QBM24" s="535"/>
      <c r="QBN24" s="535"/>
      <c r="QBO24" s="535"/>
      <c r="QBP24" s="535"/>
      <c r="QBQ24" s="535"/>
      <c r="QBR24" s="535"/>
      <c r="QBS24" s="535"/>
      <c r="QBT24" s="535"/>
      <c r="QBU24" s="535"/>
      <c r="QBV24" s="535"/>
      <c r="QBW24" s="535"/>
      <c r="QBX24" s="535"/>
      <c r="QBY24" s="535"/>
      <c r="QBZ24" s="535"/>
      <c r="QCA24" s="535"/>
      <c r="QCB24" s="535"/>
      <c r="QCC24" s="535"/>
      <c r="QCD24" s="535"/>
      <c r="QCE24" s="535"/>
      <c r="QCF24" s="535"/>
      <c r="QCG24" s="535"/>
      <c r="QCH24" s="535"/>
      <c r="QCI24" s="535"/>
      <c r="QCJ24" s="535"/>
      <c r="QCK24" s="535"/>
      <c r="QCL24" s="535"/>
      <c r="QCM24" s="535"/>
      <c r="QCN24" s="535"/>
      <c r="QCO24" s="535"/>
      <c r="QCP24" s="535"/>
      <c r="QCQ24" s="535"/>
      <c r="QCR24" s="535"/>
      <c r="QCS24" s="535"/>
      <c r="QCT24" s="535"/>
      <c r="QCU24" s="535"/>
      <c r="QCV24" s="535"/>
      <c r="QCW24" s="535"/>
      <c r="QCX24" s="535"/>
      <c r="QCY24" s="535"/>
      <c r="QCZ24" s="535"/>
      <c r="QDA24" s="535"/>
      <c r="QDB24" s="535"/>
      <c r="QDC24" s="535"/>
      <c r="QDD24" s="535"/>
      <c r="QDE24" s="535"/>
      <c r="QDF24" s="535"/>
      <c r="QDG24" s="535"/>
      <c r="QDH24" s="535"/>
      <c r="QDI24" s="535"/>
      <c r="QDJ24" s="535"/>
      <c r="QDK24" s="535"/>
      <c r="QDL24" s="535"/>
      <c r="QDM24" s="535"/>
      <c r="QDN24" s="535"/>
      <c r="QDO24" s="535"/>
      <c r="QDP24" s="535"/>
      <c r="QDQ24" s="535"/>
      <c r="QDR24" s="535"/>
      <c r="QDS24" s="535"/>
      <c r="QDT24" s="535"/>
      <c r="QDU24" s="535"/>
      <c r="QDV24" s="535"/>
      <c r="QDW24" s="535"/>
      <c r="QDX24" s="535"/>
      <c r="QDY24" s="535"/>
      <c r="QDZ24" s="535"/>
      <c r="QEA24" s="535"/>
      <c r="QEB24" s="535"/>
      <c r="QEC24" s="535"/>
      <c r="QED24" s="535"/>
      <c r="QEE24" s="535"/>
      <c r="QEF24" s="535"/>
      <c r="QEG24" s="535"/>
      <c r="QEH24" s="535"/>
      <c r="QEI24" s="535"/>
      <c r="QEJ24" s="535"/>
      <c r="QEK24" s="535"/>
      <c r="QEL24" s="535"/>
      <c r="QEM24" s="535"/>
      <c r="QEN24" s="535"/>
      <c r="QEO24" s="535"/>
      <c r="QEP24" s="535"/>
      <c r="QEQ24" s="535"/>
      <c r="QER24" s="535"/>
      <c r="QES24" s="535"/>
      <c r="QET24" s="535"/>
      <c r="QEU24" s="535"/>
      <c r="QEV24" s="535"/>
      <c r="QEW24" s="535"/>
      <c r="QEX24" s="535"/>
      <c r="QEY24" s="535"/>
      <c r="QEZ24" s="535"/>
      <c r="QFA24" s="535"/>
      <c r="QFB24" s="535"/>
      <c r="QFC24" s="535"/>
      <c r="QFD24" s="535"/>
      <c r="QFE24" s="535"/>
      <c r="QFF24" s="535"/>
      <c r="QFG24" s="535"/>
      <c r="QFH24" s="535"/>
      <c r="QFI24" s="535"/>
      <c r="QFJ24" s="535"/>
      <c r="QFK24" s="535"/>
      <c r="QFL24" s="535"/>
      <c r="QFM24" s="535"/>
      <c r="QFN24" s="535"/>
      <c r="QFO24" s="535"/>
      <c r="QFP24" s="535"/>
      <c r="QFQ24" s="535"/>
      <c r="QFR24" s="535"/>
      <c r="QFS24" s="535"/>
      <c r="QFT24" s="535"/>
      <c r="QFU24" s="535"/>
      <c r="QFV24" s="535"/>
      <c r="QFW24" s="535"/>
      <c r="QFX24" s="535"/>
      <c r="QFY24" s="535"/>
      <c r="QFZ24" s="535"/>
      <c r="QGA24" s="535"/>
      <c r="QGB24" s="535"/>
      <c r="QGC24" s="535"/>
      <c r="QGD24" s="535"/>
      <c r="QGE24" s="535"/>
      <c r="QGF24" s="535"/>
      <c r="QGG24" s="535"/>
      <c r="QGH24" s="535"/>
      <c r="QGI24" s="535"/>
      <c r="QGJ24" s="535"/>
      <c r="QGK24" s="535"/>
      <c r="QGL24" s="535"/>
      <c r="QGM24" s="535"/>
      <c r="QGN24" s="535"/>
      <c r="QGO24" s="535"/>
      <c r="QGP24" s="535"/>
      <c r="QGQ24" s="535"/>
      <c r="QGR24" s="535"/>
      <c r="QGS24" s="535"/>
      <c r="QGT24" s="535"/>
      <c r="QGU24" s="535"/>
      <c r="QGV24" s="535"/>
      <c r="QGW24" s="535"/>
      <c r="QGX24" s="535"/>
      <c r="QGY24" s="535"/>
      <c r="QGZ24" s="535"/>
      <c r="QHA24" s="535"/>
      <c r="QHB24" s="535"/>
      <c r="QHC24" s="535"/>
      <c r="QHD24" s="535"/>
      <c r="QHE24" s="535"/>
      <c r="QHF24" s="535"/>
      <c r="QHG24" s="535"/>
      <c r="QHH24" s="535"/>
      <c r="QHI24" s="535"/>
      <c r="QHJ24" s="535"/>
      <c r="QHK24" s="535"/>
      <c r="QHL24" s="535"/>
      <c r="QHM24" s="535"/>
      <c r="QHN24" s="535"/>
      <c r="QHO24" s="535"/>
      <c r="QHP24" s="535"/>
      <c r="QHQ24" s="535"/>
      <c r="QHR24" s="535"/>
      <c r="QHS24" s="535"/>
      <c r="QHT24" s="535"/>
      <c r="QHU24" s="535"/>
      <c r="QHV24" s="535"/>
      <c r="QHW24" s="535"/>
      <c r="QHX24" s="535"/>
      <c r="QHY24" s="535"/>
      <c r="QHZ24" s="535"/>
      <c r="QIA24" s="535"/>
      <c r="QIB24" s="535"/>
      <c r="QIC24" s="535"/>
      <c r="QID24" s="535"/>
      <c r="QIE24" s="535"/>
      <c r="QIF24" s="535"/>
      <c r="QIG24" s="535"/>
      <c r="QIH24" s="535"/>
      <c r="QII24" s="535"/>
      <c r="QIJ24" s="535"/>
      <c r="QIK24" s="535"/>
      <c r="QIL24" s="535"/>
      <c r="QIM24" s="535"/>
      <c r="QIN24" s="535"/>
      <c r="QIO24" s="535"/>
      <c r="QIP24" s="535"/>
      <c r="QIQ24" s="535"/>
      <c r="QIR24" s="535"/>
      <c r="QIS24" s="535"/>
      <c r="QIT24" s="535"/>
      <c r="QIU24" s="535"/>
      <c r="QIV24" s="535"/>
      <c r="QIW24" s="535"/>
      <c r="QIX24" s="535"/>
      <c r="QIY24" s="535"/>
      <c r="QIZ24" s="535"/>
      <c r="QJA24" s="535"/>
      <c r="QJB24" s="535"/>
      <c r="QJC24" s="535"/>
      <c r="QJD24" s="535"/>
      <c r="QJE24" s="535"/>
      <c r="QJF24" s="535"/>
      <c r="QJG24" s="535"/>
      <c r="QJH24" s="535"/>
      <c r="QJI24" s="535"/>
      <c r="QJJ24" s="535"/>
      <c r="QJK24" s="535"/>
      <c r="QJL24" s="535"/>
      <c r="QJM24" s="535"/>
      <c r="QJN24" s="535"/>
      <c r="QJO24" s="535"/>
      <c r="QJP24" s="535"/>
      <c r="QJQ24" s="535"/>
      <c r="QJR24" s="535"/>
      <c r="QJS24" s="535"/>
      <c r="QJT24" s="535"/>
      <c r="QJU24" s="535"/>
      <c r="QJV24" s="535"/>
      <c r="QJW24" s="535"/>
      <c r="QJX24" s="535"/>
      <c r="QJY24" s="535"/>
      <c r="QJZ24" s="535"/>
      <c r="QKA24" s="535"/>
      <c r="QKB24" s="535"/>
      <c r="QKC24" s="535"/>
      <c r="QKD24" s="535"/>
      <c r="QKE24" s="535"/>
      <c r="QKF24" s="535"/>
      <c r="QKG24" s="535"/>
      <c r="QKH24" s="535"/>
      <c r="QKI24" s="535"/>
      <c r="QKJ24" s="535"/>
      <c r="QKK24" s="535"/>
      <c r="QKL24" s="535"/>
      <c r="QKM24" s="535"/>
      <c r="QKN24" s="535"/>
      <c r="QKO24" s="535"/>
      <c r="QKP24" s="535"/>
      <c r="QKQ24" s="535"/>
      <c r="QKR24" s="535"/>
      <c r="QKS24" s="535"/>
      <c r="QKT24" s="535"/>
      <c r="QKU24" s="535"/>
      <c r="QKV24" s="535"/>
      <c r="QKW24" s="535"/>
      <c r="QKX24" s="535"/>
      <c r="QKY24" s="535"/>
      <c r="QKZ24" s="535"/>
      <c r="QLA24" s="535"/>
      <c r="QLB24" s="535"/>
      <c r="QLC24" s="535"/>
      <c r="QLD24" s="535"/>
      <c r="QLE24" s="535"/>
      <c r="QLF24" s="535"/>
      <c r="QLG24" s="535"/>
      <c r="QLH24" s="535"/>
      <c r="QLI24" s="535"/>
      <c r="QLJ24" s="535"/>
      <c r="QLK24" s="535"/>
      <c r="QLL24" s="535"/>
      <c r="QLM24" s="535"/>
      <c r="QLN24" s="535"/>
      <c r="QLO24" s="535"/>
      <c r="QLP24" s="535"/>
      <c r="QLQ24" s="535"/>
      <c r="QLR24" s="535"/>
      <c r="QLS24" s="535"/>
      <c r="QLT24" s="535"/>
      <c r="QLU24" s="535"/>
      <c r="QLV24" s="535"/>
      <c r="QLW24" s="535"/>
      <c r="QLX24" s="535"/>
      <c r="QLY24" s="535"/>
      <c r="QLZ24" s="535"/>
      <c r="QMA24" s="535"/>
      <c r="QMB24" s="535"/>
      <c r="QMC24" s="535"/>
      <c r="QMD24" s="535"/>
      <c r="QME24" s="535"/>
      <c r="QMF24" s="535"/>
      <c r="QMG24" s="535"/>
      <c r="QMH24" s="535"/>
      <c r="QMI24" s="535"/>
      <c r="QMJ24" s="535"/>
      <c r="QMK24" s="535"/>
      <c r="QML24" s="535"/>
      <c r="QMM24" s="535"/>
      <c r="QMN24" s="535"/>
      <c r="QMO24" s="535"/>
      <c r="QMP24" s="535"/>
      <c r="QMQ24" s="535"/>
      <c r="QMR24" s="535"/>
      <c r="QMS24" s="535"/>
      <c r="QMT24" s="535"/>
      <c r="QMU24" s="535"/>
      <c r="QMV24" s="535"/>
      <c r="QMW24" s="535"/>
      <c r="QMX24" s="535"/>
      <c r="QMY24" s="535"/>
      <c r="QMZ24" s="535"/>
      <c r="QNA24" s="535"/>
      <c r="QNB24" s="535"/>
      <c r="QNC24" s="535"/>
      <c r="QND24" s="535"/>
      <c r="QNE24" s="535"/>
      <c r="QNF24" s="535"/>
      <c r="QNG24" s="535"/>
      <c r="QNH24" s="535"/>
      <c r="QNI24" s="535"/>
      <c r="QNJ24" s="535"/>
      <c r="QNK24" s="535"/>
      <c r="QNL24" s="535"/>
      <c r="QNM24" s="535"/>
      <c r="QNN24" s="535"/>
      <c r="QNO24" s="535"/>
      <c r="QNP24" s="535"/>
      <c r="QNQ24" s="535"/>
      <c r="QNR24" s="535"/>
      <c r="QNS24" s="535"/>
      <c r="QNT24" s="535"/>
      <c r="QNU24" s="535"/>
      <c r="QNV24" s="535"/>
      <c r="QNW24" s="535"/>
      <c r="QNX24" s="535"/>
      <c r="QNY24" s="535"/>
      <c r="QNZ24" s="535"/>
      <c r="QOA24" s="535"/>
      <c r="QOB24" s="535"/>
      <c r="QOC24" s="535"/>
      <c r="QOD24" s="535"/>
      <c r="QOE24" s="535"/>
      <c r="QOF24" s="535"/>
      <c r="QOG24" s="535"/>
      <c r="QOH24" s="535"/>
      <c r="QOI24" s="535"/>
      <c r="QOJ24" s="535"/>
      <c r="QOK24" s="535"/>
      <c r="QOL24" s="535"/>
      <c r="QOM24" s="535"/>
      <c r="QON24" s="535"/>
      <c r="QOO24" s="535"/>
      <c r="QOP24" s="535"/>
      <c r="QOQ24" s="535"/>
      <c r="QOR24" s="535"/>
      <c r="QOS24" s="535"/>
      <c r="QOT24" s="535"/>
      <c r="QOU24" s="535"/>
      <c r="QOV24" s="535"/>
      <c r="QOW24" s="535"/>
      <c r="QOX24" s="535"/>
      <c r="QOY24" s="535"/>
      <c r="QOZ24" s="535"/>
      <c r="QPA24" s="535"/>
      <c r="QPB24" s="535"/>
      <c r="QPC24" s="535"/>
      <c r="QPD24" s="535"/>
      <c r="QPE24" s="535"/>
      <c r="QPF24" s="535"/>
      <c r="QPG24" s="535"/>
      <c r="QPH24" s="535"/>
      <c r="QPI24" s="535"/>
      <c r="QPJ24" s="535"/>
      <c r="QPK24" s="535"/>
      <c r="QPL24" s="535"/>
      <c r="QPM24" s="535"/>
      <c r="QPN24" s="535"/>
      <c r="QPO24" s="535"/>
      <c r="QPP24" s="535"/>
      <c r="QPQ24" s="535"/>
      <c r="QPR24" s="535"/>
      <c r="QPS24" s="535"/>
      <c r="QPT24" s="535"/>
      <c r="QPU24" s="535"/>
      <c r="QPV24" s="535"/>
      <c r="QPW24" s="535"/>
      <c r="QPX24" s="535"/>
      <c r="QPY24" s="535"/>
      <c r="QPZ24" s="535"/>
      <c r="QQA24" s="535"/>
      <c r="QQB24" s="535"/>
      <c r="QQC24" s="535"/>
      <c r="QQD24" s="535"/>
      <c r="QQE24" s="535"/>
      <c r="QQF24" s="535"/>
      <c r="QQG24" s="535"/>
      <c r="QQH24" s="535"/>
      <c r="QQI24" s="535"/>
      <c r="QQJ24" s="535"/>
      <c r="QQK24" s="535"/>
      <c r="QQL24" s="535"/>
      <c r="QQM24" s="535"/>
      <c r="QQN24" s="535"/>
      <c r="QQO24" s="535"/>
      <c r="QQP24" s="535"/>
      <c r="QQQ24" s="535"/>
      <c r="QQR24" s="535"/>
      <c r="QQS24" s="535"/>
      <c r="QQT24" s="535"/>
      <c r="QQU24" s="535"/>
      <c r="QQV24" s="535"/>
      <c r="QQW24" s="535"/>
      <c r="QQX24" s="535"/>
      <c r="QQY24" s="535"/>
      <c r="QQZ24" s="535"/>
      <c r="QRA24" s="535"/>
      <c r="QRB24" s="535"/>
      <c r="QRC24" s="535"/>
      <c r="QRD24" s="535"/>
      <c r="QRE24" s="535"/>
      <c r="QRF24" s="535"/>
      <c r="QRG24" s="535"/>
      <c r="QRH24" s="535"/>
      <c r="QRI24" s="535"/>
      <c r="QRJ24" s="535"/>
      <c r="QRK24" s="535"/>
      <c r="QRL24" s="535"/>
      <c r="QRM24" s="535"/>
      <c r="QRN24" s="535"/>
      <c r="QRO24" s="535"/>
      <c r="QRP24" s="535"/>
      <c r="QRQ24" s="535"/>
      <c r="QRR24" s="535"/>
      <c r="QRS24" s="535"/>
      <c r="QRT24" s="535"/>
      <c r="QRU24" s="535"/>
      <c r="QRV24" s="535"/>
      <c r="QRW24" s="535"/>
      <c r="QRX24" s="535"/>
      <c r="QRY24" s="535"/>
      <c r="QRZ24" s="535"/>
      <c r="QSA24" s="535"/>
      <c r="QSB24" s="535"/>
      <c r="QSC24" s="535"/>
      <c r="QSD24" s="535"/>
      <c r="QSE24" s="535"/>
      <c r="QSF24" s="535"/>
      <c r="QSG24" s="535"/>
      <c r="QSH24" s="535"/>
      <c r="QSI24" s="535"/>
      <c r="QSJ24" s="535"/>
      <c r="QSK24" s="535"/>
      <c r="QSL24" s="535"/>
      <c r="QSM24" s="535"/>
      <c r="QSN24" s="535"/>
      <c r="QSO24" s="535"/>
      <c r="QSP24" s="535"/>
      <c r="QSQ24" s="535"/>
      <c r="QSR24" s="535"/>
      <c r="QSS24" s="535"/>
      <c r="QST24" s="535"/>
      <c r="QSU24" s="535"/>
      <c r="QSV24" s="535"/>
      <c r="QSW24" s="535"/>
      <c r="QSX24" s="535"/>
      <c r="QSY24" s="535"/>
      <c r="QSZ24" s="535"/>
      <c r="QTA24" s="535"/>
      <c r="QTB24" s="535"/>
      <c r="QTC24" s="535"/>
      <c r="QTD24" s="535"/>
      <c r="QTE24" s="535"/>
      <c r="QTF24" s="535"/>
      <c r="QTG24" s="535"/>
      <c r="QTH24" s="535"/>
      <c r="QTI24" s="535"/>
      <c r="QTJ24" s="535"/>
      <c r="QTK24" s="535"/>
      <c r="QTL24" s="535"/>
      <c r="QTM24" s="535"/>
      <c r="QTN24" s="535"/>
      <c r="QTO24" s="535"/>
      <c r="QTP24" s="535"/>
      <c r="QTQ24" s="535"/>
      <c r="QTR24" s="535"/>
      <c r="QTS24" s="535"/>
      <c r="QTT24" s="535"/>
      <c r="QTU24" s="535"/>
      <c r="QTV24" s="535"/>
      <c r="QTW24" s="535"/>
      <c r="QTX24" s="535"/>
      <c r="QTY24" s="535"/>
      <c r="QTZ24" s="535"/>
      <c r="QUA24" s="535"/>
      <c r="QUB24" s="535"/>
      <c r="QUC24" s="535"/>
      <c r="QUD24" s="535"/>
      <c r="QUE24" s="535"/>
      <c r="QUF24" s="535"/>
      <c r="QUG24" s="535"/>
      <c r="QUH24" s="535"/>
      <c r="QUI24" s="535"/>
      <c r="QUJ24" s="535"/>
      <c r="QUK24" s="535"/>
      <c r="QUL24" s="535"/>
      <c r="QUM24" s="535"/>
      <c r="QUN24" s="535"/>
      <c r="QUO24" s="535"/>
      <c r="QUP24" s="535"/>
      <c r="QUQ24" s="535"/>
      <c r="QUR24" s="535"/>
      <c r="QUS24" s="535"/>
      <c r="QUT24" s="535"/>
      <c r="QUU24" s="535"/>
      <c r="QUV24" s="535"/>
      <c r="QUW24" s="535"/>
      <c r="QUX24" s="535"/>
      <c r="QUY24" s="535"/>
      <c r="QUZ24" s="535"/>
      <c r="QVA24" s="535"/>
      <c r="QVB24" s="535"/>
      <c r="QVC24" s="535"/>
      <c r="QVD24" s="535"/>
      <c r="QVE24" s="535"/>
      <c r="QVF24" s="535"/>
      <c r="QVG24" s="535"/>
      <c r="QVH24" s="535"/>
      <c r="QVI24" s="535"/>
      <c r="QVJ24" s="535"/>
      <c r="QVK24" s="535"/>
      <c r="QVL24" s="535"/>
      <c r="QVM24" s="535"/>
      <c r="QVN24" s="535"/>
      <c r="QVO24" s="535"/>
      <c r="QVP24" s="535"/>
      <c r="QVQ24" s="535"/>
      <c r="QVR24" s="535"/>
      <c r="QVS24" s="535"/>
      <c r="QVT24" s="535"/>
      <c r="QVU24" s="535"/>
      <c r="QVV24" s="535"/>
      <c r="QVW24" s="535"/>
      <c r="QVX24" s="535"/>
      <c r="QVY24" s="535"/>
      <c r="QVZ24" s="535"/>
      <c r="QWA24" s="535"/>
      <c r="QWB24" s="535"/>
      <c r="QWC24" s="535"/>
      <c r="QWD24" s="535"/>
      <c r="QWE24" s="535"/>
      <c r="QWF24" s="535"/>
      <c r="QWG24" s="535"/>
      <c r="QWH24" s="535"/>
      <c r="QWI24" s="535"/>
      <c r="QWJ24" s="535"/>
      <c r="QWK24" s="535"/>
      <c r="QWL24" s="535"/>
      <c r="QWM24" s="535"/>
      <c r="QWN24" s="535"/>
      <c r="QWO24" s="535"/>
      <c r="QWP24" s="535"/>
      <c r="QWQ24" s="535"/>
      <c r="QWR24" s="535"/>
      <c r="QWS24" s="535"/>
      <c r="QWT24" s="535"/>
      <c r="QWU24" s="535"/>
      <c r="QWV24" s="535"/>
      <c r="QWW24" s="535"/>
      <c r="QWX24" s="535"/>
      <c r="QWY24" s="535"/>
      <c r="QWZ24" s="535"/>
      <c r="QXA24" s="535"/>
      <c r="QXB24" s="535"/>
      <c r="QXC24" s="535"/>
      <c r="QXD24" s="535"/>
      <c r="QXE24" s="535"/>
      <c r="QXF24" s="535"/>
      <c r="QXG24" s="535"/>
      <c r="QXH24" s="535"/>
      <c r="QXI24" s="535"/>
      <c r="QXJ24" s="535"/>
      <c r="QXK24" s="535"/>
      <c r="QXL24" s="535"/>
      <c r="QXM24" s="535"/>
      <c r="QXN24" s="535"/>
      <c r="QXO24" s="535"/>
      <c r="QXP24" s="535"/>
      <c r="QXQ24" s="535"/>
      <c r="QXR24" s="535"/>
      <c r="QXS24" s="535"/>
      <c r="QXT24" s="535"/>
      <c r="QXU24" s="535"/>
      <c r="QXV24" s="535"/>
      <c r="QXW24" s="535"/>
      <c r="QXX24" s="535"/>
      <c r="QXY24" s="535"/>
      <c r="QXZ24" s="535"/>
      <c r="QYA24" s="535"/>
      <c r="QYB24" s="535"/>
      <c r="QYC24" s="535"/>
      <c r="QYD24" s="535"/>
      <c r="QYE24" s="535"/>
      <c r="QYF24" s="535"/>
      <c r="QYG24" s="535"/>
      <c r="QYH24" s="535"/>
      <c r="QYI24" s="535"/>
      <c r="QYJ24" s="535"/>
      <c r="QYK24" s="535"/>
      <c r="QYL24" s="535"/>
      <c r="QYM24" s="535"/>
      <c r="QYN24" s="535"/>
      <c r="QYO24" s="535"/>
      <c r="QYP24" s="535"/>
      <c r="QYQ24" s="535"/>
      <c r="QYR24" s="535"/>
      <c r="QYS24" s="535"/>
      <c r="QYT24" s="535"/>
      <c r="QYU24" s="535"/>
      <c r="QYV24" s="535"/>
      <c r="QYW24" s="535"/>
      <c r="QYX24" s="535"/>
      <c r="QYY24" s="535"/>
      <c r="QYZ24" s="535"/>
      <c r="QZA24" s="535"/>
      <c r="QZB24" s="535"/>
      <c r="QZC24" s="535"/>
      <c r="QZD24" s="535"/>
      <c r="QZE24" s="535"/>
      <c r="QZF24" s="535"/>
      <c r="QZG24" s="535"/>
      <c r="QZH24" s="535"/>
      <c r="QZI24" s="535"/>
      <c r="QZJ24" s="535"/>
      <c r="QZK24" s="535"/>
      <c r="QZL24" s="535"/>
      <c r="QZM24" s="535"/>
      <c r="QZN24" s="535"/>
      <c r="QZO24" s="535"/>
      <c r="QZP24" s="535"/>
      <c r="QZQ24" s="535"/>
      <c r="QZR24" s="535"/>
      <c r="QZS24" s="535"/>
      <c r="QZT24" s="535"/>
      <c r="QZU24" s="535"/>
      <c r="QZV24" s="535"/>
      <c r="QZW24" s="535"/>
      <c r="QZX24" s="535"/>
      <c r="QZY24" s="535"/>
      <c r="QZZ24" s="535"/>
      <c r="RAA24" s="535"/>
      <c r="RAB24" s="535"/>
      <c r="RAC24" s="535"/>
      <c r="RAD24" s="535"/>
      <c r="RAE24" s="535"/>
      <c r="RAF24" s="535"/>
      <c r="RAG24" s="535"/>
      <c r="RAH24" s="535"/>
      <c r="RAI24" s="535"/>
      <c r="RAJ24" s="535"/>
      <c r="RAK24" s="535"/>
      <c r="RAL24" s="535"/>
      <c r="RAM24" s="535"/>
      <c r="RAN24" s="535"/>
      <c r="RAO24" s="535"/>
      <c r="RAP24" s="535"/>
      <c r="RAQ24" s="535"/>
      <c r="RAR24" s="535"/>
      <c r="RAS24" s="535"/>
      <c r="RAT24" s="535"/>
      <c r="RAU24" s="535"/>
      <c r="RAV24" s="535"/>
      <c r="RAW24" s="535"/>
      <c r="RAX24" s="535"/>
      <c r="RAY24" s="535"/>
      <c r="RAZ24" s="535"/>
      <c r="RBA24" s="535"/>
      <c r="RBB24" s="535"/>
      <c r="RBC24" s="535"/>
      <c r="RBD24" s="535"/>
      <c r="RBE24" s="535"/>
      <c r="RBF24" s="535"/>
      <c r="RBG24" s="535"/>
      <c r="RBH24" s="535"/>
      <c r="RBI24" s="535"/>
      <c r="RBJ24" s="535"/>
      <c r="RBK24" s="535"/>
      <c r="RBL24" s="535"/>
      <c r="RBM24" s="535"/>
      <c r="RBN24" s="535"/>
      <c r="RBO24" s="535"/>
      <c r="RBP24" s="535"/>
      <c r="RBQ24" s="535"/>
      <c r="RBR24" s="535"/>
      <c r="RBS24" s="535"/>
      <c r="RBT24" s="535"/>
      <c r="RBU24" s="535"/>
      <c r="RBV24" s="535"/>
      <c r="RBW24" s="535"/>
      <c r="RBX24" s="535"/>
      <c r="RBY24" s="535"/>
      <c r="RBZ24" s="535"/>
      <c r="RCA24" s="535"/>
      <c r="RCB24" s="535"/>
      <c r="RCC24" s="535"/>
      <c r="RCD24" s="535"/>
      <c r="RCE24" s="535"/>
      <c r="RCF24" s="535"/>
      <c r="RCG24" s="535"/>
      <c r="RCH24" s="535"/>
      <c r="RCI24" s="535"/>
      <c r="RCJ24" s="535"/>
      <c r="RCK24" s="535"/>
      <c r="RCL24" s="535"/>
      <c r="RCM24" s="535"/>
      <c r="RCN24" s="535"/>
      <c r="RCO24" s="535"/>
      <c r="RCP24" s="535"/>
      <c r="RCQ24" s="535"/>
      <c r="RCR24" s="535"/>
      <c r="RCS24" s="535"/>
      <c r="RCT24" s="535"/>
      <c r="RCU24" s="535"/>
      <c r="RCV24" s="535"/>
      <c r="RCW24" s="535"/>
      <c r="RCX24" s="535"/>
      <c r="RCY24" s="535"/>
      <c r="RCZ24" s="535"/>
      <c r="RDA24" s="535"/>
      <c r="RDB24" s="535"/>
      <c r="RDC24" s="535"/>
      <c r="RDD24" s="535"/>
      <c r="RDE24" s="535"/>
      <c r="RDF24" s="535"/>
      <c r="RDG24" s="535"/>
      <c r="RDH24" s="535"/>
      <c r="RDI24" s="535"/>
      <c r="RDJ24" s="535"/>
      <c r="RDK24" s="535"/>
      <c r="RDL24" s="535"/>
      <c r="RDM24" s="535"/>
      <c r="RDN24" s="535"/>
      <c r="RDO24" s="535"/>
      <c r="RDP24" s="535"/>
      <c r="RDQ24" s="535"/>
      <c r="RDR24" s="535"/>
      <c r="RDS24" s="535"/>
      <c r="RDT24" s="535"/>
      <c r="RDU24" s="535"/>
      <c r="RDV24" s="535"/>
      <c r="RDW24" s="535"/>
      <c r="RDX24" s="535"/>
      <c r="RDY24" s="535"/>
      <c r="RDZ24" s="535"/>
      <c r="REA24" s="535"/>
      <c r="REB24" s="535"/>
      <c r="REC24" s="535"/>
      <c r="RED24" s="535"/>
      <c r="REE24" s="535"/>
      <c r="REF24" s="535"/>
      <c r="REG24" s="535"/>
      <c r="REH24" s="535"/>
      <c r="REI24" s="535"/>
      <c r="REJ24" s="535"/>
      <c r="REK24" s="535"/>
      <c r="REL24" s="535"/>
      <c r="REM24" s="535"/>
      <c r="REN24" s="535"/>
      <c r="REO24" s="535"/>
      <c r="REP24" s="535"/>
      <c r="REQ24" s="535"/>
      <c r="RER24" s="535"/>
      <c r="RES24" s="535"/>
      <c r="RET24" s="535"/>
      <c r="REU24" s="535"/>
      <c r="REV24" s="535"/>
      <c r="REW24" s="535"/>
      <c r="REX24" s="535"/>
      <c r="REY24" s="535"/>
      <c r="REZ24" s="535"/>
      <c r="RFA24" s="535"/>
      <c r="RFB24" s="535"/>
      <c r="RFC24" s="535"/>
      <c r="RFD24" s="535"/>
      <c r="RFE24" s="535"/>
      <c r="RFF24" s="535"/>
      <c r="RFG24" s="535"/>
      <c r="RFH24" s="535"/>
      <c r="RFI24" s="535"/>
      <c r="RFJ24" s="535"/>
      <c r="RFK24" s="535"/>
      <c r="RFL24" s="535"/>
      <c r="RFM24" s="535"/>
      <c r="RFN24" s="535"/>
      <c r="RFO24" s="535"/>
      <c r="RFP24" s="535"/>
      <c r="RFQ24" s="535"/>
      <c r="RFR24" s="535"/>
      <c r="RFS24" s="535"/>
      <c r="RFT24" s="535"/>
      <c r="RFU24" s="535"/>
      <c r="RFV24" s="535"/>
      <c r="RFW24" s="535"/>
      <c r="RFX24" s="535"/>
      <c r="RFY24" s="535"/>
      <c r="RFZ24" s="535"/>
      <c r="RGA24" s="535"/>
      <c r="RGB24" s="535"/>
      <c r="RGC24" s="535"/>
      <c r="RGD24" s="535"/>
      <c r="RGE24" s="535"/>
      <c r="RGF24" s="535"/>
      <c r="RGG24" s="535"/>
      <c r="RGH24" s="535"/>
      <c r="RGI24" s="535"/>
      <c r="RGJ24" s="535"/>
      <c r="RGK24" s="535"/>
      <c r="RGL24" s="535"/>
      <c r="RGM24" s="535"/>
      <c r="RGN24" s="535"/>
      <c r="RGO24" s="535"/>
      <c r="RGP24" s="535"/>
      <c r="RGQ24" s="535"/>
      <c r="RGR24" s="535"/>
      <c r="RGS24" s="535"/>
      <c r="RGT24" s="535"/>
      <c r="RGU24" s="535"/>
      <c r="RGV24" s="535"/>
      <c r="RGW24" s="535"/>
      <c r="RGX24" s="535"/>
      <c r="RGY24" s="535"/>
      <c r="RGZ24" s="535"/>
      <c r="RHA24" s="535"/>
      <c r="RHB24" s="535"/>
      <c r="RHC24" s="535"/>
      <c r="RHD24" s="535"/>
      <c r="RHE24" s="535"/>
      <c r="RHF24" s="535"/>
      <c r="RHG24" s="535"/>
      <c r="RHH24" s="535"/>
      <c r="RHI24" s="535"/>
      <c r="RHJ24" s="535"/>
      <c r="RHK24" s="535"/>
      <c r="RHL24" s="535"/>
      <c r="RHM24" s="535"/>
      <c r="RHN24" s="535"/>
      <c r="RHO24" s="535"/>
      <c r="RHP24" s="535"/>
      <c r="RHQ24" s="535"/>
      <c r="RHR24" s="535"/>
      <c r="RHS24" s="535"/>
      <c r="RHT24" s="535"/>
      <c r="RHU24" s="535"/>
      <c r="RHV24" s="535"/>
      <c r="RHW24" s="535"/>
      <c r="RHX24" s="535"/>
      <c r="RHY24" s="535"/>
      <c r="RHZ24" s="535"/>
      <c r="RIA24" s="535"/>
      <c r="RIB24" s="535"/>
      <c r="RIC24" s="535"/>
      <c r="RID24" s="535"/>
      <c r="RIE24" s="535"/>
      <c r="RIF24" s="535"/>
      <c r="RIG24" s="535"/>
      <c r="RIH24" s="535"/>
      <c r="RII24" s="535"/>
      <c r="RIJ24" s="535"/>
      <c r="RIK24" s="535"/>
      <c r="RIL24" s="535"/>
      <c r="RIM24" s="535"/>
      <c r="RIN24" s="535"/>
      <c r="RIO24" s="535"/>
      <c r="RIP24" s="535"/>
      <c r="RIQ24" s="535"/>
      <c r="RIR24" s="535"/>
      <c r="RIS24" s="535"/>
      <c r="RIT24" s="535"/>
      <c r="RIU24" s="535"/>
      <c r="RIV24" s="535"/>
      <c r="RIW24" s="535"/>
      <c r="RIX24" s="535"/>
      <c r="RIY24" s="535"/>
      <c r="RIZ24" s="535"/>
      <c r="RJA24" s="535"/>
      <c r="RJB24" s="535"/>
      <c r="RJC24" s="535"/>
      <c r="RJD24" s="535"/>
      <c r="RJE24" s="535"/>
      <c r="RJF24" s="535"/>
      <c r="RJG24" s="535"/>
      <c r="RJH24" s="535"/>
      <c r="RJI24" s="535"/>
      <c r="RJJ24" s="535"/>
      <c r="RJK24" s="535"/>
      <c r="RJL24" s="535"/>
      <c r="RJM24" s="535"/>
      <c r="RJN24" s="535"/>
      <c r="RJO24" s="535"/>
      <c r="RJP24" s="535"/>
      <c r="RJQ24" s="535"/>
      <c r="RJR24" s="535"/>
      <c r="RJS24" s="535"/>
      <c r="RJT24" s="535"/>
      <c r="RJU24" s="535"/>
      <c r="RJV24" s="535"/>
      <c r="RJW24" s="535"/>
      <c r="RJX24" s="535"/>
      <c r="RJY24" s="535"/>
      <c r="RJZ24" s="535"/>
      <c r="RKA24" s="535"/>
      <c r="RKB24" s="535"/>
      <c r="RKC24" s="535"/>
      <c r="RKD24" s="535"/>
      <c r="RKE24" s="535"/>
      <c r="RKF24" s="535"/>
      <c r="RKG24" s="535"/>
      <c r="RKH24" s="535"/>
      <c r="RKI24" s="535"/>
      <c r="RKJ24" s="535"/>
      <c r="RKK24" s="535"/>
      <c r="RKL24" s="535"/>
      <c r="RKM24" s="535"/>
      <c r="RKN24" s="535"/>
      <c r="RKO24" s="535"/>
      <c r="RKP24" s="535"/>
      <c r="RKQ24" s="535"/>
      <c r="RKR24" s="535"/>
      <c r="RKS24" s="535"/>
      <c r="RKT24" s="535"/>
      <c r="RKU24" s="535"/>
      <c r="RKV24" s="535"/>
      <c r="RKW24" s="535"/>
      <c r="RKX24" s="535"/>
      <c r="RKY24" s="535"/>
      <c r="RKZ24" s="535"/>
      <c r="RLA24" s="535"/>
      <c r="RLB24" s="535"/>
      <c r="RLC24" s="535"/>
      <c r="RLD24" s="535"/>
      <c r="RLE24" s="535"/>
      <c r="RLF24" s="535"/>
      <c r="RLG24" s="535"/>
      <c r="RLH24" s="535"/>
      <c r="RLI24" s="535"/>
      <c r="RLJ24" s="535"/>
      <c r="RLK24" s="535"/>
      <c r="RLL24" s="535"/>
      <c r="RLM24" s="535"/>
      <c r="RLN24" s="535"/>
      <c r="RLO24" s="535"/>
      <c r="RLP24" s="535"/>
      <c r="RLQ24" s="535"/>
      <c r="RLR24" s="535"/>
      <c r="RLS24" s="535"/>
      <c r="RLT24" s="535"/>
      <c r="RLU24" s="535"/>
      <c r="RLV24" s="535"/>
      <c r="RLW24" s="535"/>
      <c r="RLX24" s="535"/>
      <c r="RLY24" s="535"/>
      <c r="RLZ24" s="535"/>
      <c r="RMA24" s="535"/>
      <c r="RMB24" s="535"/>
      <c r="RMC24" s="535"/>
      <c r="RMD24" s="535"/>
      <c r="RME24" s="535"/>
      <c r="RMF24" s="535"/>
      <c r="RMG24" s="535"/>
      <c r="RMH24" s="535"/>
      <c r="RMI24" s="535"/>
      <c r="RMJ24" s="535"/>
      <c r="RMK24" s="535"/>
      <c r="RML24" s="535"/>
      <c r="RMM24" s="535"/>
      <c r="RMN24" s="535"/>
      <c r="RMO24" s="535"/>
      <c r="RMP24" s="535"/>
      <c r="RMQ24" s="535"/>
      <c r="RMR24" s="535"/>
      <c r="RMS24" s="535"/>
      <c r="RMT24" s="535"/>
      <c r="RMU24" s="535"/>
      <c r="RMV24" s="535"/>
      <c r="RMW24" s="535"/>
      <c r="RMX24" s="535"/>
      <c r="RMY24" s="535"/>
      <c r="RMZ24" s="535"/>
      <c r="RNA24" s="535"/>
      <c r="RNB24" s="535"/>
      <c r="RNC24" s="535"/>
      <c r="RND24" s="535"/>
      <c r="RNE24" s="535"/>
      <c r="RNF24" s="535"/>
      <c r="RNG24" s="535"/>
      <c r="RNH24" s="535"/>
      <c r="RNI24" s="535"/>
      <c r="RNJ24" s="535"/>
      <c r="RNK24" s="535"/>
      <c r="RNL24" s="535"/>
      <c r="RNM24" s="535"/>
      <c r="RNN24" s="535"/>
      <c r="RNO24" s="535"/>
      <c r="RNP24" s="535"/>
      <c r="RNQ24" s="535"/>
      <c r="RNR24" s="535"/>
      <c r="RNS24" s="535"/>
      <c r="RNT24" s="535"/>
      <c r="RNU24" s="535"/>
      <c r="RNV24" s="535"/>
      <c r="RNW24" s="535"/>
      <c r="RNX24" s="535"/>
      <c r="RNY24" s="535"/>
      <c r="RNZ24" s="535"/>
      <c r="ROA24" s="535"/>
      <c r="ROB24" s="535"/>
      <c r="ROC24" s="535"/>
      <c r="ROD24" s="535"/>
      <c r="ROE24" s="535"/>
      <c r="ROF24" s="535"/>
      <c r="ROG24" s="535"/>
      <c r="ROH24" s="535"/>
      <c r="ROI24" s="535"/>
      <c r="ROJ24" s="535"/>
      <c r="ROK24" s="535"/>
      <c r="ROL24" s="535"/>
      <c r="ROM24" s="535"/>
      <c r="RON24" s="535"/>
      <c r="ROO24" s="535"/>
      <c r="ROP24" s="535"/>
      <c r="ROQ24" s="535"/>
      <c r="ROR24" s="535"/>
      <c r="ROS24" s="535"/>
      <c r="ROT24" s="535"/>
      <c r="ROU24" s="535"/>
      <c r="ROV24" s="535"/>
      <c r="ROW24" s="535"/>
      <c r="ROX24" s="535"/>
      <c r="ROY24" s="535"/>
      <c r="ROZ24" s="535"/>
      <c r="RPA24" s="535"/>
      <c r="RPB24" s="535"/>
      <c r="RPC24" s="535"/>
      <c r="RPD24" s="535"/>
      <c r="RPE24" s="535"/>
      <c r="RPF24" s="535"/>
      <c r="RPG24" s="535"/>
      <c r="RPH24" s="535"/>
      <c r="RPI24" s="535"/>
      <c r="RPJ24" s="535"/>
      <c r="RPK24" s="535"/>
      <c r="RPL24" s="535"/>
      <c r="RPM24" s="535"/>
      <c r="RPN24" s="535"/>
      <c r="RPO24" s="535"/>
      <c r="RPP24" s="535"/>
      <c r="RPQ24" s="535"/>
      <c r="RPR24" s="535"/>
      <c r="RPS24" s="535"/>
      <c r="RPT24" s="535"/>
      <c r="RPU24" s="535"/>
      <c r="RPV24" s="535"/>
      <c r="RPW24" s="535"/>
      <c r="RPX24" s="535"/>
      <c r="RPY24" s="535"/>
      <c r="RPZ24" s="535"/>
      <c r="RQA24" s="535"/>
      <c r="RQB24" s="535"/>
      <c r="RQC24" s="535"/>
      <c r="RQD24" s="535"/>
      <c r="RQE24" s="535"/>
      <c r="RQF24" s="535"/>
      <c r="RQG24" s="535"/>
      <c r="RQH24" s="535"/>
      <c r="RQI24" s="535"/>
      <c r="RQJ24" s="535"/>
      <c r="RQK24" s="535"/>
      <c r="RQL24" s="535"/>
      <c r="RQM24" s="535"/>
      <c r="RQN24" s="535"/>
      <c r="RQO24" s="535"/>
      <c r="RQP24" s="535"/>
      <c r="RQQ24" s="535"/>
      <c r="RQR24" s="535"/>
      <c r="RQS24" s="535"/>
      <c r="RQT24" s="535"/>
      <c r="RQU24" s="535"/>
      <c r="RQV24" s="535"/>
      <c r="RQW24" s="535"/>
      <c r="RQX24" s="535"/>
      <c r="RQY24" s="535"/>
      <c r="RQZ24" s="535"/>
      <c r="RRA24" s="535"/>
      <c r="RRB24" s="535"/>
      <c r="RRC24" s="535"/>
      <c r="RRD24" s="535"/>
      <c r="RRE24" s="535"/>
      <c r="RRF24" s="535"/>
      <c r="RRG24" s="535"/>
      <c r="RRH24" s="535"/>
      <c r="RRI24" s="535"/>
      <c r="RRJ24" s="535"/>
      <c r="RRK24" s="535"/>
      <c r="RRL24" s="535"/>
      <c r="RRM24" s="535"/>
      <c r="RRN24" s="535"/>
      <c r="RRO24" s="535"/>
      <c r="RRP24" s="535"/>
      <c r="RRQ24" s="535"/>
      <c r="RRR24" s="535"/>
      <c r="RRS24" s="535"/>
      <c r="RRT24" s="535"/>
      <c r="RRU24" s="535"/>
      <c r="RRV24" s="535"/>
      <c r="RRW24" s="535"/>
      <c r="RRX24" s="535"/>
      <c r="RRY24" s="535"/>
      <c r="RRZ24" s="535"/>
      <c r="RSA24" s="535"/>
      <c r="RSB24" s="535"/>
      <c r="RSC24" s="535"/>
      <c r="RSD24" s="535"/>
      <c r="RSE24" s="535"/>
      <c r="RSF24" s="535"/>
      <c r="RSG24" s="535"/>
      <c r="RSH24" s="535"/>
      <c r="RSI24" s="535"/>
      <c r="RSJ24" s="535"/>
      <c r="RSK24" s="535"/>
      <c r="RSL24" s="535"/>
      <c r="RSM24" s="535"/>
      <c r="RSN24" s="535"/>
      <c r="RSO24" s="535"/>
      <c r="RSP24" s="535"/>
      <c r="RSQ24" s="535"/>
      <c r="RSR24" s="535"/>
      <c r="RSS24" s="535"/>
      <c r="RST24" s="535"/>
      <c r="RSU24" s="535"/>
      <c r="RSV24" s="535"/>
      <c r="RSW24" s="535"/>
      <c r="RSX24" s="535"/>
      <c r="RSY24" s="535"/>
      <c r="RSZ24" s="535"/>
      <c r="RTA24" s="535"/>
      <c r="RTB24" s="535"/>
      <c r="RTC24" s="535"/>
      <c r="RTD24" s="535"/>
      <c r="RTE24" s="535"/>
      <c r="RTF24" s="535"/>
      <c r="RTG24" s="535"/>
      <c r="RTH24" s="535"/>
      <c r="RTI24" s="535"/>
      <c r="RTJ24" s="535"/>
      <c r="RTK24" s="535"/>
      <c r="RTL24" s="535"/>
      <c r="RTM24" s="535"/>
      <c r="RTN24" s="535"/>
      <c r="RTO24" s="535"/>
      <c r="RTP24" s="535"/>
      <c r="RTQ24" s="535"/>
      <c r="RTR24" s="535"/>
      <c r="RTS24" s="535"/>
      <c r="RTT24" s="535"/>
      <c r="RTU24" s="535"/>
      <c r="RTV24" s="535"/>
      <c r="RTW24" s="535"/>
      <c r="RTX24" s="535"/>
      <c r="RTY24" s="535"/>
      <c r="RTZ24" s="535"/>
      <c r="RUA24" s="535"/>
      <c r="RUB24" s="535"/>
      <c r="RUC24" s="535"/>
      <c r="RUD24" s="535"/>
      <c r="RUE24" s="535"/>
      <c r="RUF24" s="535"/>
      <c r="RUG24" s="535"/>
      <c r="RUH24" s="535"/>
      <c r="RUI24" s="535"/>
      <c r="RUJ24" s="535"/>
      <c r="RUK24" s="535"/>
      <c r="RUL24" s="535"/>
      <c r="RUM24" s="535"/>
      <c r="RUN24" s="535"/>
      <c r="RUO24" s="535"/>
      <c r="RUP24" s="535"/>
      <c r="RUQ24" s="535"/>
      <c r="RUR24" s="535"/>
      <c r="RUS24" s="535"/>
      <c r="RUT24" s="535"/>
      <c r="RUU24" s="535"/>
      <c r="RUV24" s="535"/>
      <c r="RUW24" s="535"/>
      <c r="RUX24" s="535"/>
      <c r="RUY24" s="535"/>
      <c r="RUZ24" s="535"/>
      <c r="RVA24" s="535"/>
      <c r="RVB24" s="535"/>
      <c r="RVC24" s="535"/>
      <c r="RVD24" s="535"/>
      <c r="RVE24" s="535"/>
      <c r="RVF24" s="535"/>
      <c r="RVG24" s="535"/>
      <c r="RVH24" s="535"/>
      <c r="RVI24" s="535"/>
      <c r="RVJ24" s="535"/>
      <c r="RVK24" s="535"/>
      <c r="RVL24" s="535"/>
      <c r="RVM24" s="535"/>
      <c r="RVN24" s="535"/>
      <c r="RVO24" s="535"/>
      <c r="RVP24" s="535"/>
      <c r="RVQ24" s="535"/>
      <c r="RVR24" s="535"/>
      <c r="RVS24" s="535"/>
      <c r="RVT24" s="535"/>
      <c r="RVU24" s="535"/>
      <c r="RVV24" s="535"/>
      <c r="RVW24" s="535"/>
      <c r="RVX24" s="535"/>
      <c r="RVY24" s="535"/>
      <c r="RVZ24" s="535"/>
      <c r="RWA24" s="535"/>
      <c r="RWB24" s="535"/>
      <c r="RWC24" s="535"/>
      <c r="RWD24" s="535"/>
      <c r="RWE24" s="535"/>
      <c r="RWF24" s="535"/>
      <c r="RWG24" s="535"/>
      <c r="RWH24" s="535"/>
      <c r="RWI24" s="535"/>
      <c r="RWJ24" s="535"/>
      <c r="RWK24" s="535"/>
      <c r="RWL24" s="535"/>
      <c r="RWM24" s="535"/>
      <c r="RWN24" s="535"/>
      <c r="RWO24" s="535"/>
      <c r="RWP24" s="535"/>
      <c r="RWQ24" s="535"/>
      <c r="RWR24" s="535"/>
      <c r="RWS24" s="535"/>
      <c r="RWT24" s="535"/>
      <c r="RWU24" s="535"/>
      <c r="RWV24" s="535"/>
      <c r="RWW24" s="535"/>
      <c r="RWX24" s="535"/>
      <c r="RWY24" s="535"/>
      <c r="RWZ24" s="535"/>
      <c r="RXA24" s="535"/>
      <c r="RXB24" s="535"/>
      <c r="RXC24" s="535"/>
      <c r="RXD24" s="535"/>
      <c r="RXE24" s="535"/>
      <c r="RXF24" s="535"/>
      <c r="RXG24" s="535"/>
      <c r="RXH24" s="535"/>
      <c r="RXI24" s="535"/>
      <c r="RXJ24" s="535"/>
      <c r="RXK24" s="535"/>
      <c r="RXL24" s="535"/>
      <c r="RXM24" s="535"/>
      <c r="RXN24" s="535"/>
      <c r="RXO24" s="535"/>
      <c r="RXP24" s="535"/>
      <c r="RXQ24" s="535"/>
      <c r="RXR24" s="535"/>
      <c r="RXS24" s="535"/>
      <c r="RXT24" s="535"/>
      <c r="RXU24" s="535"/>
      <c r="RXV24" s="535"/>
      <c r="RXW24" s="535"/>
      <c r="RXX24" s="535"/>
      <c r="RXY24" s="535"/>
      <c r="RXZ24" s="535"/>
      <c r="RYA24" s="535"/>
      <c r="RYB24" s="535"/>
      <c r="RYC24" s="535"/>
      <c r="RYD24" s="535"/>
      <c r="RYE24" s="535"/>
      <c r="RYF24" s="535"/>
      <c r="RYG24" s="535"/>
      <c r="RYH24" s="535"/>
      <c r="RYI24" s="535"/>
      <c r="RYJ24" s="535"/>
      <c r="RYK24" s="535"/>
      <c r="RYL24" s="535"/>
      <c r="RYM24" s="535"/>
      <c r="RYN24" s="535"/>
      <c r="RYO24" s="535"/>
      <c r="RYP24" s="535"/>
      <c r="RYQ24" s="535"/>
      <c r="RYR24" s="535"/>
      <c r="RYS24" s="535"/>
      <c r="RYT24" s="535"/>
      <c r="RYU24" s="535"/>
      <c r="RYV24" s="535"/>
      <c r="RYW24" s="535"/>
      <c r="RYX24" s="535"/>
      <c r="RYY24" s="535"/>
      <c r="RYZ24" s="535"/>
      <c r="RZA24" s="535"/>
      <c r="RZB24" s="535"/>
      <c r="RZC24" s="535"/>
      <c r="RZD24" s="535"/>
      <c r="RZE24" s="535"/>
      <c r="RZF24" s="535"/>
      <c r="RZG24" s="535"/>
      <c r="RZH24" s="535"/>
      <c r="RZI24" s="535"/>
      <c r="RZJ24" s="535"/>
      <c r="RZK24" s="535"/>
      <c r="RZL24" s="535"/>
      <c r="RZM24" s="535"/>
      <c r="RZN24" s="535"/>
      <c r="RZO24" s="535"/>
      <c r="RZP24" s="535"/>
      <c r="RZQ24" s="535"/>
      <c r="RZR24" s="535"/>
      <c r="RZS24" s="535"/>
      <c r="RZT24" s="535"/>
      <c r="RZU24" s="535"/>
      <c r="RZV24" s="535"/>
      <c r="RZW24" s="535"/>
      <c r="RZX24" s="535"/>
      <c r="RZY24" s="535"/>
      <c r="RZZ24" s="535"/>
      <c r="SAA24" s="535"/>
      <c r="SAB24" s="535"/>
      <c r="SAC24" s="535"/>
      <c r="SAD24" s="535"/>
      <c r="SAE24" s="535"/>
      <c r="SAF24" s="535"/>
      <c r="SAG24" s="535"/>
      <c r="SAH24" s="535"/>
      <c r="SAI24" s="535"/>
      <c r="SAJ24" s="535"/>
      <c r="SAK24" s="535"/>
      <c r="SAL24" s="535"/>
      <c r="SAM24" s="535"/>
      <c r="SAN24" s="535"/>
      <c r="SAO24" s="535"/>
      <c r="SAP24" s="535"/>
      <c r="SAQ24" s="535"/>
      <c r="SAR24" s="535"/>
      <c r="SAS24" s="535"/>
      <c r="SAT24" s="535"/>
      <c r="SAU24" s="535"/>
      <c r="SAV24" s="535"/>
      <c r="SAW24" s="535"/>
      <c r="SAX24" s="535"/>
      <c r="SAY24" s="535"/>
      <c r="SAZ24" s="535"/>
      <c r="SBA24" s="535"/>
      <c r="SBB24" s="535"/>
      <c r="SBC24" s="535"/>
      <c r="SBD24" s="535"/>
      <c r="SBE24" s="535"/>
      <c r="SBF24" s="535"/>
      <c r="SBG24" s="535"/>
      <c r="SBH24" s="535"/>
      <c r="SBI24" s="535"/>
      <c r="SBJ24" s="535"/>
      <c r="SBK24" s="535"/>
      <c r="SBL24" s="535"/>
      <c r="SBM24" s="535"/>
      <c r="SBN24" s="535"/>
      <c r="SBO24" s="535"/>
      <c r="SBP24" s="535"/>
      <c r="SBQ24" s="535"/>
      <c r="SBR24" s="535"/>
      <c r="SBS24" s="535"/>
      <c r="SBT24" s="535"/>
      <c r="SBU24" s="535"/>
      <c r="SBV24" s="535"/>
      <c r="SBW24" s="535"/>
      <c r="SBX24" s="535"/>
      <c r="SBY24" s="535"/>
      <c r="SBZ24" s="535"/>
      <c r="SCA24" s="535"/>
      <c r="SCB24" s="535"/>
      <c r="SCC24" s="535"/>
      <c r="SCD24" s="535"/>
      <c r="SCE24" s="535"/>
      <c r="SCF24" s="535"/>
      <c r="SCG24" s="535"/>
      <c r="SCH24" s="535"/>
      <c r="SCI24" s="535"/>
      <c r="SCJ24" s="535"/>
      <c r="SCK24" s="535"/>
      <c r="SCL24" s="535"/>
      <c r="SCM24" s="535"/>
      <c r="SCN24" s="535"/>
      <c r="SCO24" s="535"/>
      <c r="SCP24" s="535"/>
      <c r="SCQ24" s="535"/>
      <c r="SCR24" s="535"/>
      <c r="SCS24" s="535"/>
      <c r="SCT24" s="535"/>
      <c r="SCU24" s="535"/>
      <c r="SCV24" s="535"/>
      <c r="SCW24" s="535"/>
      <c r="SCX24" s="535"/>
      <c r="SCY24" s="535"/>
      <c r="SCZ24" s="535"/>
      <c r="SDA24" s="535"/>
      <c r="SDB24" s="535"/>
      <c r="SDC24" s="535"/>
      <c r="SDD24" s="535"/>
      <c r="SDE24" s="535"/>
      <c r="SDF24" s="535"/>
      <c r="SDG24" s="535"/>
      <c r="SDH24" s="535"/>
      <c r="SDI24" s="535"/>
      <c r="SDJ24" s="535"/>
      <c r="SDK24" s="535"/>
      <c r="SDL24" s="535"/>
      <c r="SDM24" s="535"/>
      <c r="SDN24" s="535"/>
      <c r="SDO24" s="535"/>
      <c r="SDP24" s="535"/>
      <c r="SDQ24" s="535"/>
      <c r="SDR24" s="535"/>
      <c r="SDS24" s="535"/>
      <c r="SDT24" s="535"/>
      <c r="SDU24" s="535"/>
      <c r="SDV24" s="535"/>
      <c r="SDW24" s="535"/>
      <c r="SDX24" s="535"/>
      <c r="SDY24" s="535"/>
      <c r="SDZ24" s="535"/>
      <c r="SEA24" s="535"/>
      <c r="SEB24" s="535"/>
      <c r="SEC24" s="535"/>
      <c r="SED24" s="535"/>
      <c r="SEE24" s="535"/>
      <c r="SEF24" s="535"/>
      <c r="SEG24" s="535"/>
      <c r="SEH24" s="535"/>
      <c r="SEI24" s="535"/>
      <c r="SEJ24" s="535"/>
      <c r="SEK24" s="535"/>
      <c r="SEL24" s="535"/>
      <c r="SEM24" s="535"/>
      <c r="SEN24" s="535"/>
      <c r="SEO24" s="535"/>
      <c r="SEP24" s="535"/>
      <c r="SEQ24" s="535"/>
      <c r="SER24" s="535"/>
      <c r="SES24" s="535"/>
      <c r="SET24" s="535"/>
      <c r="SEU24" s="535"/>
      <c r="SEV24" s="535"/>
      <c r="SEW24" s="535"/>
      <c r="SEX24" s="535"/>
      <c r="SEY24" s="535"/>
      <c r="SEZ24" s="535"/>
      <c r="SFA24" s="535"/>
      <c r="SFB24" s="535"/>
      <c r="SFC24" s="535"/>
      <c r="SFD24" s="535"/>
      <c r="SFE24" s="535"/>
      <c r="SFF24" s="535"/>
      <c r="SFG24" s="535"/>
      <c r="SFH24" s="535"/>
      <c r="SFI24" s="535"/>
      <c r="SFJ24" s="535"/>
      <c r="SFK24" s="535"/>
      <c r="SFL24" s="535"/>
      <c r="SFM24" s="535"/>
      <c r="SFN24" s="535"/>
      <c r="SFO24" s="535"/>
      <c r="SFP24" s="535"/>
      <c r="SFQ24" s="535"/>
      <c r="SFR24" s="535"/>
      <c r="SFS24" s="535"/>
      <c r="SFT24" s="535"/>
      <c r="SFU24" s="535"/>
      <c r="SFV24" s="535"/>
      <c r="SFW24" s="535"/>
      <c r="SFX24" s="535"/>
      <c r="SFY24" s="535"/>
      <c r="SFZ24" s="535"/>
      <c r="SGA24" s="535"/>
      <c r="SGB24" s="535"/>
      <c r="SGC24" s="535"/>
      <c r="SGD24" s="535"/>
      <c r="SGE24" s="535"/>
      <c r="SGF24" s="535"/>
      <c r="SGG24" s="535"/>
      <c r="SGH24" s="535"/>
      <c r="SGI24" s="535"/>
      <c r="SGJ24" s="535"/>
      <c r="SGK24" s="535"/>
      <c r="SGL24" s="535"/>
      <c r="SGM24" s="535"/>
      <c r="SGN24" s="535"/>
      <c r="SGO24" s="535"/>
      <c r="SGP24" s="535"/>
      <c r="SGQ24" s="535"/>
      <c r="SGR24" s="535"/>
      <c r="SGS24" s="535"/>
      <c r="SGT24" s="535"/>
      <c r="SGU24" s="535"/>
      <c r="SGV24" s="535"/>
      <c r="SGW24" s="535"/>
      <c r="SGX24" s="535"/>
      <c r="SGY24" s="535"/>
      <c r="SGZ24" s="535"/>
      <c r="SHA24" s="535"/>
      <c r="SHB24" s="535"/>
      <c r="SHC24" s="535"/>
      <c r="SHD24" s="535"/>
      <c r="SHE24" s="535"/>
      <c r="SHF24" s="535"/>
      <c r="SHG24" s="535"/>
      <c r="SHH24" s="535"/>
      <c r="SHI24" s="535"/>
      <c r="SHJ24" s="535"/>
      <c r="SHK24" s="535"/>
      <c r="SHL24" s="535"/>
      <c r="SHM24" s="535"/>
      <c r="SHN24" s="535"/>
      <c r="SHO24" s="535"/>
      <c r="SHP24" s="535"/>
      <c r="SHQ24" s="535"/>
      <c r="SHR24" s="535"/>
      <c r="SHS24" s="535"/>
      <c r="SHT24" s="535"/>
      <c r="SHU24" s="535"/>
      <c r="SHV24" s="535"/>
      <c r="SHW24" s="535"/>
      <c r="SHX24" s="535"/>
      <c r="SHY24" s="535"/>
      <c r="SHZ24" s="535"/>
      <c r="SIA24" s="535"/>
      <c r="SIB24" s="535"/>
      <c r="SIC24" s="535"/>
      <c r="SID24" s="535"/>
      <c r="SIE24" s="535"/>
      <c r="SIF24" s="535"/>
      <c r="SIG24" s="535"/>
      <c r="SIH24" s="535"/>
      <c r="SII24" s="535"/>
      <c r="SIJ24" s="535"/>
      <c r="SIK24" s="535"/>
      <c r="SIL24" s="535"/>
      <c r="SIM24" s="535"/>
      <c r="SIN24" s="535"/>
      <c r="SIO24" s="535"/>
      <c r="SIP24" s="535"/>
      <c r="SIQ24" s="535"/>
      <c r="SIR24" s="535"/>
      <c r="SIS24" s="535"/>
      <c r="SIT24" s="535"/>
      <c r="SIU24" s="535"/>
      <c r="SIV24" s="535"/>
      <c r="SIW24" s="535"/>
      <c r="SIX24" s="535"/>
      <c r="SIY24" s="535"/>
      <c r="SIZ24" s="535"/>
      <c r="SJA24" s="535"/>
      <c r="SJB24" s="535"/>
      <c r="SJC24" s="535"/>
      <c r="SJD24" s="535"/>
      <c r="SJE24" s="535"/>
      <c r="SJF24" s="535"/>
      <c r="SJG24" s="535"/>
      <c r="SJH24" s="535"/>
      <c r="SJI24" s="535"/>
      <c r="SJJ24" s="535"/>
      <c r="SJK24" s="535"/>
      <c r="SJL24" s="535"/>
      <c r="SJM24" s="535"/>
      <c r="SJN24" s="535"/>
      <c r="SJO24" s="535"/>
      <c r="SJP24" s="535"/>
      <c r="SJQ24" s="535"/>
      <c r="SJR24" s="535"/>
      <c r="SJS24" s="535"/>
      <c r="SJT24" s="535"/>
      <c r="SJU24" s="535"/>
      <c r="SJV24" s="535"/>
      <c r="SJW24" s="535"/>
      <c r="SJX24" s="535"/>
      <c r="SJY24" s="535"/>
      <c r="SJZ24" s="535"/>
      <c r="SKA24" s="535"/>
      <c r="SKB24" s="535"/>
      <c r="SKC24" s="535"/>
      <c r="SKD24" s="535"/>
      <c r="SKE24" s="535"/>
      <c r="SKF24" s="535"/>
      <c r="SKG24" s="535"/>
      <c r="SKH24" s="535"/>
      <c r="SKI24" s="535"/>
      <c r="SKJ24" s="535"/>
      <c r="SKK24" s="535"/>
      <c r="SKL24" s="535"/>
      <c r="SKM24" s="535"/>
      <c r="SKN24" s="535"/>
      <c r="SKO24" s="535"/>
      <c r="SKP24" s="535"/>
      <c r="SKQ24" s="535"/>
      <c r="SKR24" s="535"/>
      <c r="SKS24" s="535"/>
      <c r="SKT24" s="535"/>
      <c r="SKU24" s="535"/>
      <c r="SKV24" s="535"/>
      <c r="SKW24" s="535"/>
      <c r="SKX24" s="535"/>
      <c r="SKY24" s="535"/>
      <c r="SKZ24" s="535"/>
      <c r="SLA24" s="535"/>
      <c r="SLB24" s="535"/>
      <c r="SLC24" s="535"/>
      <c r="SLD24" s="535"/>
      <c r="SLE24" s="535"/>
      <c r="SLF24" s="535"/>
      <c r="SLG24" s="535"/>
      <c r="SLH24" s="535"/>
      <c r="SLI24" s="535"/>
      <c r="SLJ24" s="535"/>
      <c r="SLK24" s="535"/>
      <c r="SLL24" s="535"/>
      <c r="SLM24" s="535"/>
      <c r="SLN24" s="535"/>
      <c r="SLO24" s="535"/>
      <c r="SLP24" s="535"/>
      <c r="SLQ24" s="535"/>
      <c r="SLR24" s="535"/>
      <c r="SLS24" s="535"/>
      <c r="SLT24" s="535"/>
      <c r="SLU24" s="535"/>
      <c r="SLV24" s="535"/>
      <c r="SLW24" s="535"/>
      <c r="SLX24" s="535"/>
      <c r="SLY24" s="535"/>
      <c r="SLZ24" s="535"/>
      <c r="SMA24" s="535"/>
      <c r="SMB24" s="535"/>
      <c r="SMC24" s="535"/>
      <c r="SMD24" s="535"/>
      <c r="SME24" s="535"/>
      <c r="SMF24" s="535"/>
      <c r="SMG24" s="535"/>
      <c r="SMH24" s="535"/>
      <c r="SMI24" s="535"/>
      <c r="SMJ24" s="535"/>
      <c r="SMK24" s="535"/>
      <c r="SML24" s="535"/>
      <c r="SMM24" s="535"/>
      <c r="SMN24" s="535"/>
      <c r="SMO24" s="535"/>
      <c r="SMP24" s="535"/>
      <c r="SMQ24" s="535"/>
      <c r="SMR24" s="535"/>
      <c r="SMS24" s="535"/>
      <c r="SMT24" s="535"/>
      <c r="SMU24" s="535"/>
      <c r="SMV24" s="535"/>
      <c r="SMW24" s="535"/>
      <c r="SMX24" s="535"/>
      <c r="SMY24" s="535"/>
      <c r="SMZ24" s="535"/>
      <c r="SNA24" s="535"/>
      <c r="SNB24" s="535"/>
      <c r="SNC24" s="535"/>
      <c r="SND24" s="535"/>
      <c r="SNE24" s="535"/>
      <c r="SNF24" s="535"/>
      <c r="SNG24" s="535"/>
      <c r="SNH24" s="535"/>
      <c r="SNI24" s="535"/>
      <c r="SNJ24" s="535"/>
      <c r="SNK24" s="535"/>
      <c r="SNL24" s="535"/>
      <c r="SNM24" s="535"/>
      <c r="SNN24" s="535"/>
      <c r="SNO24" s="535"/>
      <c r="SNP24" s="535"/>
      <c r="SNQ24" s="535"/>
      <c r="SNR24" s="535"/>
      <c r="SNS24" s="535"/>
      <c r="SNT24" s="535"/>
      <c r="SNU24" s="535"/>
      <c r="SNV24" s="535"/>
      <c r="SNW24" s="535"/>
      <c r="SNX24" s="535"/>
      <c r="SNY24" s="535"/>
      <c r="SNZ24" s="535"/>
      <c r="SOA24" s="535"/>
      <c r="SOB24" s="535"/>
      <c r="SOC24" s="535"/>
      <c r="SOD24" s="535"/>
      <c r="SOE24" s="535"/>
      <c r="SOF24" s="535"/>
      <c r="SOG24" s="535"/>
      <c r="SOH24" s="535"/>
      <c r="SOI24" s="535"/>
      <c r="SOJ24" s="535"/>
      <c r="SOK24" s="535"/>
      <c r="SOL24" s="535"/>
      <c r="SOM24" s="535"/>
      <c r="SON24" s="535"/>
      <c r="SOO24" s="535"/>
      <c r="SOP24" s="535"/>
      <c r="SOQ24" s="535"/>
      <c r="SOR24" s="535"/>
      <c r="SOS24" s="535"/>
      <c r="SOT24" s="535"/>
      <c r="SOU24" s="535"/>
      <c r="SOV24" s="535"/>
      <c r="SOW24" s="535"/>
      <c r="SOX24" s="535"/>
      <c r="SOY24" s="535"/>
      <c r="SOZ24" s="535"/>
      <c r="SPA24" s="535"/>
      <c r="SPB24" s="535"/>
      <c r="SPC24" s="535"/>
      <c r="SPD24" s="535"/>
      <c r="SPE24" s="535"/>
      <c r="SPF24" s="535"/>
      <c r="SPG24" s="535"/>
      <c r="SPH24" s="535"/>
      <c r="SPI24" s="535"/>
      <c r="SPJ24" s="535"/>
      <c r="SPK24" s="535"/>
      <c r="SPL24" s="535"/>
      <c r="SPM24" s="535"/>
      <c r="SPN24" s="535"/>
      <c r="SPO24" s="535"/>
      <c r="SPP24" s="535"/>
      <c r="SPQ24" s="535"/>
      <c r="SPR24" s="535"/>
      <c r="SPS24" s="535"/>
      <c r="SPT24" s="535"/>
      <c r="SPU24" s="535"/>
      <c r="SPV24" s="535"/>
      <c r="SPW24" s="535"/>
      <c r="SPX24" s="535"/>
      <c r="SPY24" s="535"/>
      <c r="SPZ24" s="535"/>
      <c r="SQA24" s="535"/>
      <c r="SQB24" s="535"/>
      <c r="SQC24" s="535"/>
      <c r="SQD24" s="535"/>
      <c r="SQE24" s="535"/>
      <c r="SQF24" s="535"/>
      <c r="SQG24" s="535"/>
      <c r="SQH24" s="535"/>
      <c r="SQI24" s="535"/>
      <c r="SQJ24" s="535"/>
      <c r="SQK24" s="535"/>
      <c r="SQL24" s="535"/>
      <c r="SQM24" s="535"/>
      <c r="SQN24" s="535"/>
      <c r="SQO24" s="535"/>
      <c r="SQP24" s="535"/>
      <c r="SQQ24" s="535"/>
      <c r="SQR24" s="535"/>
      <c r="SQS24" s="535"/>
      <c r="SQT24" s="535"/>
      <c r="SQU24" s="535"/>
      <c r="SQV24" s="535"/>
      <c r="SQW24" s="535"/>
      <c r="SQX24" s="535"/>
      <c r="SQY24" s="535"/>
      <c r="SQZ24" s="535"/>
      <c r="SRA24" s="535"/>
      <c r="SRB24" s="535"/>
      <c r="SRC24" s="535"/>
      <c r="SRD24" s="535"/>
      <c r="SRE24" s="535"/>
      <c r="SRF24" s="535"/>
      <c r="SRG24" s="535"/>
      <c r="SRH24" s="535"/>
      <c r="SRI24" s="535"/>
      <c r="SRJ24" s="535"/>
      <c r="SRK24" s="535"/>
      <c r="SRL24" s="535"/>
      <c r="SRM24" s="535"/>
      <c r="SRN24" s="535"/>
      <c r="SRO24" s="535"/>
      <c r="SRP24" s="535"/>
      <c r="SRQ24" s="535"/>
      <c r="SRR24" s="535"/>
      <c r="SRS24" s="535"/>
      <c r="SRT24" s="535"/>
      <c r="SRU24" s="535"/>
      <c r="SRV24" s="535"/>
      <c r="SRW24" s="535"/>
      <c r="SRX24" s="535"/>
      <c r="SRY24" s="535"/>
      <c r="SRZ24" s="535"/>
      <c r="SSA24" s="535"/>
      <c r="SSB24" s="535"/>
      <c r="SSC24" s="535"/>
      <c r="SSD24" s="535"/>
      <c r="SSE24" s="535"/>
      <c r="SSF24" s="535"/>
      <c r="SSG24" s="535"/>
      <c r="SSH24" s="535"/>
      <c r="SSI24" s="535"/>
      <c r="SSJ24" s="535"/>
      <c r="SSK24" s="535"/>
      <c r="SSL24" s="535"/>
      <c r="SSM24" s="535"/>
      <c r="SSN24" s="535"/>
      <c r="SSO24" s="535"/>
      <c r="SSP24" s="535"/>
      <c r="SSQ24" s="535"/>
      <c r="SSR24" s="535"/>
      <c r="SSS24" s="535"/>
      <c r="SST24" s="535"/>
      <c r="SSU24" s="535"/>
      <c r="SSV24" s="535"/>
      <c r="SSW24" s="535"/>
      <c r="SSX24" s="535"/>
      <c r="SSY24" s="535"/>
      <c r="SSZ24" s="535"/>
      <c r="STA24" s="535"/>
      <c r="STB24" s="535"/>
      <c r="STC24" s="535"/>
      <c r="STD24" s="535"/>
      <c r="STE24" s="535"/>
      <c r="STF24" s="535"/>
      <c r="STG24" s="535"/>
      <c r="STH24" s="535"/>
      <c r="STI24" s="535"/>
      <c r="STJ24" s="535"/>
      <c r="STK24" s="535"/>
      <c r="STL24" s="535"/>
      <c r="STM24" s="535"/>
      <c r="STN24" s="535"/>
      <c r="STO24" s="535"/>
      <c r="STP24" s="535"/>
      <c r="STQ24" s="535"/>
      <c r="STR24" s="535"/>
      <c r="STS24" s="535"/>
      <c r="STT24" s="535"/>
      <c r="STU24" s="535"/>
      <c r="STV24" s="535"/>
      <c r="STW24" s="535"/>
      <c r="STX24" s="535"/>
      <c r="STY24" s="535"/>
      <c r="STZ24" s="535"/>
      <c r="SUA24" s="535"/>
      <c r="SUB24" s="535"/>
      <c r="SUC24" s="535"/>
      <c r="SUD24" s="535"/>
      <c r="SUE24" s="535"/>
      <c r="SUF24" s="535"/>
      <c r="SUG24" s="535"/>
      <c r="SUH24" s="535"/>
      <c r="SUI24" s="535"/>
      <c r="SUJ24" s="535"/>
      <c r="SUK24" s="535"/>
      <c r="SUL24" s="535"/>
      <c r="SUM24" s="535"/>
      <c r="SUN24" s="535"/>
      <c r="SUO24" s="535"/>
      <c r="SUP24" s="535"/>
      <c r="SUQ24" s="535"/>
      <c r="SUR24" s="535"/>
      <c r="SUS24" s="535"/>
      <c r="SUT24" s="535"/>
      <c r="SUU24" s="535"/>
      <c r="SUV24" s="535"/>
      <c r="SUW24" s="535"/>
      <c r="SUX24" s="535"/>
      <c r="SUY24" s="535"/>
      <c r="SUZ24" s="535"/>
      <c r="SVA24" s="535"/>
      <c r="SVB24" s="535"/>
      <c r="SVC24" s="535"/>
      <c r="SVD24" s="535"/>
      <c r="SVE24" s="535"/>
      <c r="SVF24" s="535"/>
      <c r="SVG24" s="535"/>
      <c r="SVH24" s="535"/>
      <c r="SVI24" s="535"/>
      <c r="SVJ24" s="535"/>
      <c r="SVK24" s="535"/>
      <c r="SVL24" s="535"/>
      <c r="SVM24" s="535"/>
      <c r="SVN24" s="535"/>
      <c r="SVO24" s="535"/>
      <c r="SVP24" s="535"/>
      <c r="SVQ24" s="535"/>
      <c r="SVR24" s="535"/>
      <c r="SVS24" s="535"/>
      <c r="SVT24" s="535"/>
      <c r="SVU24" s="535"/>
      <c r="SVV24" s="535"/>
      <c r="SVW24" s="535"/>
      <c r="SVX24" s="535"/>
      <c r="SVY24" s="535"/>
      <c r="SVZ24" s="535"/>
      <c r="SWA24" s="535"/>
      <c r="SWB24" s="535"/>
      <c r="SWC24" s="535"/>
      <c r="SWD24" s="535"/>
      <c r="SWE24" s="535"/>
      <c r="SWF24" s="535"/>
      <c r="SWG24" s="535"/>
      <c r="SWH24" s="535"/>
      <c r="SWI24" s="535"/>
      <c r="SWJ24" s="535"/>
      <c r="SWK24" s="535"/>
      <c r="SWL24" s="535"/>
      <c r="SWM24" s="535"/>
      <c r="SWN24" s="535"/>
      <c r="SWO24" s="535"/>
      <c r="SWP24" s="535"/>
      <c r="SWQ24" s="535"/>
      <c r="SWR24" s="535"/>
      <c r="SWS24" s="535"/>
      <c r="SWT24" s="535"/>
      <c r="SWU24" s="535"/>
      <c r="SWV24" s="535"/>
      <c r="SWW24" s="535"/>
      <c r="SWX24" s="535"/>
      <c r="SWY24" s="535"/>
      <c r="SWZ24" s="535"/>
      <c r="SXA24" s="535"/>
      <c r="SXB24" s="535"/>
      <c r="SXC24" s="535"/>
      <c r="SXD24" s="535"/>
      <c r="SXE24" s="535"/>
      <c r="SXF24" s="535"/>
      <c r="SXG24" s="535"/>
      <c r="SXH24" s="535"/>
      <c r="SXI24" s="535"/>
      <c r="SXJ24" s="535"/>
      <c r="SXK24" s="535"/>
      <c r="SXL24" s="535"/>
      <c r="SXM24" s="535"/>
      <c r="SXN24" s="535"/>
      <c r="SXO24" s="535"/>
      <c r="SXP24" s="535"/>
      <c r="SXQ24" s="535"/>
      <c r="SXR24" s="535"/>
      <c r="SXS24" s="535"/>
      <c r="SXT24" s="535"/>
      <c r="SXU24" s="535"/>
      <c r="SXV24" s="535"/>
      <c r="SXW24" s="535"/>
      <c r="SXX24" s="535"/>
      <c r="SXY24" s="535"/>
      <c r="SXZ24" s="535"/>
      <c r="SYA24" s="535"/>
      <c r="SYB24" s="535"/>
      <c r="SYC24" s="535"/>
      <c r="SYD24" s="535"/>
      <c r="SYE24" s="535"/>
      <c r="SYF24" s="535"/>
      <c r="SYG24" s="535"/>
      <c r="SYH24" s="535"/>
      <c r="SYI24" s="535"/>
      <c r="SYJ24" s="535"/>
      <c r="SYK24" s="535"/>
      <c r="SYL24" s="535"/>
      <c r="SYM24" s="535"/>
      <c r="SYN24" s="535"/>
      <c r="SYO24" s="535"/>
      <c r="SYP24" s="535"/>
      <c r="SYQ24" s="535"/>
      <c r="SYR24" s="535"/>
      <c r="SYS24" s="535"/>
      <c r="SYT24" s="535"/>
      <c r="SYU24" s="535"/>
      <c r="SYV24" s="535"/>
      <c r="SYW24" s="535"/>
      <c r="SYX24" s="535"/>
      <c r="SYY24" s="535"/>
      <c r="SYZ24" s="535"/>
      <c r="SZA24" s="535"/>
      <c r="SZB24" s="535"/>
      <c r="SZC24" s="535"/>
      <c r="SZD24" s="535"/>
      <c r="SZE24" s="535"/>
      <c r="SZF24" s="535"/>
      <c r="SZG24" s="535"/>
      <c r="SZH24" s="535"/>
      <c r="SZI24" s="535"/>
      <c r="SZJ24" s="535"/>
      <c r="SZK24" s="535"/>
      <c r="SZL24" s="535"/>
      <c r="SZM24" s="535"/>
      <c r="SZN24" s="535"/>
      <c r="SZO24" s="535"/>
      <c r="SZP24" s="535"/>
      <c r="SZQ24" s="535"/>
      <c r="SZR24" s="535"/>
      <c r="SZS24" s="535"/>
      <c r="SZT24" s="535"/>
      <c r="SZU24" s="535"/>
      <c r="SZV24" s="535"/>
      <c r="SZW24" s="535"/>
      <c r="SZX24" s="535"/>
      <c r="SZY24" s="535"/>
      <c r="SZZ24" s="535"/>
      <c r="TAA24" s="535"/>
      <c r="TAB24" s="535"/>
      <c r="TAC24" s="535"/>
      <c r="TAD24" s="535"/>
      <c r="TAE24" s="535"/>
      <c r="TAF24" s="535"/>
      <c r="TAG24" s="535"/>
      <c r="TAH24" s="535"/>
      <c r="TAI24" s="535"/>
      <c r="TAJ24" s="535"/>
      <c r="TAK24" s="535"/>
      <c r="TAL24" s="535"/>
      <c r="TAM24" s="535"/>
      <c r="TAN24" s="535"/>
      <c r="TAO24" s="535"/>
      <c r="TAP24" s="535"/>
      <c r="TAQ24" s="535"/>
      <c r="TAR24" s="535"/>
      <c r="TAS24" s="535"/>
      <c r="TAT24" s="535"/>
      <c r="TAU24" s="535"/>
      <c r="TAV24" s="535"/>
      <c r="TAW24" s="535"/>
      <c r="TAX24" s="535"/>
      <c r="TAY24" s="535"/>
      <c r="TAZ24" s="535"/>
      <c r="TBA24" s="535"/>
      <c r="TBB24" s="535"/>
      <c r="TBC24" s="535"/>
      <c r="TBD24" s="535"/>
      <c r="TBE24" s="535"/>
      <c r="TBF24" s="535"/>
      <c r="TBG24" s="535"/>
      <c r="TBH24" s="535"/>
      <c r="TBI24" s="535"/>
      <c r="TBJ24" s="535"/>
      <c r="TBK24" s="535"/>
      <c r="TBL24" s="535"/>
      <c r="TBM24" s="535"/>
      <c r="TBN24" s="535"/>
      <c r="TBO24" s="535"/>
      <c r="TBP24" s="535"/>
      <c r="TBQ24" s="535"/>
      <c r="TBR24" s="535"/>
      <c r="TBS24" s="535"/>
      <c r="TBT24" s="535"/>
      <c r="TBU24" s="535"/>
      <c r="TBV24" s="535"/>
      <c r="TBW24" s="535"/>
      <c r="TBX24" s="535"/>
      <c r="TBY24" s="535"/>
      <c r="TBZ24" s="535"/>
      <c r="TCA24" s="535"/>
      <c r="TCB24" s="535"/>
      <c r="TCC24" s="535"/>
      <c r="TCD24" s="535"/>
      <c r="TCE24" s="535"/>
      <c r="TCF24" s="535"/>
      <c r="TCG24" s="535"/>
      <c r="TCH24" s="535"/>
      <c r="TCI24" s="535"/>
      <c r="TCJ24" s="535"/>
      <c r="TCK24" s="535"/>
      <c r="TCL24" s="535"/>
      <c r="TCM24" s="535"/>
      <c r="TCN24" s="535"/>
      <c r="TCO24" s="535"/>
      <c r="TCP24" s="535"/>
      <c r="TCQ24" s="535"/>
      <c r="TCR24" s="535"/>
      <c r="TCS24" s="535"/>
      <c r="TCT24" s="535"/>
      <c r="TCU24" s="535"/>
      <c r="TCV24" s="535"/>
      <c r="TCW24" s="535"/>
      <c r="TCX24" s="535"/>
      <c r="TCY24" s="535"/>
      <c r="TCZ24" s="535"/>
      <c r="TDA24" s="535"/>
      <c r="TDB24" s="535"/>
      <c r="TDC24" s="535"/>
      <c r="TDD24" s="535"/>
      <c r="TDE24" s="535"/>
      <c r="TDF24" s="535"/>
      <c r="TDG24" s="535"/>
      <c r="TDH24" s="535"/>
      <c r="TDI24" s="535"/>
      <c r="TDJ24" s="535"/>
      <c r="TDK24" s="535"/>
      <c r="TDL24" s="535"/>
      <c r="TDM24" s="535"/>
      <c r="TDN24" s="535"/>
      <c r="TDO24" s="535"/>
      <c r="TDP24" s="535"/>
      <c r="TDQ24" s="535"/>
      <c r="TDR24" s="535"/>
      <c r="TDS24" s="535"/>
      <c r="TDT24" s="535"/>
      <c r="TDU24" s="535"/>
      <c r="TDV24" s="535"/>
      <c r="TDW24" s="535"/>
      <c r="TDX24" s="535"/>
      <c r="TDY24" s="535"/>
      <c r="TDZ24" s="535"/>
      <c r="TEA24" s="535"/>
      <c r="TEB24" s="535"/>
      <c r="TEC24" s="535"/>
      <c r="TED24" s="535"/>
      <c r="TEE24" s="535"/>
      <c r="TEF24" s="535"/>
      <c r="TEG24" s="535"/>
      <c r="TEH24" s="535"/>
      <c r="TEI24" s="535"/>
      <c r="TEJ24" s="535"/>
      <c r="TEK24" s="535"/>
      <c r="TEL24" s="535"/>
      <c r="TEM24" s="535"/>
      <c r="TEN24" s="535"/>
      <c r="TEO24" s="535"/>
      <c r="TEP24" s="535"/>
      <c r="TEQ24" s="535"/>
      <c r="TER24" s="535"/>
      <c r="TES24" s="535"/>
      <c r="TET24" s="535"/>
      <c r="TEU24" s="535"/>
      <c r="TEV24" s="535"/>
      <c r="TEW24" s="535"/>
      <c r="TEX24" s="535"/>
      <c r="TEY24" s="535"/>
      <c r="TEZ24" s="535"/>
      <c r="TFA24" s="535"/>
      <c r="TFB24" s="535"/>
      <c r="TFC24" s="535"/>
      <c r="TFD24" s="535"/>
      <c r="TFE24" s="535"/>
      <c r="TFF24" s="535"/>
      <c r="TFG24" s="535"/>
      <c r="TFH24" s="535"/>
      <c r="TFI24" s="535"/>
      <c r="TFJ24" s="535"/>
      <c r="TFK24" s="535"/>
      <c r="TFL24" s="535"/>
      <c r="TFM24" s="535"/>
      <c r="TFN24" s="535"/>
      <c r="TFO24" s="535"/>
      <c r="TFP24" s="535"/>
      <c r="TFQ24" s="535"/>
      <c r="TFR24" s="535"/>
      <c r="TFS24" s="535"/>
      <c r="TFT24" s="535"/>
      <c r="TFU24" s="535"/>
      <c r="TFV24" s="535"/>
      <c r="TFW24" s="535"/>
      <c r="TFX24" s="535"/>
      <c r="TFY24" s="535"/>
      <c r="TFZ24" s="535"/>
      <c r="TGA24" s="535"/>
      <c r="TGB24" s="535"/>
      <c r="TGC24" s="535"/>
      <c r="TGD24" s="535"/>
      <c r="TGE24" s="535"/>
      <c r="TGF24" s="535"/>
      <c r="TGG24" s="535"/>
      <c r="TGH24" s="535"/>
      <c r="TGI24" s="535"/>
      <c r="TGJ24" s="535"/>
      <c r="TGK24" s="535"/>
      <c r="TGL24" s="535"/>
      <c r="TGM24" s="535"/>
      <c r="TGN24" s="535"/>
      <c r="TGO24" s="535"/>
      <c r="TGP24" s="535"/>
      <c r="TGQ24" s="535"/>
      <c r="TGR24" s="535"/>
      <c r="TGS24" s="535"/>
      <c r="TGT24" s="535"/>
      <c r="TGU24" s="535"/>
      <c r="TGV24" s="535"/>
      <c r="TGW24" s="535"/>
      <c r="TGX24" s="535"/>
      <c r="TGY24" s="535"/>
      <c r="TGZ24" s="535"/>
      <c r="THA24" s="535"/>
      <c r="THB24" s="535"/>
      <c r="THC24" s="535"/>
      <c r="THD24" s="535"/>
      <c r="THE24" s="535"/>
      <c r="THF24" s="535"/>
      <c r="THG24" s="535"/>
      <c r="THH24" s="535"/>
      <c r="THI24" s="535"/>
      <c r="THJ24" s="535"/>
      <c r="THK24" s="535"/>
      <c r="THL24" s="535"/>
    </row>
    <row r="25" spans="1:13740" s="513" customFormat="1" ht="54.75" customHeight="1" x14ac:dyDescent="0.25">
      <c r="A25" s="1513"/>
      <c r="B25" s="1513"/>
      <c r="C25" s="1513"/>
      <c r="D25" s="1540"/>
      <c r="E25" s="1521"/>
      <c r="F25" s="1548"/>
      <c r="G25" s="536" t="s">
        <v>367</v>
      </c>
      <c r="H25" s="536" t="s">
        <v>368</v>
      </c>
      <c r="I25" s="536" t="s">
        <v>369</v>
      </c>
      <c r="J25" s="536" t="s">
        <v>367</v>
      </c>
      <c r="K25" s="536" t="s">
        <v>370</v>
      </c>
      <c r="L25" s="536" t="s">
        <v>369</v>
      </c>
      <c r="M25" s="537" t="s">
        <v>367</v>
      </c>
      <c r="N25" s="536" t="s">
        <v>370</v>
      </c>
      <c r="O25" s="536" t="s">
        <v>369</v>
      </c>
      <c r="P25" s="537" t="s">
        <v>367</v>
      </c>
      <c r="Q25" s="536" t="s">
        <v>370</v>
      </c>
      <c r="R25" s="536" t="s">
        <v>369</v>
      </c>
      <c r="S25" s="536" t="s">
        <v>367</v>
      </c>
      <c r="T25" s="536" t="s">
        <v>370</v>
      </c>
      <c r="U25" s="536" t="s">
        <v>369</v>
      </c>
      <c r="V25" s="536" t="s">
        <v>367</v>
      </c>
      <c r="W25" s="536" t="s">
        <v>370</v>
      </c>
      <c r="X25" s="536" t="s">
        <v>369</v>
      </c>
      <c r="Y25" s="536" t="s">
        <v>367</v>
      </c>
      <c r="Z25" s="536" t="s">
        <v>370</v>
      </c>
      <c r="AA25" s="536" t="s">
        <v>369</v>
      </c>
      <c r="AB25" s="1108" t="s">
        <v>367</v>
      </c>
      <c r="AC25" s="1108" t="s">
        <v>370</v>
      </c>
      <c r="AD25" s="1108" t="s">
        <v>369</v>
      </c>
      <c r="AE25" s="1521"/>
      <c r="AF25" s="1518"/>
      <c r="AG25" s="1518"/>
      <c r="AH25" s="534"/>
    </row>
    <row r="26" spans="1:13740" s="903" customFormat="1" ht="15" customHeight="1" x14ac:dyDescent="0.25">
      <c r="A26" s="1169">
        <v>1</v>
      </c>
      <c r="B26" s="1169">
        <v>2</v>
      </c>
      <c r="C26" s="1169">
        <v>3</v>
      </c>
      <c r="D26" s="1169">
        <v>4</v>
      </c>
      <c r="E26" s="1169">
        <v>5</v>
      </c>
      <c r="F26" s="1169">
        <v>6</v>
      </c>
      <c r="G26" s="1169">
        <v>7</v>
      </c>
      <c r="H26" s="1169">
        <v>8</v>
      </c>
      <c r="I26" s="1169">
        <v>9</v>
      </c>
      <c r="J26" s="1169">
        <v>10</v>
      </c>
      <c r="K26" s="1169">
        <v>11</v>
      </c>
      <c r="L26" s="1169">
        <v>12</v>
      </c>
      <c r="M26" s="1169">
        <v>13</v>
      </c>
      <c r="N26" s="1169">
        <v>14</v>
      </c>
      <c r="O26" s="1169">
        <v>15</v>
      </c>
      <c r="P26" s="1169">
        <v>16</v>
      </c>
      <c r="Q26" s="1169">
        <v>17</v>
      </c>
      <c r="R26" s="1169">
        <v>18</v>
      </c>
      <c r="S26" s="1169">
        <v>19</v>
      </c>
      <c r="T26" s="1169">
        <v>20</v>
      </c>
      <c r="U26" s="1169">
        <v>21</v>
      </c>
      <c r="V26" s="1169">
        <v>22</v>
      </c>
      <c r="W26" s="1169">
        <v>23</v>
      </c>
      <c r="X26" s="1169">
        <v>24</v>
      </c>
      <c r="Y26" s="1169">
        <v>25</v>
      </c>
      <c r="Z26" s="1169">
        <v>26</v>
      </c>
      <c r="AA26" s="1169">
        <v>27</v>
      </c>
      <c r="AB26" s="1184"/>
      <c r="AC26" s="1184"/>
      <c r="AD26" s="1184"/>
      <c r="AE26" s="1169">
        <v>28</v>
      </c>
      <c r="AF26" s="1169">
        <v>29</v>
      </c>
      <c r="AG26" s="1169">
        <v>30</v>
      </c>
      <c r="AH26" s="534"/>
    </row>
    <row r="27" spans="1:13740" s="903" customFormat="1" x14ac:dyDescent="0.25">
      <c r="A27" s="1510">
        <v>1230</v>
      </c>
      <c r="B27" s="1510">
        <v>130</v>
      </c>
      <c r="C27" s="1510">
        <v>131</v>
      </c>
      <c r="D27" s="1185" t="s">
        <v>371</v>
      </c>
      <c r="E27" s="1186">
        <f>ROUND(2309*1.087,-0.5)</f>
        <v>2510</v>
      </c>
      <c r="F27" s="1113">
        <v>41</v>
      </c>
      <c r="G27" s="1113"/>
      <c r="H27" s="1113">
        <v>100</v>
      </c>
      <c r="I27" s="1184">
        <f>E27*H27/100*G27</f>
        <v>0</v>
      </c>
      <c r="J27" s="1113">
        <v>1</v>
      </c>
      <c r="K27" s="1113">
        <v>100</v>
      </c>
      <c r="L27" s="1184">
        <f>E27*K27/100*J27</f>
        <v>2510</v>
      </c>
      <c r="M27" s="1113">
        <v>14</v>
      </c>
      <c r="N27" s="1113">
        <v>100</v>
      </c>
      <c r="O27" s="1184">
        <f>E27*N27/100*M27</f>
        <v>35140</v>
      </c>
      <c r="P27" s="1113">
        <v>1</v>
      </c>
      <c r="Q27" s="1113">
        <v>50</v>
      </c>
      <c r="R27" s="1184">
        <f>E27*Q27/100*P27</f>
        <v>1255</v>
      </c>
      <c r="S27" s="1113">
        <v>1</v>
      </c>
      <c r="T27" s="1113">
        <v>70</v>
      </c>
      <c r="U27" s="1184">
        <f>E27*T27/100*S27</f>
        <v>1757</v>
      </c>
      <c r="V27" s="1113"/>
      <c r="W27" s="1113">
        <v>50</v>
      </c>
      <c r="X27" s="1184">
        <f>E27*W27/100*V27</f>
        <v>0</v>
      </c>
      <c r="Y27" s="1113">
        <v>4</v>
      </c>
      <c r="Z27" s="1113">
        <v>50</v>
      </c>
      <c r="AA27" s="1184">
        <f>E27*Z27/100*Y27</f>
        <v>5020</v>
      </c>
      <c r="AB27" s="1184"/>
      <c r="AC27" s="1184">
        <v>100</v>
      </c>
      <c r="AD27" s="1184">
        <f>E27*AC27/100*AB27</f>
        <v>0</v>
      </c>
      <c r="AE27" s="1187">
        <f>(E27*F27-I27-L27-O27-R27-U27-X27-AA27-AD27)*9</f>
        <v>515052</v>
      </c>
      <c r="AF27" s="1188">
        <f>AE27*1.056</f>
        <v>543894.91</v>
      </c>
      <c r="AG27" s="1188">
        <f>AF27*1.045</f>
        <v>568370.18000000005</v>
      </c>
      <c r="AH27" s="1114"/>
      <c r="AI27" s="1115"/>
      <c r="AJ27" s="1115"/>
    </row>
    <row r="28" spans="1:13740" s="903" customFormat="1" x14ac:dyDescent="0.25">
      <c r="A28" s="1510"/>
      <c r="B28" s="1510"/>
      <c r="C28" s="1510"/>
      <c r="D28" s="1185" t="s">
        <v>839</v>
      </c>
      <c r="E28" s="1186">
        <f>ROUND(2309*1.087,-0.5)</f>
        <v>2510</v>
      </c>
      <c r="F28" s="1113">
        <v>36</v>
      </c>
      <c r="G28" s="1113"/>
      <c r="H28" s="1113">
        <v>100</v>
      </c>
      <c r="I28" s="1184">
        <f t="shared" ref="I28:I46" si="2">E28*H28/100*G28</f>
        <v>0</v>
      </c>
      <c r="J28" s="1113"/>
      <c r="K28" s="1113">
        <v>100</v>
      </c>
      <c r="L28" s="1184">
        <f t="shared" ref="L28:L46" si="3">E28*K28/100*J28</f>
        <v>0</v>
      </c>
      <c r="M28" s="1113">
        <v>4</v>
      </c>
      <c r="N28" s="1113">
        <v>100</v>
      </c>
      <c r="O28" s="1184">
        <f t="shared" ref="O28:O46" si="4">E28*N28/100*M28</f>
        <v>10040</v>
      </c>
      <c r="P28" s="1113">
        <v>4</v>
      </c>
      <c r="Q28" s="1113">
        <v>50</v>
      </c>
      <c r="R28" s="1184">
        <f t="shared" ref="R28:R46" si="5">E28*Q28/100*P28</f>
        <v>5020</v>
      </c>
      <c r="S28" s="1113"/>
      <c r="T28" s="1113">
        <v>70</v>
      </c>
      <c r="U28" s="1184">
        <f t="shared" ref="U28:U46" si="6">E28*T28/100*S28</f>
        <v>0</v>
      </c>
      <c r="V28" s="1113"/>
      <c r="W28" s="1113">
        <v>50</v>
      </c>
      <c r="X28" s="1184">
        <f t="shared" ref="X28:X46" si="7">E28*W28/100*V28</f>
        <v>0</v>
      </c>
      <c r="Y28" s="1113">
        <v>2</v>
      </c>
      <c r="Z28" s="1113">
        <v>50</v>
      </c>
      <c r="AA28" s="1184">
        <f t="shared" ref="AA28:AA46" si="8">E28*Z28/100*Y28</f>
        <v>2510</v>
      </c>
      <c r="AB28" s="1184"/>
      <c r="AC28" s="1184">
        <v>100</v>
      </c>
      <c r="AD28" s="1184">
        <f t="shared" ref="AD28:AD46" si="9">E28*AC28/100*AB28</f>
        <v>0</v>
      </c>
      <c r="AE28" s="1187">
        <f t="shared" ref="AE28:AE46" si="10">(E28*F28-I28-L28-O28-R28-U28-X28-AA28-AD28)*9</f>
        <v>655110</v>
      </c>
      <c r="AF28" s="1188">
        <f t="shared" ref="AF28:AF46" si="11">AE28*1.056</f>
        <v>691796.16</v>
      </c>
      <c r="AG28" s="1188">
        <f t="shared" ref="AG28:AG46" si="12">AF28*1.045</f>
        <v>722926.99</v>
      </c>
      <c r="AH28" s="1114"/>
      <c r="AI28" s="1115"/>
      <c r="AJ28" s="1115"/>
    </row>
    <row r="29" spans="1:13740" s="903" customFormat="1" x14ac:dyDescent="0.25">
      <c r="A29" s="1510"/>
      <c r="B29" s="1510"/>
      <c r="C29" s="1510"/>
      <c r="D29" s="1185" t="s">
        <v>840</v>
      </c>
      <c r="E29" s="1186">
        <f>ROUND(2039*1.087,-0.5)</f>
        <v>2216</v>
      </c>
      <c r="F29" s="1113">
        <v>1</v>
      </c>
      <c r="G29" s="1113"/>
      <c r="H29" s="1113">
        <v>100</v>
      </c>
      <c r="I29" s="1184">
        <f t="shared" si="2"/>
        <v>0</v>
      </c>
      <c r="J29" s="1113"/>
      <c r="K29" s="1113">
        <v>100</v>
      </c>
      <c r="L29" s="1184">
        <f t="shared" si="3"/>
        <v>0</v>
      </c>
      <c r="M29" s="1113"/>
      <c r="N29" s="1113">
        <v>100</v>
      </c>
      <c r="O29" s="1184">
        <f t="shared" si="4"/>
        <v>0</v>
      </c>
      <c r="P29" s="1113"/>
      <c r="Q29" s="1113">
        <v>50</v>
      </c>
      <c r="R29" s="1184">
        <f t="shared" si="5"/>
        <v>0</v>
      </c>
      <c r="S29" s="1113"/>
      <c r="T29" s="1113">
        <v>70</v>
      </c>
      <c r="U29" s="1184">
        <f t="shared" si="6"/>
        <v>0</v>
      </c>
      <c r="V29" s="1113"/>
      <c r="W29" s="1113">
        <v>50</v>
      </c>
      <c r="X29" s="1184">
        <f t="shared" si="7"/>
        <v>0</v>
      </c>
      <c r="Y29" s="1113"/>
      <c r="Z29" s="1113">
        <v>50</v>
      </c>
      <c r="AA29" s="1184">
        <f t="shared" si="8"/>
        <v>0</v>
      </c>
      <c r="AB29" s="1184"/>
      <c r="AC29" s="1184">
        <v>100</v>
      </c>
      <c r="AD29" s="1184">
        <f t="shared" si="9"/>
        <v>0</v>
      </c>
      <c r="AE29" s="1187">
        <f>(E29*F29-I29-L29-O29-R29-U29-X29-AA29-AD29)*9</f>
        <v>19944</v>
      </c>
      <c r="AF29" s="1188">
        <f t="shared" si="11"/>
        <v>21060.86</v>
      </c>
      <c r="AG29" s="1188">
        <f t="shared" si="12"/>
        <v>22008.6</v>
      </c>
      <c r="AH29" s="1114"/>
      <c r="AI29" s="1115"/>
      <c r="AJ29" s="1115"/>
    </row>
    <row r="30" spans="1:13740" s="903" customFormat="1" x14ac:dyDescent="0.25">
      <c r="A30" s="1510"/>
      <c r="B30" s="1510"/>
      <c r="C30" s="1510"/>
      <c r="D30" s="1185" t="s">
        <v>841</v>
      </c>
      <c r="E30" s="1186">
        <f>ROUND(2039*1.087,-0.5)</f>
        <v>2216</v>
      </c>
      <c r="F30" s="1113">
        <v>3</v>
      </c>
      <c r="G30" s="1113"/>
      <c r="H30" s="1113">
        <v>100</v>
      </c>
      <c r="I30" s="1184">
        <f t="shared" si="2"/>
        <v>0</v>
      </c>
      <c r="J30" s="1113">
        <v>1</v>
      </c>
      <c r="K30" s="1113">
        <v>100</v>
      </c>
      <c r="L30" s="1184">
        <v>0</v>
      </c>
      <c r="M30" s="1113">
        <v>2</v>
      </c>
      <c r="N30" s="1113">
        <v>100</v>
      </c>
      <c r="O30" s="1184">
        <f t="shared" si="4"/>
        <v>4432</v>
      </c>
      <c r="P30" s="1113"/>
      <c r="Q30" s="1113">
        <v>50</v>
      </c>
      <c r="R30" s="1184">
        <f t="shared" si="5"/>
        <v>0</v>
      </c>
      <c r="S30" s="1113"/>
      <c r="T30" s="1113">
        <v>70</v>
      </c>
      <c r="U30" s="1184">
        <f t="shared" si="6"/>
        <v>0</v>
      </c>
      <c r="V30" s="1113"/>
      <c r="W30" s="1113">
        <v>50</v>
      </c>
      <c r="X30" s="1184">
        <f t="shared" si="7"/>
        <v>0</v>
      </c>
      <c r="Y30" s="1113"/>
      <c r="Z30" s="1113">
        <v>50</v>
      </c>
      <c r="AA30" s="1184">
        <f t="shared" si="8"/>
        <v>0</v>
      </c>
      <c r="AB30" s="1184"/>
      <c r="AC30" s="1184">
        <v>100</v>
      </c>
      <c r="AD30" s="1184">
        <f t="shared" si="9"/>
        <v>0</v>
      </c>
      <c r="AE30" s="1187">
        <f>(E30*F30-I30-L30-O30-R30-U30-X30-AA30-AD30)*9</f>
        <v>19944</v>
      </c>
      <c r="AF30" s="1188">
        <f t="shared" si="11"/>
        <v>21060.86</v>
      </c>
      <c r="AG30" s="1188">
        <f t="shared" si="12"/>
        <v>22008.6</v>
      </c>
      <c r="AH30" s="1114"/>
      <c r="AI30" s="1115"/>
      <c r="AJ30" s="1115"/>
    </row>
    <row r="31" spans="1:13740" s="903" customFormat="1" x14ac:dyDescent="0.25">
      <c r="A31" s="1510"/>
      <c r="B31" s="1510"/>
      <c r="C31" s="1510"/>
      <c r="D31" s="1185" t="s">
        <v>842</v>
      </c>
      <c r="E31" s="1186">
        <f>ROUND(2039*1.087,-0.5)</f>
        <v>2216</v>
      </c>
      <c r="F31" s="1113">
        <v>39</v>
      </c>
      <c r="G31" s="1113">
        <v>1</v>
      </c>
      <c r="H31" s="1113">
        <v>100</v>
      </c>
      <c r="I31" s="1184">
        <f t="shared" si="2"/>
        <v>2216</v>
      </c>
      <c r="J31" s="1113"/>
      <c r="K31" s="1113">
        <v>100</v>
      </c>
      <c r="L31" s="1184">
        <f t="shared" si="3"/>
        <v>0</v>
      </c>
      <c r="M31" s="1113">
        <v>11</v>
      </c>
      <c r="N31" s="1113">
        <v>100</v>
      </c>
      <c r="O31" s="1184">
        <f t="shared" si="4"/>
        <v>24376</v>
      </c>
      <c r="P31" s="1113">
        <v>3</v>
      </c>
      <c r="Q31" s="1113">
        <v>50</v>
      </c>
      <c r="R31" s="1184">
        <f t="shared" si="5"/>
        <v>3324</v>
      </c>
      <c r="S31" s="1113"/>
      <c r="T31" s="1113">
        <v>70</v>
      </c>
      <c r="U31" s="1184">
        <f t="shared" si="6"/>
        <v>0</v>
      </c>
      <c r="V31" s="1113"/>
      <c r="W31" s="1113">
        <v>50</v>
      </c>
      <c r="X31" s="1184">
        <f t="shared" si="7"/>
        <v>0</v>
      </c>
      <c r="Y31" s="1113">
        <v>5</v>
      </c>
      <c r="Z31" s="1113">
        <v>50</v>
      </c>
      <c r="AA31" s="1184">
        <f t="shared" si="8"/>
        <v>5540</v>
      </c>
      <c r="AB31" s="1184"/>
      <c r="AC31" s="1184">
        <v>100</v>
      </c>
      <c r="AD31" s="1184">
        <f t="shared" si="9"/>
        <v>0</v>
      </c>
      <c r="AE31" s="1187">
        <f t="shared" si="10"/>
        <v>458712</v>
      </c>
      <c r="AF31" s="1188">
        <f t="shared" si="11"/>
        <v>484399.87</v>
      </c>
      <c r="AG31" s="1188">
        <f t="shared" si="12"/>
        <v>506197.86</v>
      </c>
      <c r="AH31" s="1114"/>
      <c r="AI31" s="1115"/>
      <c r="AJ31" s="1115"/>
    </row>
    <row r="32" spans="1:13740" s="903" customFormat="1" x14ac:dyDescent="0.25">
      <c r="A32" s="1510"/>
      <c r="B32" s="1510"/>
      <c r="C32" s="1510"/>
      <c r="D32" s="1185" t="s">
        <v>885</v>
      </c>
      <c r="E32" s="1186">
        <f>ROUND(1358*1.087,-0.5)</f>
        <v>1476</v>
      </c>
      <c r="F32" s="1113">
        <v>10</v>
      </c>
      <c r="G32" s="1113"/>
      <c r="H32" s="1113">
        <v>100</v>
      </c>
      <c r="I32" s="1184">
        <f t="shared" si="2"/>
        <v>0</v>
      </c>
      <c r="J32" s="1113"/>
      <c r="K32" s="1113">
        <v>100</v>
      </c>
      <c r="L32" s="1184">
        <f t="shared" si="3"/>
        <v>0</v>
      </c>
      <c r="M32" s="1113">
        <v>2</v>
      </c>
      <c r="N32" s="1113">
        <v>100</v>
      </c>
      <c r="O32" s="1184">
        <f t="shared" si="4"/>
        <v>2952</v>
      </c>
      <c r="P32" s="1113"/>
      <c r="Q32" s="1113">
        <v>50</v>
      </c>
      <c r="R32" s="1184">
        <f t="shared" si="5"/>
        <v>0</v>
      </c>
      <c r="S32" s="1113"/>
      <c r="T32" s="1113">
        <v>70</v>
      </c>
      <c r="U32" s="1184">
        <f t="shared" si="6"/>
        <v>0</v>
      </c>
      <c r="V32" s="1113"/>
      <c r="W32" s="1113">
        <v>50</v>
      </c>
      <c r="X32" s="1184">
        <f t="shared" si="7"/>
        <v>0</v>
      </c>
      <c r="Y32" s="1113">
        <v>1</v>
      </c>
      <c r="Z32" s="1113">
        <v>50</v>
      </c>
      <c r="AA32" s="1184">
        <f t="shared" si="8"/>
        <v>738</v>
      </c>
      <c r="AB32" s="1184"/>
      <c r="AC32" s="1184">
        <v>100</v>
      </c>
      <c r="AD32" s="1184">
        <f t="shared" si="9"/>
        <v>0</v>
      </c>
      <c r="AE32" s="1187">
        <f t="shared" si="10"/>
        <v>99630</v>
      </c>
      <c r="AF32" s="1188">
        <f t="shared" si="11"/>
        <v>105209.28</v>
      </c>
      <c r="AG32" s="1188">
        <f t="shared" si="12"/>
        <v>109943.7</v>
      </c>
      <c r="AH32" s="1114"/>
      <c r="AI32" s="1115"/>
      <c r="AJ32" s="1115"/>
    </row>
    <row r="33" spans="1:36" s="903" customFormat="1" x14ac:dyDescent="0.25">
      <c r="A33" s="1510"/>
      <c r="B33" s="1510"/>
      <c r="C33" s="1510"/>
      <c r="D33" s="1185" t="s">
        <v>843</v>
      </c>
      <c r="E33" s="1186">
        <f>ROUND(2039*1.087,-0.5)</f>
        <v>2216</v>
      </c>
      <c r="F33" s="1113">
        <v>12</v>
      </c>
      <c r="G33" s="1113"/>
      <c r="H33" s="1113">
        <v>100</v>
      </c>
      <c r="I33" s="1184">
        <f t="shared" si="2"/>
        <v>0</v>
      </c>
      <c r="J33" s="1113"/>
      <c r="K33" s="1113">
        <v>100</v>
      </c>
      <c r="L33" s="1184">
        <f t="shared" si="3"/>
        <v>0</v>
      </c>
      <c r="M33" s="1113">
        <v>1</v>
      </c>
      <c r="N33" s="1113">
        <v>100</v>
      </c>
      <c r="O33" s="1184">
        <f t="shared" si="4"/>
        <v>2216</v>
      </c>
      <c r="P33" s="1113">
        <v>1</v>
      </c>
      <c r="Q33" s="1113">
        <v>50</v>
      </c>
      <c r="R33" s="1184">
        <f t="shared" si="5"/>
        <v>1108</v>
      </c>
      <c r="S33" s="1113"/>
      <c r="T33" s="1113">
        <v>70</v>
      </c>
      <c r="U33" s="1184">
        <f t="shared" si="6"/>
        <v>0</v>
      </c>
      <c r="V33" s="1113"/>
      <c r="W33" s="1113">
        <v>50</v>
      </c>
      <c r="X33" s="1184">
        <f t="shared" si="7"/>
        <v>0</v>
      </c>
      <c r="Y33" s="1113"/>
      <c r="Z33" s="1113">
        <v>50</v>
      </c>
      <c r="AA33" s="1184">
        <f t="shared" si="8"/>
        <v>0</v>
      </c>
      <c r="AB33" s="1184"/>
      <c r="AC33" s="1184">
        <v>100</v>
      </c>
      <c r="AD33" s="1184">
        <f t="shared" si="9"/>
        <v>0</v>
      </c>
      <c r="AE33" s="1187">
        <f t="shared" si="10"/>
        <v>209412</v>
      </c>
      <c r="AF33" s="1188">
        <f t="shared" si="11"/>
        <v>221139.07</v>
      </c>
      <c r="AG33" s="1188">
        <f t="shared" si="12"/>
        <v>231090.33</v>
      </c>
      <c r="AH33" s="1114"/>
      <c r="AI33" s="1115"/>
      <c r="AJ33" s="1115"/>
    </row>
    <row r="34" spans="1:36" s="903" customFormat="1" x14ac:dyDescent="0.25">
      <c r="A34" s="1510"/>
      <c r="B34" s="1510"/>
      <c r="C34" s="1510"/>
      <c r="D34" s="1185" t="s">
        <v>415</v>
      </c>
      <c r="E34" s="1186">
        <f t="shared" ref="E34:E46" si="13">ROUND(1358*1.087,-0.5)</f>
        <v>1476</v>
      </c>
      <c r="F34" s="1113">
        <v>27</v>
      </c>
      <c r="G34" s="1113"/>
      <c r="H34" s="1113">
        <v>100</v>
      </c>
      <c r="I34" s="1184">
        <f t="shared" si="2"/>
        <v>0</v>
      </c>
      <c r="J34" s="1113"/>
      <c r="K34" s="1113">
        <v>100</v>
      </c>
      <c r="L34" s="1184">
        <f t="shared" si="3"/>
        <v>0</v>
      </c>
      <c r="M34" s="1113">
        <v>5</v>
      </c>
      <c r="N34" s="1113">
        <v>100</v>
      </c>
      <c r="O34" s="1184">
        <f t="shared" si="4"/>
        <v>7380</v>
      </c>
      <c r="P34" s="1113">
        <v>1</v>
      </c>
      <c r="Q34" s="1113">
        <v>50</v>
      </c>
      <c r="R34" s="1184">
        <f t="shared" si="5"/>
        <v>738</v>
      </c>
      <c r="S34" s="1113"/>
      <c r="T34" s="1113">
        <v>70</v>
      </c>
      <c r="U34" s="1184">
        <f t="shared" si="6"/>
        <v>0</v>
      </c>
      <c r="V34" s="1113"/>
      <c r="W34" s="1113">
        <v>50</v>
      </c>
      <c r="X34" s="1184">
        <f t="shared" si="7"/>
        <v>0</v>
      </c>
      <c r="Y34" s="1113">
        <v>2</v>
      </c>
      <c r="Z34" s="1113">
        <v>50</v>
      </c>
      <c r="AA34" s="1184">
        <f t="shared" si="8"/>
        <v>1476</v>
      </c>
      <c r="AB34" s="1184"/>
      <c r="AC34" s="1184">
        <v>100</v>
      </c>
      <c r="AD34" s="1184">
        <f t="shared" si="9"/>
        <v>0</v>
      </c>
      <c r="AE34" s="1187">
        <f t="shared" si="10"/>
        <v>272322</v>
      </c>
      <c r="AF34" s="1188">
        <f t="shared" si="11"/>
        <v>287572.03000000003</v>
      </c>
      <c r="AG34" s="1188">
        <f t="shared" si="12"/>
        <v>300512.77</v>
      </c>
      <c r="AH34" s="1114"/>
      <c r="AI34" s="1115"/>
      <c r="AJ34" s="1115"/>
    </row>
    <row r="35" spans="1:36" s="903" customFormat="1" x14ac:dyDescent="0.25">
      <c r="A35" s="1510"/>
      <c r="B35" s="1510"/>
      <c r="C35" s="1510"/>
      <c r="D35" s="1185" t="s">
        <v>696</v>
      </c>
      <c r="E35" s="1186">
        <f t="shared" si="13"/>
        <v>1476</v>
      </c>
      <c r="F35" s="1113">
        <v>11</v>
      </c>
      <c r="G35" s="1113"/>
      <c r="H35" s="1113">
        <v>100</v>
      </c>
      <c r="I35" s="1184">
        <f t="shared" si="2"/>
        <v>0</v>
      </c>
      <c r="J35" s="1113"/>
      <c r="K35" s="1113">
        <v>100</v>
      </c>
      <c r="L35" s="1184">
        <f t="shared" si="3"/>
        <v>0</v>
      </c>
      <c r="M35" s="1113"/>
      <c r="N35" s="1113">
        <v>100</v>
      </c>
      <c r="O35" s="1184">
        <f t="shared" si="4"/>
        <v>0</v>
      </c>
      <c r="P35" s="1113"/>
      <c r="Q35" s="1113">
        <v>50</v>
      </c>
      <c r="R35" s="1184">
        <f t="shared" si="5"/>
        <v>0</v>
      </c>
      <c r="S35" s="1113">
        <v>1</v>
      </c>
      <c r="T35" s="1113">
        <v>70</v>
      </c>
      <c r="U35" s="1184">
        <f t="shared" si="6"/>
        <v>1033.2</v>
      </c>
      <c r="V35" s="1113"/>
      <c r="W35" s="1113">
        <v>50</v>
      </c>
      <c r="X35" s="1184">
        <f t="shared" si="7"/>
        <v>0</v>
      </c>
      <c r="Y35" s="1113">
        <v>1</v>
      </c>
      <c r="Z35" s="1113">
        <v>50</v>
      </c>
      <c r="AA35" s="1184">
        <f t="shared" si="8"/>
        <v>738</v>
      </c>
      <c r="AB35" s="1184"/>
      <c r="AC35" s="1184">
        <v>100</v>
      </c>
      <c r="AD35" s="1184">
        <f t="shared" si="9"/>
        <v>0</v>
      </c>
      <c r="AE35" s="1187">
        <f t="shared" si="10"/>
        <v>130183.2</v>
      </c>
      <c r="AF35" s="1188">
        <f t="shared" si="11"/>
        <v>137473.46</v>
      </c>
      <c r="AG35" s="1188">
        <f t="shared" si="12"/>
        <v>143659.76999999999</v>
      </c>
      <c r="AH35" s="1114"/>
      <c r="AI35" s="1115"/>
      <c r="AJ35" s="1115"/>
    </row>
    <row r="36" spans="1:36" s="903" customFormat="1" x14ac:dyDescent="0.25">
      <c r="A36" s="1510"/>
      <c r="B36" s="1510"/>
      <c r="C36" s="1510"/>
      <c r="D36" s="1185" t="s">
        <v>844</v>
      </c>
      <c r="E36" s="1186">
        <f t="shared" si="13"/>
        <v>1476</v>
      </c>
      <c r="F36" s="1113">
        <v>2</v>
      </c>
      <c r="G36" s="1113"/>
      <c r="H36" s="1113">
        <v>100</v>
      </c>
      <c r="I36" s="1184">
        <f t="shared" si="2"/>
        <v>0</v>
      </c>
      <c r="J36" s="1113"/>
      <c r="K36" s="1113">
        <v>100</v>
      </c>
      <c r="L36" s="1184">
        <f t="shared" si="3"/>
        <v>0</v>
      </c>
      <c r="M36" s="1113"/>
      <c r="N36" s="1113">
        <v>100</v>
      </c>
      <c r="O36" s="1184">
        <f t="shared" si="4"/>
        <v>0</v>
      </c>
      <c r="P36" s="1113"/>
      <c r="Q36" s="1113">
        <v>50</v>
      </c>
      <c r="R36" s="1184">
        <f t="shared" si="5"/>
        <v>0</v>
      </c>
      <c r="S36" s="1113">
        <v>1</v>
      </c>
      <c r="T36" s="1113">
        <v>70</v>
      </c>
      <c r="U36" s="1184">
        <f t="shared" si="6"/>
        <v>1033.2</v>
      </c>
      <c r="V36" s="1113"/>
      <c r="W36" s="1113">
        <v>50</v>
      </c>
      <c r="X36" s="1184">
        <f t="shared" si="7"/>
        <v>0</v>
      </c>
      <c r="Y36" s="1113"/>
      <c r="Z36" s="1113">
        <v>50</v>
      </c>
      <c r="AA36" s="1184">
        <f t="shared" si="8"/>
        <v>0</v>
      </c>
      <c r="AB36" s="1184"/>
      <c r="AC36" s="1184">
        <v>100</v>
      </c>
      <c r="AD36" s="1184">
        <f t="shared" si="9"/>
        <v>0</v>
      </c>
      <c r="AE36" s="1187">
        <f t="shared" si="10"/>
        <v>17269.2</v>
      </c>
      <c r="AF36" s="1188">
        <f t="shared" si="11"/>
        <v>18236.28</v>
      </c>
      <c r="AG36" s="1188">
        <f t="shared" si="12"/>
        <v>19056.91</v>
      </c>
      <c r="AH36" s="1114"/>
      <c r="AI36" s="1115"/>
      <c r="AJ36" s="1115"/>
    </row>
    <row r="37" spans="1:36" s="903" customFormat="1" x14ac:dyDescent="0.25">
      <c r="A37" s="1510"/>
      <c r="B37" s="1510"/>
      <c r="C37" s="1510"/>
      <c r="D37" s="1185" t="s">
        <v>698</v>
      </c>
      <c r="E37" s="1186">
        <f t="shared" si="13"/>
        <v>1476</v>
      </c>
      <c r="F37" s="1113">
        <v>9</v>
      </c>
      <c r="G37" s="1113"/>
      <c r="H37" s="1113">
        <v>100</v>
      </c>
      <c r="I37" s="1184">
        <f t="shared" si="2"/>
        <v>0</v>
      </c>
      <c r="J37" s="1113"/>
      <c r="K37" s="1113">
        <v>100</v>
      </c>
      <c r="L37" s="1184">
        <f t="shared" si="3"/>
        <v>0</v>
      </c>
      <c r="M37" s="1113"/>
      <c r="N37" s="1113">
        <v>100</v>
      </c>
      <c r="O37" s="1184">
        <f t="shared" si="4"/>
        <v>0</v>
      </c>
      <c r="P37" s="1113">
        <v>1</v>
      </c>
      <c r="Q37" s="1113">
        <v>50</v>
      </c>
      <c r="R37" s="1184">
        <f t="shared" si="5"/>
        <v>738</v>
      </c>
      <c r="S37" s="1113"/>
      <c r="T37" s="1113">
        <v>70</v>
      </c>
      <c r="U37" s="1184">
        <f t="shared" si="6"/>
        <v>0</v>
      </c>
      <c r="V37" s="1113"/>
      <c r="W37" s="1113">
        <v>50</v>
      </c>
      <c r="X37" s="1184">
        <f t="shared" si="7"/>
        <v>0</v>
      </c>
      <c r="Y37" s="1113"/>
      <c r="Z37" s="1113">
        <v>50</v>
      </c>
      <c r="AA37" s="1184">
        <f t="shared" si="8"/>
        <v>0</v>
      </c>
      <c r="AB37" s="1184"/>
      <c r="AC37" s="1184">
        <v>100</v>
      </c>
      <c r="AD37" s="1184">
        <f t="shared" si="9"/>
        <v>0</v>
      </c>
      <c r="AE37" s="1187">
        <f t="shared" si="10"/>
        <v>112914</v>
      </c>
      <c r="AF37" s="1188">
        <f t="shared" si="11"/>
        <v>119237.18</v>
      </c>
      <c r="AG37" s="1188">
        <f t="shared" si="12"/>
        <v>124602.85</v>
      </c>
      <c r="AH37" s="1114"/>
      <c r="AI37" s="1115"/>
      <c r="AJ37" s="1115"/>
    </row>
    <row r="38" spans="1:36" s="903" customFormat="1" ht="23.25" customHeight="1" x14ac:dyDescent="0.25">
      <c r="A38" s="1510"/>
      <c r="B38" s="1510"/>
      <c r="C38" s="1510"/>
      <c r="D38" s="1185" t="s">
        <v>416</v>
      </c>
      <c r="E38" s="1186">
        <f t="shared" si="13"/>
        <v>1476</v>
      </c>
      <c r="F38" s="1113">
        <v>23</v>
      </c>
      <c r="G38" s="1113"/>
      <c r="H38" s="1113">
        <v>100</v>
      </c>
      <c r="I38" s="1184">
        <f t="shared" si="2"/>
        <v>0</v>
      </c>
      <c r="J38" s="1113">
        <v>1</v>
      </c>
      <c r="K38" s="1113">
        <v>100</v>
      </c>
      <c r="L38" s="1184">
        <f t="shared" si="3"/>
        <v>1476</v>
      </c>
      <c r="M38" s="1113">
        <v>4</v>
      </c>
      <c r="N38" s="1113">
        <v>100</v>
      </c>
      <c r="O38" s="1184">
        <f t="shared" si="4"/>
        <v>5904</v>
      </c>
      <c r="P38" s="1113">
        <v>1</v>
      </c>
      <c r="Q38" s="1113">
        <v>50</v>
      </c>
      <c r="R38" s="1184">
        <f t="shared" si="5"/>
        <v>738</v>
      </c>
      <c r="S38" s="1113"/>
      <c r="T38" s="1113">
        <v>70</v>
      </c>
      <c r="U38" s="1184">
        <f t="shared" si="6"/>
        <v>0</v>
      </c>
      <c r="V38" s="1113"/>
      <c r="W38" s="1113">
        <v>50</v>
      </c>
      <c r="X38" s="1184">
        <f t="shared" si="7"/>
        <v>0</v>
      </c>
      <c r="Y38" s="1113"/>
      <c r="Z38" s="1113">
        <v>50</v>
      </c>
      <c r="AA38" s="1184">
        <f t="shared" si="8"/>
        <v>0</v>
      </c>
      <c r="AB38" s="1184"/>
      <c r="AC38" s="1184">
        <v>100</v>
      </c>
      <c r="AD38" s="1184">
        <f t="shared" si="9"/>
        <v>0</v>
      </c>
      <c r="AE38" s="1187">
        <f t="shared" si="10"/>
        <v>232470</v>
      </c>
      <c r="AF38" s="1188">
        <f t="shared" si="11"/>
        <v>245488.32</v>
      </c>
      <c r="AG38" s="1188">
        <f t="shared" si="12"/>
        <v>256535.29</v>
      </c>
      <c r="AH38" s="1114"/>
      <c r="AI38" s="1115"/>
      <c r="AJ38" s="1115"/>
    </row>
    <row r="39" spans="1:36" s="903" customFormat="1" x14ac:dyDescent="0.25">
      <c r="A39" s="1510"/>
      <c r="B39" s="1510"/>
      <c r="C39" s="1510"/>
      <c r="D39" s="1185" t="s">
        <v>697</v>
      </c>
      <c r="E39" s="1186">
        <f t="shared" si="13"/>
        <v>1476</v>
      </c>
      <c r="F39" s="1113">
        <v>13</v>
      </c>
      <c r="G39" s="1113"/>
      <c r="H39" s="1113">
        <v>100</v>
      </c>
      <c r="I39" s="1184">
        <f t="shared" si="2"/>
        <v>0</v>
      </c>
      <c r="J39" s="1113"/>
      <c r="K39" s="1113">
        <v>100</v>
      </c>
      <c r="L39" s="1184">
        <f t="shared" si="3"/>
        <v>0</v>
      </c>
      <c r="M39" s="1113">
        <v>1</v>
      </c>
      <c r="N39" s="1113">
        <v>100</v>
      </c>
      <c r="O39" s="1184">
        <f t="shared" si="4"/>
        <v>1476</v>
      </c>
      <c r="P39" s="1113">
        <v>1</v>
      </c>
      <c r="Q39" s="1113">
        <v>50</v>
      </c>
      <c r="R39" s="1184">
        <f t="shared" si="5"/>
        <v>738</v>
      </c>
      <c r="S39" s="1113"/>
      <c r="T39" s="1113">
        <v>70</v>
      </c>
      <c r="U39" s="1184">
        <f t="shared" si="6"/>
        <v>0</v>
      </c>
      <c r="V39" s="1113"/>
      <c r="W39" s="1113">
        <v>50</v>
      </c>
      <c r="X39" s="1184">
        <f t="shared" si="7"/>
        <v>0</v>
      </c>
      <c r="Y39" s="1113"/>
      <c r="Z39" s="1113">
        <v>50</v>
      </c>
      <c r="AA39" s="1184">
        <f t="shared" si="8"/>
        <v>0</v>
      </c>
      <c r="AB39" s="1184"/>
      <c r="AC39" s="1184">
        <v>100</v>
      </c>
      <c r="AD39" s="1184">
        <f t="shared" si="9"/>
        <v>0</v>
      </c>
      <c r="AE39" s="1187">
        <f t="shared" si="10"/>
        <v>152766</v>
      </c>
      <c r="AF39" s="1188">
        <f t="shared" si="11"/>
        <v>161320.9</v>
      </c>
      <c r="AG39" s="1188">
        <f t="shared" si="12"/>
        <v>168580.34</v>
      </c>
      <c r="AH39" s="1114"/>
      <c r="AI39" s="1115"/>
      <c r="AJ39" s="1115"/>
    </row>
    <row r="40" spans="1:36" s="903" customFormat="1" x14ac:dyDescent="0.25">
      <c r="A40" s="1510"/>
      <c r="B40" s="1510"/>
      <c r="C40" s="1510"/>
      <c r="D40" s="1185" t="s">
        <v>699</v>
      </c>
      <c r="E40" s="1186">
        <f t="shared" si="13"/>
        <v>1476</v>
      </c>
      <c r="F40" s="1113">
        <v>11</v>
      </c>
      <c r="G40" s="1113"/>
      <c r="H40" s="1113">
        <v>100</v>
      </c>
      <c r="I40" s="1184">
        <f t="shared" si="2"/>
        <v>0</v>
      </c>
      <c r="J40" s="1113"/>
      <c r="K40" s="1113">
        <v>100</v>
      </c>
      <c r="L40" s="1184">
        <f t="shared" si="3"/>
        <v>0</v>
      </c>
      <c r="M40" s="1113">
        <v>1</v>
      </c>
      <c r="N40" s="1113">
        <v>100</v>
      </c>
      <c r="O40" s="1184">
        <f t="shared" si="4"/>
        <v>1476</v>
      </c>
      <c r="P40" s="1113"/>
      <c r="Q40" s="1113">
        <v>50</v>
      </c>
      <c r="R40" s="1184">
        <f t="shared" si="5"/>
        <v>0</v>
      </c>
      <c r="S40" s="1113"/>
      <c r="T40" s="1113">
        <v>70</v>
      </c>
      <c r="U40" s="1184">
        <f t="shared" si="6"/>
        <v>0</v>
      </c>
      <c r="V40" s="1113"/>
      <c r="W40" s="1113">
        <v>50</v>
      </c>
      <c r="X40" s="1184">
        <f t="shared" si="7"/>
        <v>0</v>
      </c>
      <c r="Y40" s="1113"/>
      <c r="Z40" s="1113">
        <v>50</v>
      </c>
      <c r="AA40" s="1184">
        <f t="shared" si="8"/>
        <v>0</v>
      </c>
      <c r="AB40" s="1184"/>
      <c r="AC40" s="1184">
        <v>100</v>
      </c>
      <c r="AD40" s="1184">
        <f t="shared" si="9"/>
        <v>0</v>
      </c>
      <c r="AE40" s="1187">
        <f t="shared" si="10"/>
        <v>132840</v>
      </c>
      <c r="AF40" s="1188">
        <f t="shared" si="11"/>
        <v>140279.04000000001</v>
      </c>
      <c r="AG40" s="1188">
        <f t="shared" si="12"/>
        <v>146591.6</v>
      </c>
      <c r="AH40" s="1114"/>
      <c r="AI40" s="1115"/>
      <c r="AJ40" s="1115"/>
    </row>
    <row r="41" spans="1:36" s="903" customFormat="1" x14ac:dyDescent="0.25">
      <c r="A41" s="1510"/>
      <c r="B41" s="1510"/>
      <c r="C41" s="1510"/>
      <c r="D41" s="1185" t="s">
        <v>845</v>
      </c>
      <c r="E41" s="1186">
        <f t="shared" si="13"/>
        <v>1476</v>
      </c>
      <c r="F41" s="1113">
        <v>8</v>
      </c>
      <c r="G41" s="1113">
        <v>1</v>
      </c>
      <c r="H41" s="1113">
        <v>100</v>
      </c>
      <c r="I41" s="1184">
        <f t="shared" si="2"/>
        <v>1476</v>
      </c>
      <c r="J41" s="1113"/>
      <c r="K41" s="1113">
        <v>100</v>
      </c>
      <c r="L41" s="1184">
        <f t="shared" si="3"/>
        <v>0</v>
      </c>
      <c r="M41" s="1113"/>
      <c r="N41" s="1113">
        <v>100</v>
      </c>
      <c r="O41" s="1184">
        <f t="shared" si="4"/>
        <v>0</v>
      </c>
      <c r="P41" s="1113">
        <v>1</v>
      </c>
      <c r="Q41" s="1113">
        <v>50</v>
      </c>
      <c r="R41" s="1184">
        <f t="shared" si="5"/>
        <v>738</v>
      </c>
      <c r="S41" s="1113"/>
      <c r="T41" s="1113">
        <v>70</v>
      </c>
      <c r="U41" s="1184">
        <f t="shared" si="6"/>
        <v>0</v>
      </c>
      <c r="V41" s="1113"/>
      <c r="W41" s="1113">
        <v>50</v>
      </c>
      <c r="X41" s="1184">
        <f t="shared" si="7"/>
        <v>0</v>
      </c>
      <c r="Y41" s="1113">
        <v>1</v>
      </c>
      <c r="Z41" s="1113">
        <v>50</v>
      </c>
      <c r="AA41" s="1184">
        <f t="shared" si="8"/>
        <v>738</v>
      </c>
      <c r="AB41" s="1184"/>
      <c r="AC41" s="1184">
        <v>100</v>
      </c>
      <c r="AD41" s="1184">
        <f t="shared" si="9"/>
        <v>0</v>
      </c>
      <c r="AE41" s="1187">
        <f t="shared" si="10"/>
        <v>79704</v>
      </c>
      <c r="AF41" s="1188">
        <f t="shared" si="11"/>
        <v>84167.42</v>
      </c>
      <c r="AG41" s="1188">
        <f t="shared" si="12"/>
        <v>87954.95</v>
      </c>
      <c r="AH41" s="1114"/>
      <c r="AI41" s="1115"/>
      <c r="AJ41" s="1115"/>
    </row>
    <row r="42" spans="1:36" s="903" customFormat="1" x14ac:dyDescent="0.25">
      <c r="A42" s="1510"/>
      <c r="B42" s="1510"/>
      <c r="C42" s="1510"/>
      <c r="D42" s="1185" t="s">
        <v>886</v>
      </c>
      <c r="E42" s="1186">
        <f t="shared" si="13"/>
        <v>1476</v>
      </c>
      <c r="F42" s="1113">
        <v>20</v>
      </c>
      <c r="G42" s="1113"/>
      <c r="H42" s="1113">
        <v>100</v>
      </c>
      <c r="I42" s="1184">
        <f t="shared" si="2"/>
        <v>0</v>
      </c>
      <c r="J42" s="1113"/>
      <c r="K42" s="1113">
        <v>100</v>
      </c>
      <c r="L42" s="1184">
        <f t="shared" si="3"/>
        <v>0</v>
      </c>
      <c r="M42" s="1113">
        <v>2</v>
      </c>
      <c r="N42" s="1113">
        <v>100</v>
      </c>
      <c r="O42" s="1184">
        <f t="shared" si="4"/>
        <v>2952</v>
      </c>
      <c r="P42" s="1113"/>
      <c r="Q42" s="1113">
        <v>50</v>
      </c>
      <c r="R42" s="1184">
        <f t="shared" si="5"/>
        <v>0</v>
      </c>
      <c r="S42" s="1113"/>
      <c r="T42" s="1113">
        <v>70</v>
      </c>
      <c r="U42" s="1184">
        <f t="shared" si="6"/>
        <v>0</v>
      </c>
      <c r="V42" s="1113"/>
      <c r="W42" s="1113">
        <v>50</v>
      </c>
      <c r="X42" s="1184">
        <f t="shared" si="7"/>
        <v>0</v>
      </c>
      <c r="Y42" s="1113">
        <v>1</v>
      </c>
      <c r="Z42" s="1113">
        <v>50</v>
      </c>
      <c r="AA42" s="1184">
        <f t="shared" si="8"/>
        <v>738</v>
      </c>
      <c r="AB42" s="1184"/>
      <c r="AC42" s="1184">
        <v>100</v>
      </c>
      <c r="AD42" s="1184">
        <f t="shared" si="9"/>
        <v>0</v>
      </c>
      <c r="AE42" s="1187">
        <f t="shared" si="10"/>
        <v>232470</v>
      </c>
      <c r="AF42" s="1188">
        <f t="shared" si="11"/>
        <v>245488.32</v>
      </c>
      <c r="AG42" s="1188">
        <f t="shared" si="12"/>
        <v>256535.29</v>
      </c>
      <c r="AH42" s="1114"/>
      <c r="AI42" s="1115"/>
      <c r="AJ42" s="1115"/>
    </row>
    <row r="43" spans="1:36" s="903" customFormat="1" x14ac:dyDescent="0.25">
      <c r="A43" s="1510"/>
      <c r="B43" s="1510"/>
      <c r="C43" s="1510"/>
      <c r="D43" s="1185" t="s">
        <v>846</v>
      </c>
      <c r="E43" s="1186">
        <f t="shared" si="13"/>
        <v>1476</v>
      </c>
      <c r="F43" s="1113">
        <v>4</v>
      </c>
      <c r="G43" s="1113"/>
      <c r="H43" s="1113">
        <v>100</v>
      </c>
      <c r="I43" s="1184">
        <f t="shared" si="2"/>
        <v>0</v>
      </c>
      <c r="J43" s="1113"/>
      <c r="K43" s="1113">
        <v>100</v>
      </c>
      <c r="L43" s="1184">
        <f t="shared" si="3"/>
        <v>0</v>
      </c>
      <c r="M43" s="1113"/>
      <c r="N43" s="1113">
        <v>100</v>
      </c>
      <c r="O43" s="1184">
        <f t="shared" si="4"/>
        <v>0</v>
      </c>
      <c r="P43" s="1113">
        <v>1</v>
      </c>
      <c r="Q43" s="1113">
        <v>50</v>
      </c>
      <c r="R43" s="1184">
        <f t="shared" si="5"/>
        <v>738</v>
      </c>
      <c r="S43" s="1113"/>
      <c r="T43" s="1113">
        <v>70</v>
      </c>
      <c r="U43" s="1184">
        <f t="shared" si="6"/>
        <v>0</v>
      </c>
      <c r="V43" s="1113"/>
      <c r="W43" s="1113">
        <v>50</v>
      </c>
      <c r="X43" s="1184">
        <f t="shared" si="7"/>
        <v>0</v>
      </c>
      <c r="Y43" s="1113"/>
      <c r="Z43" s="1113">
        <v>50</v>
      </c>
      <c r="AA43" s="1184">
        <f t="shared" si="8"/>
        <v>0</v>
      </c>
      <c r="AB43" s="1184"/>
      <c r="AC43" s="1184">
        <v>100</v>
      </c>
      <c r="AD43" s="1184">
        <f t="shared" si="9"/>
        <v>0</v>
      </c>
      <c r="AE43" s="1187">
        <f t="shared" si="10"/>
        <v>46494</v>
      </c>
      <c r="AF43" s="1188">
        <f t="shared" si="11"/>
        <v>49097.66</v>
      </c>
      <c r="AG43" s="1188">
        <f t="shared" si="12"/>
        <v>51307.05</v>
      </c>
      <c r="AH43" s="1114"/>
      <c r="AI43" s="1115"/>
      <c r="AJ43" s="1115"/>
    </row>
    <row r="44" spans="1:36" s="903" customFormat="1" x14ac:dyDescent="0.25">
      <c r="A44" s="1510"/>
      <c r="B44" s="1510"/>
      <c r="C44" s="1510"/>
      <c r="D44" s="1185" t="s">
        <v>847</v>
      </c>
      <c r="E44" s="1186">
        <f t="shared" si="13"/>
        <v>1476</v>
      </c>
      <c r="F44" s="1113">
        <v>3</v>
      </c>
      <c r="G44" s="1113"/>
      <c r="H44" s="1113">
        <v>100</v>
      </c>
      <c r="I44" s="1184">
        <f t="shared" si="2"/>
        <v>0</v>
      </c>
      <c r="J44" s="1113"/>
      <c r="K44" s="1113">
        <v>100</v>
      </c>
      <c r="L44" s="1184">
        <f t="shared" si="3"/>
        <v>0</v>
      </c>
      <c r="M44" s="1113">
        <v>1</v>
      </c>
      <c r="N44" s="1113">
        <v>100</v>
      </c>
      <c r="O44" s="1184">
        <f t="shared" si="4"/>
        <v>1476</v>
      </c>
      <c r="P44" s="1113"/>
      <c r="Q44" s="1113">
        <v>50</v>
      </c>
      <c r="R44" s="1184">
        <f t="shared" si="5"/>
        <v>0</v>
      </c>
      <c r="S44" s="1113"/>
      <c r="T44" s="1113">
        <v>70</v>
      </c>
      <c r="U44" s="1184">
        <f t="shared" si="6"/>
        <v>0</v>
      </c>
      <c r="V44" s="1113"/>
      <c r="W44" s="1113">
        <v>50</v>
      </c>
      <c r="X44" s="1184">
        <f t="shared" si="7"/>
        <v>0</v>
      </c>
      <c r="Y44" s="1113"/>
      <c r="Z44" s="1113">
        <v>50</v>
      </c>
      <c r="AA44" s="1184">
        <f t="shared" si="8"/>
        <v>0</v>
      </c>
      <c r="AB44" s="1184"/>
      <c r="AC44" s="1184">
        <v>100</v>
      </c>
      <c r="AD44" s="1184">
        <f t="shared" si="9"/>
        <v>0</v>
      </c>
      <c r="AE44" s="1187">
        <f t="shared" si="10"/>
        <v>26568</v>
      </c>
      <c r="AF44" s="1188">
        <f t="shared" si="11"/>
        <v>28055.81</v>
      </c>
      <c r="AG44" s="1188">
        <f t="shared" si="12"/>
        <v>29318.32</v>
      </c>
      <c r="AH44" s="1114"/>
      <c r="AI44" s="1115"/>
      <c r="AJ44" s="1115"/>
    </row>
    <row r="45" spans="1:36" s="903" customFormat="1" x14ac:dyDescent="0.25">
      <c r="A45" s="1510"/>
      <c r="B45" s="1510"/>
      <c r="C45" s="1510"/>
      <c r="D45" s="1185" t="s">
        <v>848</v>
      </c>
      <c r="E45" s="1186">
        <f t="shared" si="13"/>
        <v>1476</v>
      </c>
      <c r="F45" s="1113">
        <v>1</v>
      </c>
      <c r="G45" s="1113"/>
      <c r="H45" s="1113">
        <v>100</v>
      </c>
      <c r="I45" s="1184">
        <f t="shared" si="2"/>
        <v>0</v>
      </c>
      <c r="J45" s="1113"/>
      <c r="K45" s="1113">
        <v>100</v>
      </c>
      <c r="L45" s="1184">
        <f t="shared" si="3"/>
        <v>0</v>
      </c>
      <c r="M45" s="1113"/>
      <c r="N45" s="1113">
        <v>100</v>
      </c>
      <c r="O45" s="1184">
        <f t="shared" si="4"/>
        <v>0</v>
      </c>
      <c r="P45" s="1113"/>
      <c r="Q45" s="1113">
        <v>50</v>
      </c>
      <c r="R45" s="1184">
        <f t="shared" si="5"/>
        <v>0</v>
      </c>
      <c r="S45" s="1113"/>
      <c r="T45" s="1113">
        <v>70</v>
      </c>
      <c r="U45" s="1184">
        <f t="shared" si="6"/>
        <v>0</v>
      </c>
      <c r="V45" s="1113"/>
      <c r="W45" s="1113">
        <v>50</v>
      </c>
      <c r="X45" s="1184">
        <f t="shared" si="7"/>
        <v>0</v>
      </c>
      <c r="Y45" s="1113"/>
      <c r="Z45" s="1113">
        <v>50</v>
      </c>
      <c r="AA45" s="1184">
        <f t="shared" si="8"/>
        <v>0</v>
      </c>
      <c r="AB45" s="1184"/>
      <c r="AC45" s="1184">
        <v>100</v>
      </c>
      <c r="AD45" s="1184">
        <f>E45*AC45/100*AB45</f>
        <v>0</v>
      </c>
      <c r="AE45" s="1187">
        <f>(E45*F45-I45-L45-O45-R45-U45-X45-AA45-AD45)*9</f>
        <v>13284</v>
      </c>
      <c r="AF45" s="1188">
        <f t="shared" si="11"/>
        <v>14027.9</v>
      </c>
      <c r="AG45" s="1188">
        <f t="shared" si="12"/>
        <v>14659.16</v>
      </c>
      <c r="AH45" s="1114"/>
      <c r="AI45" s="1115"/>
      <c r="AJ45" s="1115"/>
    </row>
    <row r="46" spans="1:36" s="513" customFormat="1" ht="30" customHeight="1" x14ac:dyDescent="0.25">
      <c r="A46" s="1510"/>
      <c r="B46" s="1510"/>
      <c r="C46" s="1510"/>
      <c r="D46" s="1185" t="s">
        <v>849</v>
      </c>
      <c r="E46" s="1186">
        <f t="shared" si="13"/>
        <v>1476</v>
      </c>
      <c r="F46" s="1113">
        <v>15</v>
      </c>
      <c r="G46" s="1113"/>
      <c r="H46" s="1113">
        <v>100</v>
      </c>
      <c r="I46" s="1184">
        <f t="shared" si="2"/>
        <v>0</v>
      </c>
      <c r="J46" s="1113">
        <v>2</v>
      </c>
      <c r="K46" s="1113">
        <v>100</v>
      </c>
      <c r="L46" s="1184">
        <f t="shared" si="3"/>
        <v>2952</v>
      </c>
      <c r="M46" s="1113">
        <v>1</v>
      </c>
      <c r="N46" s="1113">
        <v>100</v>
      </c>
      <c r="O46" s="1184">
        <f t="shared" si="4"/>
        <v>1476</v>
      </c>
      <c r="P46" s="1113">
        <v>1</v>
      </c>
      <c r="Q46" s="1113">
        <v>50</v>
      </c>
      <c r="R46" s="1184">
        <f t="shared" si="5"/>
        <v>738</v>
      </c>
      <c r="S46" s="1113"/>
      <c r="T46" s="1113">
        <v>70</v>
      </c>
      <c r="U46" s="1184">
        <f t="shared" si="6"/>
        <v>0</v>
      </c>
      <c r="V46" s="1113"/>
      <c r="W46" s="1113">
        <v>50</v>
      </c>
      <c r="X46" s="1184">
        <f t="shared" si="7"/>
        <v>0</v>
      </c>
      <c r="Y46" s="1113"/>
      <c r="Z46" s="1113">
        <v>50</v>
      </c>
      <c r="AA46" s="1184">
        <f t="shared" si="8"/>
        <v>0</v>
      </c>
      <c r="AB46" s="1184"/>
      <c r="AC46" s="1184">
        <v>100</v>
      </c>
      <c r="AD46" s="1184">
        <f t="shared" si="9"/>
        <v>0</v>
      </c>
      <c r="AE46" s="1187">
        <f t="shared" si="10"/>
        <v>152766</v>
      </c>
      <c r="AF46" s="1188">
        <f t="shared" si="11"/>
        <v>161320.9</v>
      </c>
      <c r="AG46" s="1188">
        <f t="shared" si="12"/>
        <v>168580.34</v>
      </c>
      <c r="AH46" s="1116"/>
      <c r="AI46" s="1116"/>
      <c r="AJ46" s="1116"/>
    </row>
    <row r="47" spans="1:36" s="1125" customFormat="1" ht="23.45" customHeight="1" x14ac:dyDescent="0.25">
      <c r="A47" s="1507" t="s">
        <v>72</v>
      </c>
      <c r="B47" s="1508"/>
      <c r="C47" s="1508"/>
      <c r="D47" s="1508"/>
      <c r="E47" s="1509"/>
      <c r="F47" s="1168">
        <f>SUM(F27:F46)</f>
        <v>289</v>
      </c>
      <c r="G47" s="1168">
        <f>SUM(G27:G46)</f>
        <v>2</v>
      </c>
      <c r="H47" s="1168"/>
      <c r="I47" s="1189">
        <f>SUM(I27:I46)</f>
        <v>3692</v>
      </c>
      <c r="J47" s="1168">
        <f>SUM(J27:J46)</f>
        <v>5</v>
      </c>
      <c r="K47" s="1168"/>
      <c r="L47" s="1189">
        <f>SUM(L27:L46)</f>
        <v>6938</v>
      </c>
      <c r="M47" s="1168">
        <f>SUM(M27:M46)</f>
        <v>49</v>
      </c>
      <c r="N47" s="1168"/>
      <c r="O47" s="1189">
        <f>SUM(O27:O46)</f>
        <v>101296</v>
      </c>
      <c r="P47" s="1168">
        <f>SUM(P27:P46)</f>
        <v>16</v>
      </c>
      <c r="Q47" s="1168"/>
      <c r="R47" s="1189">
        <f>SUM(R27:R46)</f>
        <v>15873</v>
      </c>
      <c r="S47" s="1168">
        <f>SUM(S27:S46)</f>
        <v>3</v>
      </c>
      <c r="T47" s="1168"/>
      <c r="U47" s="1189">
        <f>SUM(U27:U46)</f>
        <v>3823.4</v>
      </c>
      <c r="V47" s="1168"/>
      <c r="W47" s="1168"/>
      <c r="X47" s="1168">
        <f>SUM(X27:X46)</f>
        <v>0</v>
      </c>
      <c r="Y47" s="1168">
        <f>SUM(Y27:Y46)</f>
        <v>17</v>
      </c>
      <c r="Z47" s="1168"/>
      <c r="AA47" s="1189">
        <f>SUM(AA27:AA46)</f>
        <v>17498</v>
      </c>
      <c r="AB47" s="1168">
        <f>SUM(AB27:AB46)</f>
        <v>0</v>
      </c>
      <c r="AC47" s="1168"/>
      <c r="AD47" s="1168">
        <f>SUM(AD27:AD46)</f>
        <v>0</v>
      </c>
      <c r="AE47" s="1190">
        <f>FLOOR(SUM(AE27:AE46),100)</f>
        <v>3579800</v>
      </c>
      <c r="AF47" s="1190">
        <f>FLOOR(SUM(AF27:AF46),100)</f>
        <v>3780300</v>
      </c>
      <c r="AG47" s="1190">
        <f>FLOOR(SUM(AG27:AG46),100)</f>
        <v>3950400</v>
      </c>
    </row>
    <row r="48" spans="1:36" s="514" customFormat="1" ht="16.5" x14ac:dyDescent="0.25">
      <c r="A48" s="1191"/>
      <c r="B48" s="1191"/>
      <c r="C48" s="1191"/>
      <c r="D48" s="1191"/>
      <c r="E48" s="1192"/>
      <c r="F48" s="1193"/>
      <c r="G48" s="1192"/>
      <c r="H48" s="1192"/>
      <c r="I48" s="1192"/>
      <c r="J48" s="1193"/>
      <c r="K48" s="1192"/>
      <c r="L48" s="1192"/>
      <c r="M48" s="1193"/>
      <c r="N48" s="1192"/>
      <c r="O48" s="1192"/>
      <c r="P48" s="1193"/>
      <c r="Q48" s="1192"/>
      <c r="R48" s="1192"/>
      <c r="S48" s="1193"/>
      <c r="T48" s="1194"/>
      <c r="U48" s="1194"/>
      <c r="V48" s="1193"/>
      <c r="W48" s="1192"/>
      <c r="X48" s="1192"/>
      <c r="Y48" s="1193"/>
      <c r="Z48" s="1192"/>
      <c r="AA48" s="1193"/>
      <c r="AB48" s="1195"/>
      <c r="AC48" s="1195"/>
      <c r="AD48" s="1195"/>
      <c r="AE48" s="1193"/>
      <c r="AF48" s="1196"/>
      <c r="AG48" s="1196"/>
      <c r="AH48" s="515"/>
      <c r="AI48" s="516"/>
    </row>
    <row r="49" spans="1:33" s="320" customFormat="1" x14ac:dyDescent="0.25">
      <c r="A49" s="633"/>
      <c r="B49" s="633"/>
      <c r="C49" s="633"/>
      <c r="D49" s="1197"/>
      <c r="E49" s="1197"/>
      <c r="F49" s="1197"/>
      <c r="G49" s="1198"/>
      <c r="H49" s="1199"/>
      <c r="I49" s="332"/>
      <c r="J49" s="332"/>
      <c r="K49" s="332"/>
      <c r="L49" s="633"/>
      <c r="M49" s="633"/>
      <c r="N49" s="633"/>
      <c r="O49" s="633"/>
      <c r="P49" s="633"/>
      <c r="Q49" s="633"/>
      <c r="R49" s="633"/>
      <c r="S49" s="633"/>
      <c r="T49" s="633"/>
      <c r="U49" s="633"/>
      <c r="V49" s="633"/>
      <c r="W49" s="633"/>
      <c r="X49" s="633"/>
      <c r="Y49" s="633"/>
      <c r="Z49" s="633"/>
      <c r="AA49" s="633"/>
      <c r="AB49" s="1200"/>
      <c r="AC49" s="1200"/>
      <c r="AD49" s="1200"/>
      <c r="AE49" s="633"/>
      <c r="AF49" s="633"/>
      <c r="AG49" s="633"/>
    </row>
    <row r="50" spans="1:33" s="633" customFormat="1" ht="39.75" hidden="1" customHeight="1" x14ac:dyDescent="0.25">
      <c r="A50" s="1550" t="s">
        <v>862</v>
      </c>
      <c r="B50" s="1550"/>
      <c r="C50" s="1550"/>
      <c r="D50" s="1550"/>
      <c r="E50" s="1550"/>
      <c r="F50" s="1550"/>
      <c r="G50" s="1550"/>
      <c r="H50" s="710"/>
      <c r="I50" s="710"/>
      <c r="J50" s="710"/>
      <c r="K50" s="1201"/>
      <c r="L50" s="99"/>
      <c r="M50" s="99"/>
      <c r="N50" s="99"/>
      <c r="O50" s="1202"/>
      <c r="P50" s="1202"/>
      <c r="Q50" s="1202"/>
      <c r="AB50" s="1203"/>
      <c r="AC50" s="1203"/>
      <c r="AD50" s="1203"/>
    </row>
    <row r="51" spans="1:33" s="320" customFormat="1" hidden="1" x14ac:dyDescent="0.25">
      <c r="A51" s="633"/>
      <c r="B51" s="633"/>
      <c r="C51" s="633"/>
      <c r="D51" s="633"/>
      <c r="E51" s="633"/>
      <c r="F51" s="633"/>
      <c r="G51" s="633"/>
      <c r="H51" s="633"/>
      <c r="I51" s="633"/>
      <c r="J51" s="633"/>
      <c r="K51" s="633"/>
      <c r="L51" s="633"/>
      <c r="M51" s="633"/>
      <c r="N51" s="633"/>
      <c r="O51" s="633"/>
      <c r="P51" s="633"/>
      <c r="Q51" s="633"/>
      <c r="R51" s="633"/>
      <c r="S51" s="633"/>
      <c r="T51" s="633"/>
      <c r="U51" s="633"/>
      <c r="V51" s="633"/>
      <c r="W51" s="633"/>
      <c r="X51" s="633"/>
      <c r="Y51" s="633"/>
      <c r="Z51" s="633"/>
      <c r="AA51" s="633"/>
      <c r="AB51" s="1204"/>
      <c r="AC51" s="1204"/>
      <c r="AD51" s="1204"/>
      <c r="AE51" s="633"/>
      <c r="AF51" s="633"/>
      <c r="AG51" s="633"/>
    </row>
    <row r="52" spans="1:33" s="320" customFormat="1" ht="15" hidden="1" customHeight="1" x14ac:dyDescent="0.25">
      <c r="A52" s="1551" t="s">
        <v>718</v>
      </c>
      <c r="B52" s="1551" t="s">
        <v>471</v>
      </c>
      <c r="C52" s="1551" t="s">
        <v>347</v>
      </c>
      <c r="D52" s="1553" t="s">
        <v>183</v>
      </c>
      <c r="E52" s="1544" t="s">
        <v>185</v>
      </c>
      <c r="F52" s="1545"/>
      <c r="G52" s="1546"/>
      <c r="H52" s="633"/>
      <c r="I52" s="1549"/>
      <c r="J52" s="1549"/>
      <c r="K52" s="1549"/>
      <c r="L52" s="1549"/>
      <c r="M52" s="1549"/>
      <c r="N52" s="1549"/>
      <c r="O52" s="633"/>
      <c r="P52" s="633"/>
      <c r="Q52" s="633"/>
      <c r="R52" s="633"/>
      <c r="S52" s="633"/>
      <c r="T52" s="633"/>
      <c r="U52" s="633"/>
      <c r="V52" s="633"/>
      <c r="W52" s="633"/>
      <c r="X52" s="633"/>
      <c r="Y52" s="633"/>
      <c r="Z52" s="633"/>
      <c r="AA52" s="633"/>
      <c r="AB52" s="1205"/>
      <c r="AC52" s="1205"/>
      <c r="AD52" s="1205"/>
      <c r="AE52" s="633"/>
      <c r="AF52" s="633"/>
      <c r="AG52" s="633"/>
    </row>
    <row r="53" spans="1:33" s="320" customFormat="1" hidden="1" x14ac:dyDescent="0.25">
      <c r="A53" s="1552"/>
      <c r="B53" s="1552"/>
      <c r="C53" s="1552"/>
      <c r="D53" s="1553"/>
      <c r="E53" s="1170" t="s">
        <v>462</v>
      </c>
      <c r="F53" s="1170" t="s">
        <v>717</v>
      </c>
      <c r="G53" s="1170" t="s">
        <v>874</v>
      </c>
      <c r="H53" s="633"/>
      <c r="I53" s="1549"/>
      <c r="J53" s="1549"/>
      <c r="K53" s="1549"/>
      <c r="L53" s="1549"/>
      <c r="M53" s="1549"/>
      <c r="N53" s="1549"/>
      <c r="O53" s="633"/>
      <c r="P53" s="633"/>
      <c r="Q53" s="633"/>
      <c r="R53" s="633"/>
      <c r="S53" s="633"/>
      <c r="T53" s="633"/>
      <c r="U53" s="633"/>
      <c r="V53" s="633"/>
      <c r="W53" s="633"/>
      <c r="X53" s="633"/>
      <c r="Y53" s="633"/>
      <c r="Z53" s="633"/>
      <c r="AA53" s="633"/>
      <c r="AB53" s="1205"/>
      <c r="AC53" s="1205"/>
      <c r="AD53" s="1205"/>
      <c r="AE53" s="633"/>
      <c r="AF53" s="633"/>
      <c r="AG53" s="633"/>
    </row>
    <row r="54" spans="1:33" s="320" customFormat="1" hidden="1" x14ac:dyDescent="0.25">
      <c r="A54" s="1206">
        <v>1</v>
      </c>
      <c r="B54" s="1206">
        <v>2</v>
      </c>
      <c r="C54" s="1206">
        <v>3</v>
      </c>
      <c r="D54" s="1207">
        <v>4</v>
      </c>
      <c r="E54" s="1208">
        <v>5</v>
      </c>
      <c r="F54" s="1208">
        <v>6</v>
      </c>
      <c r="G54" s="1208">
        <v>7</v>
      </c>
      <c r="H54" s="633"/>
      <c r="I54" s="1209"/>
      <c r="J54" s="1209"/>
      <c r="K54" s="1209"/>
      <c r="L54" s="1209"/>
      <c r="M54" s="1209"/>
      <c r="N54" s="1209"/>
      <c r="O54" s="633"/>
      <c r="P54" s="633"/>
      <c r="Q54" s="633"/>
      <c r="R54" s="633"/>
      <c r="S54" s="633"/>
      <c r="T54" s="633"/>
      <c r="U54" s="633"/>
      <c r="V54" s="633"/>
      <c r="W54" s="633"/>
      <c r="X54" s="633"/>
      <c r="Y54" s="633"/>
      <c r="Z54" s="633"/>
      <c r="AA54" s="633"/>
      <c r="AB54" s="1205"/>
      <c r="AC54" s="1205"/>
      <c r="AD54" s="1205"/>
      <c r="AE54" s="633"/>
      <c r="AF54" s="633"/>
      <c r="AG54" s="633"/>
    </row>
    <row r="55" spans="1:33" s="320" customFormat="1" ht="69.599999999999994" hidden="1" customHeight="1" x14ac:dyDescent="0.25">
      <c r="A55" s="933">
        <v>1981</v>
      </c>
      <c r="B55" s="933">
        <v>510</v>
      </c>
      <c r="C55" s="935" t="s">
        <v>356</v>
      </c>
      <c r="D55" s="1210" t="s">
        <v>862</v>
      </c>
      <c r="E55" s="241"/>
      <c r="F55" s="1208"/>
      <c r="G55" s="1208"/>
      <c r="H55" s="633"/>
      <c r="I55" s="1211"/>
      <c r="J55" s="1209"/>
      <c r="K55" s="1209"/>
      <c r="L55" s="1211"/>
      <c r="M55" s="1209"/>
      <c r="N55" s="1212"/>
      <c r="O55" s="633"/>
      <c r="P55" s="633"/>
      <c r="Q55" s="633"/>
      <c r="R55" s="633"/>
      <c r="S55" s="633"/>
      <c r="T55" s="633"/>
      <c r="U55" s="633"/>
      <c r="V55" s="633"/>
      <c r="W55" s="633"/>
      <c r="X55" s="633"/>
      <c r="Y55" s="633"/>
      <c r="Z55" s="633"/>
      <c r="AA55" s="633"/>
      <c r="AB55" s="1205"/>
      <c r="AC55" s="1205"/>
      <c r="AD55" s="1205"/>
      <c r="AE55" s="633"/>
      <c r="AF55" s="633"/>
      <c r="AG55" s="633"/>
    </row>
    <row r="56" spans="1:33" s="320" customFormat="1" hidden="1" x14ac:dyDescent="0.25">
      <c r="A56" s="1213"/>
      <c r="B56" s="1213"/>
      <c r="C56" s="1213"/>
      <c r="D56" s="1214" t="s">
        <v>97</v>
      </c>
      <c r="E56" s="241">
        <f>E55</f>
        <v>0</v>
      </c>
      <c r="F56" s="241">
        <f t="shared" ref="F56:G56" si="14">F55</f>
        <v>0</v>
      </c>
      <c r="G56" s="241">
        <f t="shared" si="14"/>
        <v>0</v>
      </c>
      <c r="H56" s="633"/>
      <c r="I56" s="1215"/>
      <c r="J56" s="1215"/>
      <c r="K56" s="1215"/>
      <c r="L56" s="1215"/>
      <c r="M56" s="1215"/>
      <c r="N56" s="1215"/>
      <c r="O56" s="633"/>
      <c r="P56" s="633"/>
      <c r="Q56" s="633"/>
      <c r="R56" s="633"/>
      <c r="S56" s="633"/>
      <c r="T56" s="633"/>
      <c r="U56" s="633"/>
      <c r="V56" s="633"/>
      <c r="W56" s="633"/>
      <c r="X56" s="633"/>
      <c r="Y56" s="633"/>
      <c r="Z56" s="633"/>
      <c r="AA56" s="633"/>
      <c r="AB56" s="1205"/>
      <c r="AC56" s="1205"/>
      <c r="AD56" s="1205"/>
      <c r="AE56" s="633"/>
      <c r="AF56" s="633"/>
      <c r="AG56" s="633"/>
    </row>
    <row r="57" spans="1:33" hidden="1" x14ac:dyDescent="0.25">
      <c r="A57" s="633"/>
      <c r="B57" s="633"/>
      <c r="C57" s="633"/>
      <c r="D57" s="633"/>
      <c r="E57" s="633"/>
      <c r="F57" s="633"/>
      <c r="G57" s="633"/>
      <c r="H57" s="633"/>
      <c r="I57" s="633"/>
      <c r="J57" s="633"/>
      <c r="K57" s="633"/>
      <c r="L57" s="633"/>
      <c r="M57" s="633"/>
      <c r="N57" s="633"/>
      <c r="O57" s="633"/>
      <c r="P57" s="633"/>
      <c r="Q57" s="633"/>
      <c r="R57" s="633"/>
      <c r="S57" s="633"/>
      <c r="T57" s="633"/>
      <c r="U57" s="633"/>
      <c r="V57" s="633"/>
      <c r="W57" s="633"/>
      <c r="X57" s="633"/>
      <c r="Y57" s="633"/>
      <c r="Z57" s="633"/>
      <c r="AA57" s="633"/>
      <c r="AB57" s="1205"/>
      <c r="AC57" s="1205"/>
      <c r="AD57" s="1205"/>
      <c r="AE57" s="633"/>
      <c r="AF57" s="633"/>
      <c r="AG57" s="633"/>
    </row>
    <row r="58" spans="1:33" x14ac:dyDescent="0.25">
      <c r="A58" s="633"/>
      <c r="B58" s="633"/>
      <c r="C58" s="633"/>
      <c r="D58" s="633"/>
      <c r="E58" s="633"/>
      <c r="F58" s="633"/>
      <c r="G58" s="633"/>
      <c r="H58" s="633"/>
      <c r="I58" s="633"/>
      <c r="J58" s="633"/>
      <c r="K58" s="633"/>
      <c r="L58" s="633"/>
      <c r="M58" s="633"/>
      <c r="N58" s="633"/>
      <c r="O58" s="633"/>
      <c r="P58" s="633"/>
      <c r="Q58" s="633"/>
      <c r="R58" s="633"/>
      <c r="S58" s="633"/>
      <c r="T58" s="633"/>
      <c r="U58" s="633"/>
      <c r="V58" s="633"/>
      <c r="W58" s="633"/>
      <c r="X58" s="633"/>
      <c r="Y58" s="633"/>
      <c r="Z58" s="633"/>
      <c r="AA58" s="633"/>
      <c r="AB58" s="1205"/>
      <c r="AC58" s="1205"/>
      <c r="AD58" s="1205"/>
      <c r="AE58" s="633"/>
      <c r="AF58" s="633"/>
      <c r="AG58" s="633"/>
    </row>
    <row r="59" spans="1:33" ht="47.25" x14ac:dyDescent="0.25">
      <c r="A59" s="633"/>
      <c r="B59" s="633"/>
      <c r="C59" s="633"/>
      <c r="D59" s="1216" t="s">
        <v>177</v>
      </c>
      <c r="E59" s="1216" t="s">
        <v>461</v>
      </c>
      <c r="F59" s="1305" t="s">
        <v>875</v>
      </c>
      <c r="G59" s="1216" t="s">
        <v>723</v>
      </c>
      <c r="H59" s="1216" t="s">
        <v>871</v>
      </c>
      <c r="I59" s="633"/>
      <c r="J59" s="633"/>
      <c r="K59" s="633"/>
      <c r="L59" s="633"/>
      <c r="M59" s="633"/>
      <c r="N59" s="633"/>
      <c r="O59" s="633"/>
      <c r="P59" s="633"/>
      <c r="Q59" s="633"/>
      <c r="R59" s="633"/>
      <c r="S59" s="633"/>
      <c r="T59" s="633"/>
      <c r="U59" s="633"/>
      <c r="V59" s="633"/>
      <c r="W59" s="633"/>
      <c r="X59" s="633"/>
      <c r="Y59" s="633"/>
      <c r="Z59" s="633"/>
      <c r="AA59" s="633"/>
      <c r="AB59" s="1205"/>
      <c r="AC59" s="1205"/>
      <c r="AD59" s="1205"/>
      <c r="AE59" s="633"/>
      <c r="AF59" s="633"/>
      <c r="AG59" s="633"/>
    </row>
    <row r="60" spans="1:33" ht="15.75" x14ac:dyDescent="0.25">
      <c r="A60" s="633"/>
      <c r="B60" s="633"/>
      <c r="C60" s="633"/>
      <c r="D60" s="1217" t="s">
        <v>724</v>
      </c>
      <c r="E60" s="1218">
        <f>AE47</f>
        <v>3579800</v>
      </c>
      <c r="F60" s="1219"/>
      <c r="G60" s="1218">
        <f>AF47</f>
        <v>3780300</v>
      </c>
      <c r="H60" s="1218">
        <f>AG47</f>
        <v>3950400</v>
      </c>
      <c r="I60" s="633"/>
      <c r="J60" s="633"/>
      <c r="K60" s="633"/>
      <c r="L60" s="1220"/>
      <c r="M60" s="1220"/>
      <c r="N60" s="1220"/>
      <c r="O60" s="633"/>
      <c r="P60" s="633"/>
      <c r="Q60" s="633"/>
      <c r="R60" s="633"/>
      <c r="S60" s="633"/>
      <c r="T60" s="633"/>
      <c r="U60" s="633"/>
      <c r="V60" s="633"/>
      <c r="W60" s="633"/>
      <c r="X60" s="633"/>
      <c r="Y60" s="633"/>
      <c r="Z60" s="633"/>
      <c r="AA60" s="633"/>
      <c r="AB60" s="1205"/>
      <c r="AC60" s="1205"/>
      <c r="AD60" s="1205"/>
      <c r="AE60" s="633"/>
      <c r="AF60" s="633"/>
      <c r="AG60" s="633"/>
    </row>
    <row r="61" spans="1:33" x14ac:dyDescent="0.25">
      <c r="AB61" s="1137"/>
      <c r="AC61" s="1137"/>
      <c r="AD61" s="1137"/>
    </row>
    <row r="62" spans="1:33" x14ac:dyDescent="0.25">
      <c r="AB62" s="1137"/>
      <c r="AC62" s="1137"/>
      <c r="AD62" s="1137"/>
    </row>
    <row r="63" spans="1:33" x14ac:dyDescent="0.25">
      <c r="AB63" s="1137"/>
      <c r="AC63" s="1137"/>
      <c r="AD63" s="1137"/>
    </row>
    <row r="64" spans="1:33" x14ac:dyDescent="0.25">
      <c r="AB64" s="1137"/>
      <c r="AC64" s="1137"/>
      <c r="AD64" s="1137"/>
    </row>
    <row r="65" spans="28:30" x14ac:dyDescent="0.25">
      <c r="AB65" s="1137"/>
      <c r="AC65" s="1137"/>
      <c r="AD65" s="1137"/>
    </row>
    <row r="66" spans="28:30" x14ac:dyDescent="0.25">
      <c r="AB66" s="1137"/>
      <c r="AC66" s="1137"/>
      <c r="AD66" s="1137"/>
    </row>
    <row r="67" spans="28:30" x14ac:dyDescent="0.25">
      <c r="AB67" s="1138"/>
      <c r="AC67" s="1138"/>
      <c r="AD67" s="1138"/>
    </row>
    <row r="68" spans="28:30" x14ac:dyDescent="0.25">
      <c r="AB68" s="1134"/>
      <c r="AC68" s="1134"/>
      <c r="AD68" s="1134"/>
    </row>
    <row r="69" spans="28:30" x14ac:dyDescent="0.25">
      <c r="AB69" s="1134"/>
      <c r="AC69" s="1134"/>
      <c r="AD69" s="1134"/>
    </row>
    <row r="70" spans="28:30" x14ac:dyDescent="0.25">
      <c r="AB70" s="1136"/>
      <c r="AC70" s="1136"/>
      <c r="AD70" s="1136"/>
    </row>
    <row r="71" spans="28:30" x14ac:dyDescent="0.25">
      <c r="AB71" s="1136"/>
      <c r="AC71" s="1136"/>
      <c r="AD71" s="1136"/>
    </row>
    <row r="72" spans="28:30" x14ac:dyDescent="0.25">
      <c r="AB72" s="1136"/>
      <c r="AC72" s="1136"/>
      <c r="AD72" s="1136"/>
    </row>
    <row r="73" spans="28:30" x14ac:dyDescent="0.25">
      <c r="AB73" s="1136"/>
      <c r="AC73" s="1136"/>
      <c r="AD73" s="1136"/>
    </row>
    <row r="74" spans="28:30" x14ac:dyDescent="0.25">
      <c r="AB74" s="1136"/>
      <c r="AC74" s="1136"/>
      <c r="AD74" s="1136"/>
    </row>
    <row r="75" spans="28:30" x14ac:dyDescent="0.25">
      <c r="AB75" s="1136"/>
      <c r="AC75" s="1136"/>
      <c r="AD75" s="1136"/>
    </row>
    <row r="76" spans="28:30" x14ac:dyDescent="0.25">
      <c r="AB76" s="1136"/>
      <c r="AC76" s="1136"/>
      <c r="AD76" s="1136"/>
    </row>
    <row r="77" spans="28:30" x14ac:dyDescent="0.25">
      <c r="AB77" s="1136"/>
      <c r="AC77" s="1136"/>
      <c r="AD77" s="1136"/>
    </row>
    <row r="78" spans="28:30" ht="25.5" x14ac:dyDescent="0.25">
      <c r="AB78" s="1139"/>
      <c r="AC78" s="1139"/>
      <c r="AD78" s="1139"/>
    </row>
    <row r="79" spans="28:30" x14ac:dyDescent="0.25">
      <c r="AB79" s="1134"/>
      <c r="AC79" s="1134"/>
      <c r="AD79" s="1134"/>
    </row>
    <row r="80" spans="28:30" x14ac:dyDescent="0.25">
      <c r="AB80" s="1136"/>
      <c r="AC80" s="1136"/>
      <c r="AD80" s="1136"/>
    </row>
    <row r="81" spans="28:30" x14ac:dyDescent="0.25">
      <c r="AB81" s="1136"/>
      <c r="AC81" s="1136"/>
      <c r="AD81" s="1136"/>
    </row>
    <row r="82" spans="28:30" x14ac:dyDescent="0.25">
      <c r="AB82" s="1136"/>
      <c r="AC82" s="1136"/>
      <c r="AD82" s="1136"/>
    </row>
    <row r="83" spans="28:30" x14ac:dyDescent="0.25">
      <c r="AB83" s="1136"/>
      <c r="AC83" s="1136"/>
      <c r="AD83" s="1136"/>
    </row>
    <row r="84" spans="28:30" x14ac:dyDescent="0.25">
      <c r="AB84" s="1136"/>
      <c r="AC84" s="1136"/>
      <c r="AD84" s="1136"/>
    </row>
    <row r="85" spans="28:30" x14ac:dyDescent="0.25">
      <c r="AB85" s="1136"/>
      <c r="AC85" s="1136"/>
      <c r="AD85" s="1136"/>
    </row>
    <row r="86" spans="28:30" x14ac:dyDescent="0.25">
      <c r="AB86" s="1136"/>
      <c r="AC86" s="1136"/>
      <c r="AD86" s="1136"/>
    </row>
    <row r="87" spans="28:30" x14ac:dyDescent="0.25">
      <c r="AB87" s="1136"/>
      <c r="AC87" s="1136"/>
      <c r="AD87" s="1136"/>
    </row>
    <row r="88" spans="28:30" x14ac:dyDescent="0.25">
      <c r="AB88" s="1136"/>
      <c r="AC88" s="1136"/>
      <c r="AD88" s="1136"/>
    </row>
    <row r="89" spans="28:30" x14ac:dyDescent="0.25">
      <c r="AB89" s="1136"/>
      <c r="AC89" s="1136"/>
      <c r="AD89" s="1136"/>
    </row>
    <row r="90" spans="28:30" x14ac:dyDescent="0.25">
      <c r="AB90" s="1136"/>
      <c r="AC90" s="1136"/>
      <c r="AD90" s="1136"/>
    </row>
    <row r="91" spans="28:30" x14ac:dyDescent="0.25">
      <c r="AB91" s="1136"/>
      <c r="AC91" s="1136"/>
      <c r="AD91" s="1136"/>
    </row>
    <row r="92" spans="28:30" x14ac:dyDescent="0.25">
      <c r="AB92" s="1136"/>
      <c r="AC92" s="1136"/>
      <c r="AD92" s="1136"/>
    </row>
    <row r="93" spans="28:30" x14ac:dyDescent="0.25">
      <c r="AB93" s="1136"/>
      <c r="AC93" s="1136"/>
      <c r="AD93" s="1136"/>
    </row>
    <row r="94" spans="28:30" x14ac:dyDescent="0.25">
      <c r="AB94" s="1134"/>
      <c r="AC94" s="1134"/>
      <c r="AD94" s="1134"/>
    </row>
    <row r="95" spans="28:30" x14ac:dyDescent="0.25">
      <c r="AB95" s="1132"/>
      <c r="AC95" s="1132"/>
      <c r="AD95" s="1132"/>
    </row>
    <row r="96" spans="28:30" x14ac:dyDescent="0.25">
      <c r="AB96" s="1136"/>
      <c r="AC96" s="1136"/>
      <c r="AD96" s="1136"/>
    </row>
    <row r="97" spans="28:30" x14ac:dyDescent="0.25">
      <c r="AB97" s="1136"/>
      <c r="AC97" s="1136"/>
      <c r="AD97" s="1136"/>
    </row>
    <row r="98" spans="28:30" x14ac:dyDescent="0.25">
      <c r="AB98" s="1136"/>
      <c r="AC98" s="1136"/>
      <c r="AD98" s="1136"/>
    </row>
    <row r="99" spans="28:30" x14ac:dyDescent="0.25">
      <c r="AB99" s="1136"/>
      <c r="AC99" s="1136"/>
      <c r="AD99" s="1136"/>
    </row>
    <row r="100" spans="28:30" x14ac:dyDescent="0.25">
      <c r="AB100" s="1136"/>
      <c r="AC100" s="1136"/>
      <c r="AD100" s="1136"/>
    </row>
    <row r="101" spans="28:30" x14ac:dyDescent="0.25">
      <c r="AB101" s="1136"/>
      <c r="AC101" s="1136"/>
      <c r="AD101" s="1136"/>
    </row>
    <row r="102" spans="28:30" x14ac:dyDescent="0.25">
      <c r="AB102" s="1136"/>
      <c r="AC102" s="1136"/>
      <c r="AD102" s="1136"/>
    </row>
    <row r="103" spans="28:30" x14ac:dyDescent="0.25">
      <c r="AB103" s="1136"/>
      <c r="AC103" s="1136"/>
      <c r="AD103" s="1136"/>
    </row>
    <row r="104" spans="28:30" x14ac:dyDescent="0.25">
      <c r="AB104" s="1140"/>
      <c r="AC104" s="1140"/>
      <c r="AD104" s="1140"/>
    </row>
    <row r="105" spans="28:30" x14ac:dyDescent="0.25">
      <c r="AB105" s="1134"/>
      <c r="AC105" s="1134"/>
      <c r="AD105" s="1134"/>
    </row>
    <row r="106" spans="28:30" x14ac:dyDescent="0.25">
      <c r="AB106" s="1134"/>
      <c r="AC106" s="1134"/>
      <c r="AD106" s="1134"/>
    </row>
    <row r="107" spans="28:30" x14ac:dyDescent="0.25">
      <c r="AB107" s="1136"/>
      <c r="AC107" s="1136"/>
      <c r="AD107" s="1136"/>
    </row>
    <row r="108" spans="28:30" x14ac:dyDescent="0.25">
      <c r="AB108" s="1136"/>
      <c r="AC108" s="1136"/>
      <c r="AD108" s="1136"/>
    </row>
    <row r="109" spans="28:30" x14ac:dyDescent="0.25">
      <c r="AB109" s="1136"/>
      <c r="AC109" s="1136"/>
      <c r="AD109" s="1136"/>
    </row>
    <row r="110" spans="28:30" x14ac:dyDescent="0.25">
      <c r="AB110" s="1136"/>
      <c r="AC110" s="1136"/>
      <c r="AD110" s="1136"/>
    </row>
    <row r="111" spans="28:30" x14ac:dyDescent="0.25">
      <c r="AB111" s="1136"/>
      <c r="AC111" s="1136"/>
      <c r="AD111" s="1136"/>
    </row>
    <row r="112" spans="28:30" x14ac:dyDescent="0.25">
      <c r="AB112" s="1136"/>
      <c r="AC112" s="1136"/>
      <c r="AD112" s="1136"/>
    </row>
    <row r="113" spans="28:30" x14ac:dyDescent="0.25">
      <c r="AB113" s="1136"/>
      <c r="AC113" s="1136"/>
      <c r="AD113" s="1136"/>
    </row>
    <row r="114" spans="28:30" x14ac:dyDescent="0.25">
      <c r="AB114" s="1136"/>
      <c r="AC114" s="1136"/>
      <c r="AD114" s="1136"/>
    </row>
    <row r="115" spans="28:30" ht="25.5" x14ac:dyDescent="0.25">
      <c r="AB115" s="1139"/>
      <c r="AC115" s="1139"/>
      <c r="AD115" s="1139"/>
    </row>
    <row r="116" spans="28:30" x14ac:dyDescent="0.25">
      <c r="AB116" s="1134"/>
      <c r="AC116" s="1134"/>
      <c r="AD116" s="1134"/>
    </row>
    <row r="117" spans="28:30" x14ac:dyDescent="0.25">
      <c r="AB117" s="1136"/>
      <c r="AC117" s="1136"/>
      <c r="AD117" s="1136"/>
    </row>
    <row r="118" spans="28:30" x14ac:dyDescent="0.25">
      <c r="AB118" s="1136"/>
      <c r="AC118" s="1136"/>
      <c r="AD118" s="1136"/>
    </row>
    <row r="119" spans="28:30" x14ac:dyDescent="0.25">
      <c r="AB119" s="1136"/>
      <c r="AC119" s="1136"/>
      <c r="AD119" s="1136"/>
    </row>
    <row r="120" spans="28:30" x14ac:dyDescent="0.25">
      <c r="AB120" s="1136"/>
      <c r="AC120" s="1136"/>
      <c r="AD120" s="1136"/>
    </row>
    <row r="121" spans="28:30" x14ac:dyDescent="0.25">
      <c r="AB121" s="1136"/>
      <c r="AC121" s="1136"/>
      <c r="AD121" s="1136"/>
    </row>
    <row r="122" spans="28:30" x14ac:dyDescent="0.25">
      <c r="AB122" s="1136"/>
      <c r="AC122" s="1136"/>
      <c r="AD122" s="1136"/>
    </row>
    <row r="123" spans="28:30" x14ac:dyDescent="0.25">
      <c r="AB123" s="1136"/>
      <c r="AC123" s="1136"/>
      <c r="AD123" s="1136"/>
    </row>
    <row r="124" spans="28:30" x14ac:dyDescent="0.25">
      <c r="AB124" s="1136"/>
      <c r="AC124" s="1136"/>
      <c r="AD124" s="1136"/>
    </row>
    <row r="125" spans="28:30" x14ac:dyDescent="0.25">
      <c r="AB125" s="1136"/>
      <c r="AC125" s="1136"/>
      <c r="AD125" s="1136"/>
    </row>
    <row r="126" spans="28:30" x14ac:dyDescent="0.25">
      <c r="AB126" s="1136"/>
      <c r="AC126" s="1136"/>
      <c r="AD126" s="1136"/>
    </row>
    <row r="127" spans="28:30" x14ac:dyDescent="0.25">
      <c r="AB127" s="1136"/>
      <c r="AC127" s="1136"/>
      <c r="AD127" s="1136"/>
    </row>
    <row r="128" spans="28:30" x14ac:dyDescent="0.25">
      <c r="AB128" s="1136"/>
      <c r="AC128" s="1136"/>
      <c r="AD128" s="1136"/>
    </row>
    <row r="129" spans="28:30" x14ac:dyDescent="0.25">
      <c r="AB129" s="1136"/>
      <c r="AC129" s="1136"/>
      <c r="AD129" s="1136"/>
    </row>
    <row r="130" spans="28:30" x14ac:dyDescent="0.25">
      <c r="AB130" s="1136"/>
      <c r="AC130" s="1136"/>
      <c r="AD130" s="1136"/>
    </row>
    <row r="131" spans="28:30" x14ac:dyDescent="0.25">
      <c r="AB131" s="1134"/>
      <c r="AC131" s="1134"/>
      <c r="AD131" s="1134"/>
    </row>
    <row r="132" spans="28:30" x14ac:dyDescent="0.25">
      <c r="AB132" s="1132"/>
      <c r="AC132" s="1132"/>
      <c r="AD132" s="1132"/>
    </row>
    <row r="133" spans="28:30" x14ac:dyDescent="0.25">
      <c r="AB133" s="1136"/>
      <c r="AC133" s="1136"/>
      <c r="AD133" s="1136"/>
    </row>
    <row r="134" spans="28:30" x14ac:dyDescent="0.25">
      <c r="AB134" s="1136"/>
      <c r="AC134" s="1136"/>
      <c r="AD134" s="1136"/>
    </row>
    <row r="135" spans="28:30" x14ac:dyDescent="0.25">
      <c r="AB135" s="1136"/>
      <c r="AC135" s="1136"/>
      <c r="AD135" s="1136"/>
    </row>
    <row r="136" spans="28:30" x14ac:dyDescent="0.25">
      <c r="AB136" s="1136"/>
      <c r="AC136" s="1136"/>
      <c r="AD136" s="1136"/>
    </row>
    <row r="137" spans="28:30" x14ac:dyDescent="0.25">
      <c r="AB137" s="1136"/>
      <c r="AC137" s="1136"/>
      <c r="AD137" s="1136"/>
    </row>
    <row r="138" spans="28:30" x14ac:dyDescent="0.25">
      <c r="AB138" s="1136"/>
      <c r="AC138" s="1136"/>
      <c r="AD138" s="1136"/>
    </row>
    <row r="139" spans="28:30" x14ac:dyDescent="0.25">
      <c r="AB139" s="1136"/>
      <c r="AC139" s="1136"/>
      <c r="AD139" s="1136"/>
    </row>
    <row r="140" spans="28:30" x14ac:dyDescent="0.25">
      <c r="AB140" s="1136"/>
      <c r="AC140" s="1136"/>
      <c r="AD140" s="1136"/>
    </row>
    <row r="141" spans="28:30" x14ac:dyDescent="0.25">
      <c r="AB141" s="1136"/>
      <c r="AC141" s="1136"/>
      <c r="AD141" s="1136"/>
    </row>
    <row r="142" spans="28:30" x14ac:dyDescent="0.25">
      <c r="AB142" s="1136"/>
      <c r="AC142" s="1136"/>
      <c r="AD142" s="1136"/>
    </row>
    <row r="143" spans="28:30" x14ac:dyDescent="0.25">
      <c r="AB143" s="1136"/>
      <c r="AC143" s="1136"/>
      <c r="AD143" s="1136"/>
    </row>
    <row r="144" spans="28:30" x14ac:dyDescent="0.25">
      <c r="AB144" s="1136"/>
      <c r="AC144" s="1136"/>
      <c r="AD144" s="1136"/>
    </row>
    <row r="145" spans="28:30" x14ac:dyDescent="0.25">
      <c r="AB145" s="1136"/>
      <c r="AC145" s="1136"/>
      <c r="AD145" s="1136"/>
    </row>
    <row r="146" spans="28:30" x14ac:dyDescent="0.25">
      <c r="AB146" s="1140"/>
      <c r="AC146" s="1140"/>
      <c r="AD146" s="1140"/>
    </row>
    <row r="147" spans="28:30" x14ac:dyDescent="0.25">
      <c r="AB147" s="1134"/>
      <c r="AC147" s="1134"/>
      <c r="AD147" s="1134"/>
    </row>
    <row r="148" spans="28:30" x14ac:dyDescent="0.25">
      <c r="AB148" s="1134"/>
      <c r="AC148" s="1134"/>
      <c r="AD148" s="1134"/>
    </row>
    <row r="149" spans="28:30" x14ac:dyDescent="0.25">
      <c r="AB149" s="1136"/>
      <c r="AC149" s="1136"/>
      <c r="AD149" s="1136"/>
    </row>
    <row r="150" spans="28:30" x14ac:dyDescent="0.25">
      <c r="AB150" s="1136"/>
      <c r="AC150" s="1136"/>
      <c r="AD150" s="1136"/>
    </row>
    <row r="151" spans="28:30" x14ac:dyDescent="0.25">
      <c r="AB151" s="1136"/>
      <c r="AC151" s="1136"/>
      <c r="AD151" s="1136"/>
    </row>
    <row r="152" spans="28:30" x14ac:dyDescent="0.25">
      <c r="AB152" s="1136"/>
      <c r="AC152" s="1136"/>
      <c r="AD152" s="1136"/>
    </row>
    <row r="153" spans="28:30" x14ac:dyDescent="0.25">
      <c r="AB153" s="1136"/>
      <c r="AC153" s="1136"/>
      <c r="AD153" s="1136"/>
    </row>
    <row r="154" spans="28:30" x14ac:dyDescent="0.25">
      <c r="AB154" s="1136"/>
      <c r="AC154" s="1136"/>
      <c r="AD154" s="1136"/>
    </row>
    <row r="155" spans="28:30" x14ac:dyDescent="0.25">
      <c r="AB155" s="1136"/>
      <c r="AC155" s="1136"/>
      <c r="AD155" s="1136"/>
    </row>
    <row r="156" spans="28:30" x14ac:dyDescent="0.25">
      <c r="AB156" s="1136"/>
      <c r="AC156" s="1136"/>
      <c r="AD156" s="1136"/>
    </row>
    <row r="157" spans="28:30" ht="25.5" x14ac:dyDescent="0.25">
      <c r="AB157" s="1139"/>
      <c r="AC157" s="1139"/>
      <c r="AD157" s="1139"/>
    </row>
    <row r="158" spans="28:30" x14ac:dyDescent="0.25">
      <c r="AB158" s="1134"/>
      <c r="AC158" s="1134"/>
      <c r="AD158" s="1134"/>
    </row>
    <row r="159" spans="28:30" x14ac:dyDescent="0.25">
      <c r="AB159" s="1136"/>
      <c r="AC159" s="1136"/>
      <c r="AD159" s="1136"/>
    </row>
    <row r="160" spans="28:30" x14ac:dyDescent="0.25">
      <c r="AB160" s="1136"/>
      <c r="AC160" s="1136"/>
      <c r="AD160" s="1136"/>
    </row>
    <row r="161" spans="28:30" x14ac:dyDescent="0.25">
      <c r="AB161" s="1136"/>
      <c r="AC161" s="1136"/>
      <c r="AD161" s="1136"/>
    </row>
    <row r="162" spans="28:30" x14ac:dyDescent="0.25">
      <c r="AB162" s="1136"/>
      <c r="AC162" s="1136"/>
      <c r="AD162" s="1136"/>
    </row>
    <row r="163" spans="28:30" x14ac:dyDescent="0.25">
      <c r="AB163" s="1136"/>
      <c r="AC163" s="1136"/>
      <c r="AD163" s="1136"/>
    </row>
    <row r="164" spans="28:30" x14ac:dyDescent="0.25">
      <c r="AB164" s="1136"/>
      <c r="AC164" s="1136"/>
      <c r="AD164" s="1136"/>
    </row>
    <row r="165" spans="28:30" x14ac:dyDescent="0.25">
      <c r="AB165" s="1136"/>
      <c r="AC165" s="1136"/>
      <c r="AD165" s="1136"/>
    </row>
    <row r="166" spans="28:30" x14ac:dyDescent="0.25">
      <c r="AB166" s="1136"/>
      <c r="AC166" s="1136"/>
      <c r="AD166" s="1136"/>
    </row>
    <row r="167" spans="28:30" x14ac:dyDescent="0.25">
      <c r="AB167" s="1136"/>
      <c r="AC167" s="1136"/>
      <c r="AD167" s="1136"/>
    </row>
    <row r="168" spans="28:30" x14ac:dyDescent="0.25">
      <c r="AB168" s="1136"/>
      <c r="AC168" s="1136"/>
      <c r="AD168" s="1136"/>
    </row>
    <row r="169" spans="28:30" x14ac:dyDescent="0.25">
      <c r="AB169" s="1136"/>
      <c r="AC169" s="1136"/>
      <c r="AD169" s="1136"/>
    </row>
    <row r="170" spans="28:30" x14ac:dyDescent="0.25">
      <c r="AB170" s="1136"/>
      <c r="AC170" s="1136"/>
      <c r="AD170" s="1136"/>
    </row>
    <row r="171" spans="28:30" x14ac:dyDescent="0.25">
      <c r="AB171" s="1136"/>
      <c r="AC171" s="1136"/>
      <c r="AD171" s="1136"/>
    </row>
    <row r="172" spans="28:30" x14ac:dyDescent="0.25">
      <c r="AB172" s="1136"/>
      <c r="AC172" s="1136"/>
      <c r="AD172" s="1136"/>
    </row>
    <row r="173" spans="28:30" x14ac:dyDescent="0.25">
      <c r="AB173" s="1134"/>
      <c r="AC173" s="1134"/>
      <c r="AD173" s="1134"/>
    </row>
    <row r="174" spans="28:30" ht="15.75" x14ac:dyDescent="0.25">
      <c r="AB174" s="1141"/>
      <c r="AC174" s="1141"/>
      <c r="AD174" s="1141"/>
    </row>
    <row r="175" spans="28:30" x14ac:dyDescent="0.25">
      <c r="AB175" s="1142"/>
      <c r="AC175" s="1142"/>
      <c r="AD175" s="1142"/>
    </row>
    <row r="176" spans="28:30" x14ac:dyDescent="0.25">
      <c r="AB176" s="1143"/>
      <c r="AC176" s="1143"/>
      <c r="AD176" s="1143"/>
    </row>
    <row r="177" spans="28:30" x14ac:dyDescent="0.25">
      <c r="AB177" s="1142"/>
      <c r="AC177" s="1142"/>
      <c r="AD177" s="1142"/>
    </row>
    <row r="178" spans="28:30" x14ac:dyDescent="0.25">
      <c r="AB178" s="1142"/>
      <c r="AC178" s="1142"/>
      <c r="AD178" s="1142"/>
    </row>
    <row r="179" spans="28:30" x14ac:dyDescent="0.25">
      <c r="AB179" s="1142"/>
      <c r="AC179" s="1142"/>
      <c r="AD179" s="1142"/>
    </row>
    <row r="180" spans="28:30" x14ac:dyDescent="0.25">
      <c r="AB180" s="1142"/>
      <c r="AC180" s="1142"/>
      <c r="AD180" s="1142"/>
    </row>
    <row r="181" spans="28:30" x14ac:dyDescent="0.25">
      <c r="AB181" s="1142"/>
      <c r="AC181" s="1142"/>
      <c r="AD181" s="1142"/>
    </row>
    <row r="182" spans="28:30" x14ac:dyDescent="0.25">
      <c r="AB182" s="1142"/>
      <c r="AC182" s="1142"/>
      <c r="AD182" s="1142"/>
    </row>
    <row r="183" spans="28:30" x14ac:dyDescent="0.25">
      <c r="AB183" s="1142"/>
      <c r="AC183" s="1142"/>
      <c r="AD183" s="1142"/>
    </row>
    <row r="184" spans="28:30" x14ac:dyDescent="0.25">
      <c r="AB184" s="1142"/>
      <c r="AC184" s="1142"/>
      <c r="AD184" s="1142"/>
    </row>
    <row r="185" spans="28:30" x14ac:dyDescent="0.25">
      <c r="AB185" s="1142"/>
      <c r="AC185" s="1142"/>
      <c r="AD185" s="1142"/>
    </row>
    <row r="186" spans="28:30" x14ac:dyDescent="0.25">
      <c r="AB186" s="1142"/>
      <c r="AC186" s="1142"/>
      <c r="AD186" s="1142"/>
    </row>
    <row r="187" spans="28:30" x14ac:dyDescent="0.25">
      <c r="AB187" s="1144"/>
      <c r="AC187" s="1144"/>
      <c r="AD187" s="1144"/>
    </row>
    <row r="188" spans="28:30" x14ac:dyDescent="0.25">
      <c r="AB188" s="1142"/>
      <c r="AC188" s="1142"/>
      <c r="AD188" s="1142"/>
    </row>
    <row r="189" spans="28:30" x14ac:dyDescent="0.25">
      <c r="AB189" s="1142"/>
      <c r="AC189" s="1142"/>
      <c r="AD189" s="1142"/>
    </row>
    <row r="190" spans="28:30" x14ac:dyDescent="0.25">
      <c r="AB190" s="1142"/>
      <c r="AC190" s="1142"/>
      <c r="AD190" s="1142"/>
    </row>
    <row r="191" spans="28:30" ht="18.75" x14ac:dyDescent="0.3">
      <c r="AB191" s="1135"/>
      <c r="AC191" s="1135"/>
      <c r="AD191" s="1135"/>
    </row>
    <row r="192" spans="28:30" ht="18.75" x14ac:dyDescent="0.3">
      <c r="AB192" s="1135"/>
      <c r="AC192" s="1135"/>
      <c r="AD192" s="1135"/>
    </row>
    <row r="193" spans="28:30" ht="18.75" x14ac:dyDescent="0.3">
      <c r="AB193" s="1135"/>
      <c r="AC193" s="1135"/>
      <c r="AD193" s="1135"/>
    </row>
    <row r="194" spans="28:30" ht="18.75" x14ac:dyDescent="0.3">
      <c r="AB194" s="1135"/>
      <c r="AC194" s="1135"/>
      <c r="AD194" s="1135"/>
    </row>
    <row r="195" spans="28:30" ht="18.75" x14ac:dyDescent="0.3">
      <c r="AB195" s="1135"/>
      <c r="AC195" s="1135"/>
      <c r="AD195" s="1135"/>
    </row>
    <row r="196" spans="28:30" ht="18.75" x14ac:dyDescent="0.3">
      <c r="AB196" s="1135"/>
      <c r="AC196" s="1135"/>
      <c r="AD196" s="1135"/>
    </row>
    <row r="197" spans="28:30" ht="18.75" x14ac:dyDescent="0.3">
      <c r="AB197" s="1135"/>
      <c r="AC197" s="1135"/>
      <c r="AD197" s="1135"/>
    </row>
    <row r="198" spans="28:30" ht="18.75" x14ac:dyDescent="0.3">
      <c r="AB198" s="1135"/>
      <c r="AC198" s="1135"/>
      <c r="AD198" s="1135"/>
    </row>
    <row r="199" spans="28:30" ht="18.75" x14ac:dyDescent="0.3">
      <c r="AB199" s="1135"/>
      <c r="AC199" s="1135"/>
      <c r="AD199" s="1135"/>
    </row>
    <row r="200" spans="28:30" ht="18.75" x14ac:dyDescent="0.3">
      <c r="AB200" s="1135"/>
      <c r="AC200" s="1135"/>
      <c r="AD200" s="1135"/>
    </row>
    <row r="201" spans="28:30" ht="18.75" x14ac:dyDescent="0.3">
      <c r="AB201" s="1135"/>
      <c r="AC201" s="1135"/>
      <c r="AD201" s="1135"/>
    </row>
    <row r="202" spans="28:30" x14ac:dyDescent="0.25">
      <c r="AB202" s="903"/>
      <c r="AC202" s="903"/>
      <c r="AD202" s="903"/>
    </row>
    <row r="203" spans="28:30" x14ac:dyDescent="0.25">
      <c r="AB203" s="903"/>
      <c r="AC203" s="903"/>
      <c r="AD203" s="903"/>
    </row>
    <row r="204" spans="28:30" x14ac:dyDescent="0.25">
      <c r="AB204" s="903"/>
      <c r="AC204" s="903"/>
      <c r="AD204" s="903"/>
    </row>
    <row r="205" spans="28:30" x14ac:dyDescent="0.25">
      <c r="AB205" s="1124"/>
      <c r="AC205" s="1124"/>
      <c r="AD205" s="1124"/>
    </row>
    <row r="206" spans="28:30" x14ac:dyDescent="0.25">
      <c r="AB206" s="1124"/>
      <c r="AC206" s="1124"/>
      <c r="AD206" s="1124"/>
    </row>
    <row r="207" spans="28:30" x14ac:dyDescent="0.25">
      <c r="AB207" s="1124"/>
      <c r="AC207" s="1124"/>
      <c r="AD207" s="1124"/>
    </row>
    <row r="208" spans="28:30" x14ac:dyDescent="0.25">
      <c r="AB208" s="1124"/>
      <c r="AC208" s="1124"/>
      <c r="AD208" s="1124"/>
    </row>
    <row r="209" spans="28:30" x14ac:dyDescent="0.25">
      <c r="AB209" s="1124"/>
      <c r="AC209" s="1124"/>
      <c r="AD209" s="1124"/>
    </row>
  </sheetData>
  <mergeCells count="50">
    <mergeCell ref="I52:K52"/>
    <mergeCell ref="L52:N52"/>
    <mergeCell ref="I53:K53"/>
    <mergeCell ref="L53:N53"/>
    <mergeCell ref="A50:G50"/>
    <mergeCell ref="A52:A53"/>
    <mergeCell ref="B52:B53"/>
    <mergeCell ref="C52:C53"/>
    <mergeCell ref="D52:D53"/>
    <mergeCell ref="E52:G52"/>
    <mergeCell ref="D2:AH2"/>
    <mergeCell ref="Q9:Q10"/>
    <mergeCell ref="A7:R7"/>
    <mergeCell ref="D23:D25"/>
    <mergeCell ref="E23:E25"/>
    <mergeCell ref="C23:C25"/>
    <mergeCell ref="H9:J9"/>
    <mergeCell ref="K9:M9"/>
    <mergeCell ref="N9:P9"/>
    <mergeCell ref="D9:D10"/>
    <mergeCell ref="F23:F25"/>
    <mergeCell ref="G24:I24"/>
    <mergeCell ref="J24:L24"/>
    <mergeCell ref="M24:O24"/>
    <mergeCell ref="P24:R24"/>
    <mergeCell ref="C9:C10"/>
    <mergeCell ref="B9:B10"/>
    <mergeCell ref="A9:A10"/>
    <mergeCell ref="A12:A17"/>
    <mergeCell ref="B12:B17"/>
    <mergeCell ref="C12:C17"/>
    <mergeCell ref="D4:AH4"/>
    <mergeCell ref="D5:AH5"/>
    <mergeCell ref="AF23:AF25"/>
    <mergeCell ref="AG23:AG25"/>
    <mergeCell ref="AE23:AE25"/>
    <mergeCell ref="E9:G9"/>
    <mergeCell ref="V24:X24"/>
    <mergeCell ref="Y24:AA24"/>
    <mergeCell ref="AB10:AD10"/>
    <mergeCell ref="AB24:AD24"/>
    <mergeCell ref="G23:AD23"/>
    <mergeCell ref="A47:E47"/>
    <mergeCell ref="A27:A46"/>
    <mergeCell ref="B27:B46"/>
    <mergeCell ref="C27:C46"/>
    <mergeCell ref="A21:AG21"/>
    <mergeCell ref="S24:U24"/>
    <mergeCell ref="B23:B25"/>
    <mergeCell ref="A23:A25"/>
  </mergeCells>
  <printOptions horizontalCentered="1"/>
  <pageMargins left="0.15748031496062992" right="0.15748031496062992" top="1.1811023622047245" bottom="0.74803149606299213" header="0.31496062992125984" footer="0.31496062992125984"/>
  <pageSetup paperSize="9" scale="3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24"/>
  <sheetViews>
    <sheetView view="pageBreakPreview" zoomScale="90" zoomScaleSheetLayoutView="90" workbookViewId="0">
      <selection activeCell="D18" sqref="D18"/>
    </sheetView>
  </sheetViews>
  <sheetFormatPr defaultColWidth="9.33203125" defaultRowHeight="15" x14ac:dyDescent="0.25"/>
  <cols>
    <col min="1" max="1" width="9.33203125" style="539"/>
    <col min="2" max="2" width="10.6640625" style="539" customWidth="1"/>
    <col min="3" max="3" width="9.33203125" style="539"/>
    <col min="4" max="4" width="71.83203125" style="539" customWidth="1"/>
    <col min="5" max="5" width="14.83203125" style="539" customWidth="1"/>
    <col min="6" max="9" width="19.33203125" style="547" customWidth="1"/>
    <col min="10" max="10" width="18.1640625" style="547" customWidth="1"/>
    <col min="11" max="11" width="16.83203125" style="547" customWidth="1"/>
    <col min="12" max="12" width="18.83203125" style="547" customWidth="1"/>
    <col min="13" max="13" width="15.6640625" style="539" customWidth="1"/>
    <col min="14" max="16384" width="9.33203125" style="539"/>
  </cols>
  <sheetData>
    <row r="1" spans="1:13" ht="20.25" x14ac:dyDescent="0.3">
      <c r="A1" s="1555" t="s">
        <v>824</v>
      </c>
      <c r="B1" s="1555"/>
      <c r="C1" s="1555"/>
      <c r="D1" s="1555"/>
      <c r="E1" s="1555"/>
      <c r="F1" s="1555"/>
      <c r="G1" s="1555"/>
      <c r="H1" s="1555"/>
      <c r="I1" s="1555"/>
      <c r="J1" s="1555"/>
      <c r="K1" s="1555"/>
      <c r="L1" s="1555"/>
      <c r="M1" s="1555"/>
    </row>
    <row r="3" spans="1:13" ht="26.25" customHeight="1" x14ac:dyDescent="0.25">
      <c r="A3" s="1554" t="s">
        <v>725</v>
      </c>
      <c r="B3" s="1554"/>
      <c r="C3" s="1554"/>
      <c r="D3" s="1554"/>
      <c r="E3" s="1554"/>
      <c r="F3" s="1554"/>
      <c r="G3" s="1554"/>
      <c r="H3" s="1554"/>
      <c r="I3" s="1554"/>
    </row>
    <row r="4" spans="1:13" ht="11.25" customHeight="1" x14ac:dyDescent="0.25">
      <c r="D4" s="540"/>
      <c r="E4" s="540"/>
      <c r="F4" s="761"/>
      <c r="G4" s="761"/>
      <c r="H4" s="761"/>
      <c r="I4" s="761"/>
    </row>
    <row r="5" spans="1:13" ht="29.25" customHeight="1" x14ac:dyDescent="0.25">
      <c r="A5" s="1516" t="s">
        <v>718</v>
      </c>
      <c r="B5" s="1516" t="s">
        <v>471</v>
      </c>
      <c r="C5" s="1516" t="s">
        <v>347</v>
      </c>
      <c r="D5" s="1569" t="s">
        <v>177</v>
      </c>
      <c r="E5" s="1564" t="s">
        <v>473</v>
      </c>
      <c r="F5" s="1505" t="s">
        <v>272</v>
      </c>
      <c r="G5" s="1505"/>
      <c r="H5" s="1505"/>
      <c r="I5" s="1505"/>
      <c r="J5" s="762"/>
    </row>
    <row r="6" spans="1:13" ht="47.25" customHeight="1" x14ac:dyDescent="0.25">
      <c r="A6" s="1518"/>
      <c r="B6" s="1518"/>
      <c r="C6" s="1518"/>
      <c r="D6" s="1569"/>
      <c r="E6" s="1565"/>
      <c r="F6" s="750" t="s">
        <v>461</v>
      </c>
      <c r="G6" s="750" t="s">
        <v>876</v>
      </c>
      <c r="H6" s="750" t="s">
        <v>723</v>
      </c>
      <c r="I6" s="750" t="s">
        <v>871</v>
      </c>
      <c r="J6" s="550"/>
    </row>
    <row r="7" spans="1:13" x14ac:dyDescent="0.25">
      <c r="A7" s="521">
        <v>1</v>
      </c>
      <c r="B7" s="521">
        <v>2</v>
      </c>
      <c r="C7" s="521">
        <v>3</v>
      </c>
      <c r="D7" s="521">
        <v>4</v>
      </c>
      <c r="E7" s="521">
        <v>5</v>
      </c>
      <c r="F7" s="748">
        <v>6</v>
      </c>
      <c r="G7" s="748">
        <v>7</v>
      </c>
      <c r="H7" s="748">
        <v>8</v>
      </c>
      <c r="I7" s="748">
        <v>9</v>
      </c>
      <c r="K7" s="549"/>
      <c r="L7" s="549"/>
    </row>
    <row r="8" spans="1:13" ht="51" customHeight="1" x14ac:dyDescent="0.25">
      <c r="A8" s="707">
        <v>1210</v>
      </c>
      <c r="B8" s="707">
        <v>130</v>
      </c>
      <c r="C8" s="707">
        <v>131</v>
      </c>
      <c r="D8" s="524" t="s">
        <v>728</v>
      </c>
      <c r="E8" s="523" t="s">
        <v>727</v>
      </c>
      <c r="F8" s="708">
        <v>93604800</v>
      </c>
      <c r="G8" s="708"/>
      <c r="H8" s="551">
        <v>93797900</v>
      </c>
      <c r="I8" s="551">
        <v>93215000</v>
      </c>
      <c r="K8" s="541"/>
      <c r="L8" s="541"/>
    </row>
    <row r="9" spans="1:13" x14ac:dyDescent="0.25">
      <c r="A9" s="1557" t="s">
        <v>8</v>
      </c>
      <c r="B9" s="1558"/>
      <c r="C9" s="1558"/>
      <c r="D9" s="1559"/>
      <c r="E9" s="533"/>
      <c r="F9" s="1221">
        <f>SUM(F8:F8)</f>
        <v>93604800</v>
      </c>
      <c r="G9" s="1221">
        <f>SUM(G8:G8)</f>
        <v>0</v>
      </c>
      <c r="H9" s="1221">
        <f>SUM(H8:H8)</f>
        <v>93797900</v>
      </c>
      <c r="I9" s="1221">
        <f>SUM(I8:I8)</f>
        <v>93215000</v>
      </c>
      <c r="K9" s="550"/>
      <c r="L9" s="550"/>
    </row>
    <row r="11" spans="1:13" x14ac:dyDescent="0.25">
      <c r="A11" s="1556" t="s">
        <v>726</v>
      </c>
      <c r="B11" s="1556"/>
      <c r="C11" s="1556"/>
      <c r="D11" s="1556"/>
      <c r="E11" s="1556"/>
      <c r="F11" s="1556"/>
      <c r="G11" s="1556"/>
      <c r="H11" s="1556"/>
      <c r="I11" s="1556"/>
      <c r="J11" s="1556"/>
      <c r="K11" s="1556"/>
      <c r="L11" s="1556"/>
      <c r="M11" s="1556"/>
    </row>
    <row r="12" spans="1:13" x14ac:dyDescent="0.25">
      <c r="D12" s="548"/>
      <c r="E12" s="548"/>
      <c r="F12" s="763"/>
      <c r="G12" s="763"/>
      <c r="H12" s="763"/>
      <c r="I12" s="763"/>
      <c r="J12" s="763"/>
      <c r="K12" s="763"/>
      <c r="L12" s="763"/>
    </row>
    <row r="13" spans="1:13" x14ac:dyDescent="0.25">
      <c r="A13" s="1532" t="s">
        <v>718</v>
      </c>
      <c r="B13" s="1532" t="s">
        <v>471</v>
      </c>
      <c r="C13" s="1532" t="s">
        <v>347</v>
      </c>
      <c r="D13" s="1506" t="s">
        <v>183</v>
      </c>
      <c r="E13" s="1566" t="s">
        <v>473</v>
      </c>
      <c r="F13" s="1505" t="s">
        <v>185</v>
      </c>
      <c r="G13" s="1505"/>
      <c r="H13" s="1505"/>
      <c r="I13" s="1505"/>
      <c r="J13" s="1505"/>
      <c r="K13" s="1505"/>
      <c r="L13" s="1505"/>
      <c r="M13" s="1505"/>
    </row>
    <row r="14" spans="1:13" ht="45" customHeight="1" x14ac:dyDescent="0.25">
      <c r="A14" s="1532"/>
      <c r="B14" s="1532"/>
      <c r="C14" s="1532"/>
      <c r="D14" s="1506"/>
      <c r="E14" s="1567"/>
      <c r="F14" s="1563" t="s">
        <v>461</v>
      </c>
      <c r="G14" s="1563"/>
      <c r="H14" s="1505" t="s">
        <v>876</v>
      </c>
      <c r="I14" s="1505"/>
      <c r="J14" s="1563" t="s">
        <v>723</v>
      </c>
      <c r="K14" s="1563"/>
      <c r="L14" s="1563" t="s">
        <v>871</v>
      </c>
      <c r="M14" s="1563"/>
    </row>
    <row r="15" spans="1:13" ht="72.75" customHeight="1" x14ac:dyDescent="0.25">
      <c r="A15" s="1532"/>
      <c r="B15" s="1532"/>
      <c r="C15" s="1532"/>
      <c r="D15" s="1506"/>
      <c r="E15" s="1568"/>
      <c r="F15" s="750" t="s">
        <v>814</v>
      </c>
      <c r="G15" s="750" t="s">
        <v>796</v>
      </c>
      <c r="H15" s="750" t="s">
        <v>814</v>
      </c>
      <c r="I15" s="750" t="s">
        <v>796</v>
      </c>
      <c r="J15" s="750" t="s">
        <v>814</v>
      </c>
      <c r="K15" s="750" t="s">
        <v>796</v>
      </c>
      <c r="L15" s="750" t="s">
        <v>814</v>
      </c>
      <c r="M15" s="750" t="s">
        <v>796</v>
      </c>
    </row>
    <row r="16" spans="1:13" s="831" customFormat="1" x14ac:dyDescent="0.2">
      <c r="A16" s="826">
        <v>1</v>
      </c>
      <c r="B16" s="826">
        <v>2</v>
      </c>
      <c r="C16" s="826">
        <v>3</v>
      </c>
      <c r="D16" s="826">
        <v>4</v>
      </c>
      <c r="E16" s="826">
        <v>5</v>
      </c>
      <c r="F16" s="826">
        <v>6</v>
      </c>
      <c r="G16" s="826">
        <v>7</v>
      </c>
      <c r="H16" s="826">
        <v>8</v>
      </c>
      <c r="I16" s="826">
        <v>9</v>
      </c>
      <c r="J16" s="826">
        <v>10</v>
      </c>
      <c r="K16" s="826">
        <v>11</v>
      </c>
      <c r="L16" s="826">
        <v>12</v>
      </c>
      <c r="M16" s="826">
        <v>13</v>
      </c>
    </row>
    <row r="17" spans="1:13" s="831" customFormat="1" ht="25.5" customHeight="1" x14ac:dyDescent="0.2">
      <c r="A17" s="826">
        <v>1410</v>
      </c>
      <c r="B17" s="826">
        <v>150</v>
      </c>
      <c r="C17" s="707" t="s">
        <v>731</v>
      </c>
      <c r="D17" s="347" t="s">
        <v>889</v>
      </c>
      <c r="E17" s="822" t="s">
        <v>729</v>
      </c>
      <c r="F17" s="551">
        <v>2450100</v>
      </c>
      <c r="G17" s="551"/>
      <c r="H17" s="551"/>
      <c r="I17" s="551">
        <v>0</v>
      </c>
      <c r="J17" s="551">
        <v>2450100</v>
      </c>
      <c r="K17" s="551"/>
      <c r="L17" s="551">
        <v>2450100</v>
      </c>
      <c r="M17" s="551"/>
    </row>
    <row r="18" spans="1:13" s="902" customFormat="1" ht="45" customHeight="1" x14ac:dyDescent="0.2">
      <c r="A18" s="900">
        <v>1410</v>
      </c>
      <c r="B18" s="900">
        <v>150</v>
      </c>
      <c r="C18" s="707" t="s">
        <v>731</v>
      </c>
      <c r="D18" s="347" t="s">
        <v>730</v>
      </c>
      <c r="E18" s="899" t="s">
        <v>553</v>
      </c>
      <c r="F18" s="551">
        <v>1351300</v>
      </c>
      <c r="G18" s="551"/>
      <c r="H18" s="551"/>
      <c r="I18" s="551">
        <v>0</v>
      </c>
      <c r="J18" s="551">
        <v>1251300</v>
      </c>
      <c r="K18" s="551"/>
      <c r="L18" s="551">
        <v>1251300</v>
      </c>
      <c r="M18" s="551"/>
    </row>
    <row r="19" spans="1:13" s="831" customFormat="1" x14ac:dyDescent="0.2">
      <c r="A19" s="1560" t="s">
        <v>72</v>
      </c>
      <c r="B19" s="1561"/>
      <c r="C19" s="1561"/>
      <c r="D19" s="1562"/>
      <c r="E19" s="756"/>
      <c r="F19" s="764">
        <f>SUM(F17:F18)</f>
        <v>3801400</v>
      </c>
      <c r="G19" s="764">
        <f t="shared" ref="G19:M19" si="0">SUM(G17:G18)</f>
        <v>0</v>
      </c>
      <c r="H19" s="764">
        <f t="shared" si="0"/>
        <v>0</v>
      </c>
      <c r="I19" s="764">
        <f t="shared" si="0"/>
        <v>0</v>
      </c>
      <c r="J19" s="764">
        <f t="shared" si="0"/>
        <v>3701400</v>
      </c>
      <c r="K19" s="764">
        <f t="shared" si="0"/>
        <v>0</v>
      </c>
      <c r="L19" s="764">
        <f t="shared" si="0"/>
        <v>3701400</v>
      </c>
      <c r="M19" s="764">
        <f t="shared" si="0"/>
        <v>0</v>
      </c>
    </row>
    <row r="20" spans="1:13" s="831" customFormat="1" x14ac:dyDescent="0.2">
      <c r="A20" s="316">
        <v>4010</v>
      </c>
      <c r="B20" s="316">
        <v>610</v>
      </c>
      <c r="C20" s="829" t="s">
        <v>356</v>
      </c>
      <c r="D20" s="830" t="s">
        <v>797</v>
      </c>
      <c r="E20" s="756"/>
      <c r="F20" s="764"/>
      <c r="G20" s="764"/>
      <c r="H20" s="764"/>
      <c r="I20" s="764"/>
      <c r="J20" s="764"/>
      <c r="K20" s="764"/>
      <c r="L20" s="764"/>
      <c r="M20" s="832"/>
    </row>
    <row r="21" spans="1:13" s="831" customFormat="1" x14ac:dyDescent="0.2">
      <c r="A21" s="1557" t="s">
        <v>8</v>
      </c>
      <c r="B21" s="1558"/>
      <c r="C21" s="1558"/>
      <c r="D21" s="1559"/>
      <c r="E21" s="1222"/>
      <c r="F21" s="1221">
        <f>F19-F20</f>
        <v>3801400</v>
      </c>
      <c r="G21" s="1221">
        <f t="shared" ref="G21:L21" si="1">G19-G20</f>
        <v>0</v>
      </c>
      <c r="H21" s="1221">
        <f>H19-H20</f>
        <v>0</v>
      </c>
      <c r="I21" s="1221">
        <f t="shared" si="1"/>
        <v>0</v>
      </c>
      <c r="J21" s="1221">
        <f t="shared" si="1"/>
        <v>3701400</v>
      </c>
      <c r="K21" s="1221">
        <f t="shared" si="1"/>
        <v>0</v>
      </c>
      <c r="L21" s="1221">
        <f t="shared" si="1"/>
        <v>3701400</v>
      </c>
      <c r="M21" s="1221">
        <f>M19-M20</f>
        <v>0</v>
      </c>
    </row>
    <row r="24" spans="1:13" x14ac:dyDescent="0.25">
      <c r="A24" s="539" t="s">
        <v>770</v>
      </c>
      <c r="F24" s="709">
        <f>97406200-F9-F21-G21-H21-I21</f>
        <v>0</v>
      </c>
      <c r="G24" s="709"/>
      <c r="H24" s="709">
        <f>97499300-H9-J21-K21</f>
        <v>0</v>
      </c>
      <c r="I24" s="709"/>
      <c r="J24" s="709"/>
      <c r="K24" s="709">
        <f>96916400-I9-L21-M21</f>
        <v>0</v>
      </c>
      <c r="L24" s="709"/>
    </row>
  </sheetData>
  <mergeCells count="22">
    <mergeCell ref="L14:M14"/>
    <mergeCell ref="D5:D6"/>
    <mergeCell ref="A5:A6"/>
    <mergeCell ref="B5:B6"/>
    <mergeCell ref="C5:C6"/>
    <mergeCell ref="F5:I5"/>
    <mergeCell ref="A3:I3"/>
    <mergeCell ref="A1:M1"/>
    <mergeCell ref="A11:M11"/>
    <mergeCell ref="F13:M13"/>
    <mergeCell ref="A21:D21"/>
    <mergeCell ref="A19:D19"/>
    <mergeCell ref="F14:G14"/>
    <mergeCell ref="H14:I14"/>
    <mergeCell ref="J14:K14"/>
    <mergeCell ref="E5:E6"/>
    <mergeCell ref="A9:D9"/>
    <mergeCell ref="A13:A15"/>
    <mergeCell ref="B13:B15"/>
    <mergeCell ref="C13:C15"/>
    <mergeCell ref="D13:D15"/>
    <mergeCell ref="E13:E15"/>
  </mergeCells>
  <pageMargins left="0.70866141732283472" right="0.70866141732283472" top="0.74803149606299213" bottom="0.74803149606299213" header="0.31496062992125984" footer="0.31496062992125984"/>
  <pageSetup paperSize="9" scale="5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N6"/>
  <sheetViews>
    <sheetView view="pageBreakPreview" zoomScale="80" zoomScaleNormal="80" zoomScaleSheetLayoutView="80" workbookViewId="0">
      <pane xSplit="4" ySplit="4" topLeftCell="E5" activePane="bottomRight" state="frozen"/>
      <selection activeCell="A11" sqref="A11:AB11"/>
      <selection pane="topRight" activeCell="A11" sqref="A11:AB11"/>
      <selection pane="bottomLeft" activeCell="A11" sqref="A11:AB11"/>
      <selection pane="bottomRight" activeCell="H3" sqref="H3"/>
    </sheetView>
  </sheetViews>
  <sheetFormatPr defaultColWidth="9.33203125" defaultRowHeight="15" x14ac:dyDescent="0.25"/>
  <cols>
    <col min="1" max="1" width="6.1640625" style="296" customWidth="1"/>
    <col min="2" max="2" width="24.33203125" style="296" customWidth="1"/>
    <col min="3" max="3" width="32.6640625" style="296" customWidth="1"/>
    <col min="4" max="4" width="28.6640625" style="296" customWidth="1"/>
    <col min="5" max="5" width="11.33203125" style="296" customWidth="1"/>
    <col min="6" max="14" width="24.6640625" style="296" customWidth="1"/>
    <col min="15" max="16384" width="9.33203125" style="296"/>
  </cols>
  <sheetData>
    <row r="1" spans="1:14" ht="34.5" customHeight="1" x14ac:dyDescent="0.3">
      <c r="A1" s="1570" t="s">
        <v>412</v>
      </c>
      <c r="B1" s="1570"/>
      <c r="C1" s="1570"/>
      <c r="D1" s="1570"/>
      <c r="E1" s="1570"/>
      <c r="F1" s="1570"/>
      <c r="G1" s="1570"/>
      <c r="H1" s="1570"/>
      <c r="I1" s="1570"/>
      <c r="J1" s="1570"/>
      <c r="K1" s="1570"/>
      <c r="L1" s="1570"/>
      <c r="M1" s="1570"/>
      <c r="N1" s="1570"/>
    </row>
    <row r="2" spans="1:14" x14ac:dyDescent="0.25">
      <c r="A2" s="302"/>
      <c r="B2" s="302"/>
      <c r="C2" s="302"/>
      <c r="D2" s="302"/>
      <c r="E2" s="302"/>
      <c r="F2" s="302"/>
      <c r="G2" s="302"/>
      <c r="H2" s="302"/>
      <c r="I2" s="302"/>
      <c r="J2" s="302"/>
      <c r="K2" s="302"/>
      <c r="L2" s="302"/>
      <c r="M2" s="302"/>
      <c r="N2" s="317"/>
    </row>
    <row r="3" spans="1:14" s="297" customFormat="1" ht="34.5" customHeight="1" x14ac:dyDescent="0.25">
      <c r="A3" s="1571" t="s">
        <v>78</v>
      </c>
      <c r="B3" s="1571" t="s">
        <v>176</v>
      </c>
      <c r="C3" s="1571" t="s">
        <v>179</v>
      </c>
      <c r="D3" s="1571"/>
      <c r="E3" s="1572" t="s">
        <v>180</v>
      </c>
      <c r="F3" s="315" t="s">
        <v>373</v>
      </c>
      <c r="G3" s="306" t="s">
        <v>374</v>
      </c>
      <c r="H3" s="306" t="s">
        <v>375</v>
      </c>
      <c r="I3" s="315" t="s">
        <v>373</v>
      </c>
      <c r="J3" s="306" t="s">
        <v>374</v>
      </c>
      <c r="K3" s="306" t="s">
        <v>375</v>
      </c>
      <c r="L3" s="315" t="s">
        <v>373</v>
      </c>
      <c r="M3" s="306" t="s">
        <v>374</v>
      </c>
      <c r="N3" s="306" t="s">
        <v>375</v>
      </c>
    </row>
    <row r="4" spans="1:14" s="297" customFormat="1" x14ac:dyDescent="0.25">
      <c r="A4" s="1571"/>
      <c r="B4" s="1571"/>
      <c r="C4" s="1571"/>
      <c r="D4" s="1571"/>
      <c r="E4" s="1573"/>
      <c r="F4" s="1574" t="s">
        <v>376</v>
      </c>
      <c r="G4" s="1575"/>
      <c r="H4" s="1576"/>
      <c r="I4" s="1574" t="s">
        <v>387</v>
      </c>
      <c r="J4" s="1575"/>
      <c r="K4" s="1576"/>
      <c r="L4" s="1574" t="s">
        <v>413</v>
      </c>
      <c r="M4" s="1575"/>
      <c r="N4" s="1576"/>
    </row>
    <row r="5" spans="1:14" x14ac:dyDescent="0.25">
      <c r="A5" s="312">
        <v>1</v>
      </c>
      <c r="B5" s="312">
        <v>2</v>
      </c>
      <c r="C5" s="312">
        <v>3</v>
      </c>
      <c r="D5" s="314">
        <v>4</v>
      </c>
      <c r="E5" s="312">
        <v>5</v>
      </c>
      <c r="F5" s="314">
        <v>6</v>
      </c>
      <c r="G5" s="312">
        <v>7</v>
      </c>
      <c r="H5" s="314">
        <v>8</v>
      </c>
      <c r="I5" s="312">
        <v>9</v>
      </c>
      <c r="J5" s="314">
        <v>10</v>
      </c>
      <c r="K5" s="312">
        <v>11</v>
      </c>
      <c r="L5" s="314">
        <v>12</v>
      </c>
      <c r="M5" s="312">
        <v>13</v>
      </c>
      <c r="N5" s="314">
        <v>14</v>
      </c>
    </row>
    <row r="6" spans="1:14" s="311" customFormat="1" ht="47.25" customHeight="1" x14ac:dyDescent="0.2">
      <c r="A6" s="312">
        <v>1</v>
      </c>
      <c r="B6" s="316"/>
      <c r="C6" s="312" t="s">
        <v>377</v>
      </c>
      <c r="D6" s="312"/>
      <c r="E6" s="312" t="s">
        <v>372</v>
      </c>
      <c r="F6" s="304"/>
      <c r="G6" s="304"/>
      <c r="H6" s="304"/>
      <c r="I6" s="304"/>
      <c r="J6" s="304"/>
      <c r="K6" s="304"/>
      <c r="L6" s="304"/>
      <c r="M6" s="304"/>
      <c r="N6" s="304"/>
    </row>
  </sheetData>
  <mergeCells count="8">
    <mergeCell ref="A1:N1"/>
    <mergeCell ref="A3:A4"/>
    <mergeCell ref="B3:B4"/>
    <mergeCell ref="C3:D4"/>
    <mergeCell ref="E3:E4"/>
    <mergeCell ref="F4:H4"/>
    <mergeCell ref="I4:K4"/>
    <mergeCell ref="L4:N4"/>
  </mergeCells>
  <pageMargins left="0.31496062992125984" right="0.11811023622047245" top="0.74803149606299213" bottom="0.74803149606299213" header="0.31496062992125984" footer="0.31496062992125984"/>
  <pageSetup paperSize="9" scale="4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34</vt:i4>
      </vt:variant>
      <vt:variant>
        <vt:lpstr>Именованные диапазоны</vt:lpstr>
      </vt:variant>
      <vt:variant>
        <vt:i4>39</vt:i4>
      </vt:variant>
    </vt:vector>
  </HeadingPairs>
  <TitlesOfParts>
    <vt:vector size="73" baseType="lpstr">
      <vt:lpstr>СВОД (2)</vt:lpstr>
      <vt:lpstr>СВОД</vt:lpstr>
      <vt:lpstr>музей 2020</vt:lpstr>
      <vt:lpstr>Родина 2020</vt:lpstr>
      <vt:lpstr>ФХД_ Поступления и выплаты</vt:lpstr>
      <vt:lpstr>Поступления всего</vt:lpstr>
      <vt:lpstr>поступления 810 25-27</vt:lpstr>
      <vt:lpstr>поступления 831, 841 25-27</vt:lpstr>
      <vt:lpstr>концерты строка 1220 (131)+</vt:lpstr>
      <vt:lpstr>возмещ ком услстрока 1230(135)+</vt:lpstr>
      <vt:lpstr>постуления 820 25-27</vt:lpstr>
      <vt:lpstr>прочие поступ строка 1980 (510)</vt:lpstr>
      <vt:lpstr>КВР</vt:lpstr>
      <vt:lpstr>расходы 831, 841 25</vt:lpstr>
      <vt:lpstr>расходы 810 25</vt:lpstr>
      <vt:lpstr>расходы 820 25</vt:lpstr>
      <vt:lpstr>расходы 831, 841 26-27</vt:lpstr>
      <vt:lpstr>расходы 810 26-27</vt:lpstr>
      <vt:lpstr>расходы 820 26-27</vt:lpstr>
      <vt:lpstr>ГЦК+Энергия 2020</vt:lpstr>
      <vt:lpstr>Юбилейный 2020</vt:lpstr>
      <vt:lpstr>Высоцкий 2020</vt:lpstr>
      <vt:lpstr>музей 2021</vt:lpstr>
      <vt:lpstr>Родина 2021</vt:lpstr>
      <vt:lpstr>ЦБС 2021</vt:lpstr>
      <vt:lpstr>ГЦК+Энергия 2021</vt:lpstr>
      <vt:lpstr>Юбилейный 2021</vt:lpstr>
      <vt:lpstr>Высоцкий 2021</vt:lpstr>
      <vt:lpstr>музей 2022</vt:lpstr>
      <vt:lpstr>Родина 2022</vt:lpstr>
      <vt:lpstr>ЦБС 2022</vt:lpstr>
      <vt:lpstr>ГЦК+Энергия 2022</vt:lpstr>
      <vt:lpstr>Юбилейный 2022</vt:lpstr>
      <vt:lpstr>Высоцкий 2022</vt:lpstr>
      <vt:lpstr>'ФХД_ Поступления и выплаты'!IS_DOCUMENT</vt:lpstr>
      <vt:lpstr>'ГЦК+Энергия 2020'!Заголовки_для_печати</vt:lpstr>
      <vt:lpstr>'ГЦК+Энергия 2021'!Заголовки_для_печати</vt:lpstr>
      <vt:lpstr>'ГЦК+Энергия 2022'!Заголовки_для_печати</vt:lpstr>
      <vt:lpstr>'поступления 810 25-27'!Заголовки_для_печати</vt:lpstr>
      <vt:lpstr>'возмещ ком услстрока 1230(135)+'!Область_печати</vt:lpstr>
      <vt:lpstr>'Высоцкий 2020'!Область_печати</vt:lpstr>
      <vt:lpstr>'Высоцкий 2021'!Область_печати</vt:lpstr>
      <vt:lpstr>'Высоцкий 2022'!Область_печати</vt:lpstr>
      <vt:lpstr>'ГЦК+Энергия 2020'!Область_печати</vt:lpstr>
      <vt:lpstr>'ГЦК+Энергия 2021'!Область_печати</vt:lpstr>
      <vt:lpstr>'ГЦК+Энергия 2022'!Область_печати</vt:lpstr>
      <vt:lpstr>КВР!Область_печати</vt:lpstr>
      <vt:lpstr>'концерты строка 1220 (131)+'!Область_печати</vt:lpstr>
      <vt:lpstr>'музей 2020'!Область_печати</vt:lpstr>
      <vt:lpstr>'музей 2021'!Область_печати</vt:lpstr>
      <vt:lpstr>'музей 2022'!Область_печати</vt:lpstr>
      <vt:lpstr>'постуления 820 25-27'!Область_печати</vt:lpstr>
      <vt:lpstr>'поступления 810 25-27'!Область_печати</vt:lpstr>
      <vt:lpstr>'поступления 831, 841 25-27'!Область_печати</vt:lpstr>
      <vt:lpstr>'Поступления всего'!Область_печати</vt:lpstr>
      <vt:lpstr>'прочие поступ строка 1980 (510)'!Область_печати</vt:lpstr>
      <vt:lpstr>'расходы 810 25'!Область_печати</vt:lpstr>
      <vt:lpstr>'расходы 810 26-27'!Область_печати</vt:lpstr>
      <vt:lpstr>'расходы 820 25'!Область_печати</vt:lpstr>
      <vt:lpstr>'расходы 820 26-27'!Область_печати</vt:lpstr>
      <vt:lpstr>'расходы 831, 841 25'!Область_печати</vt:lpstr>
      <vt:lpstr>'расходы 831, 841 26-27'!Область_печати</vt:lpstr>
      <vt:lpstr>'Родина 2020'!Область_печати</vt:lpstr>
      <vt:lpstr>'Родина 2021'!Область_печати</vt:lpstr>
      <vt:lpstr>'Родина 2022'!Область_печати</vt:lpstr>
      <vt:lpstr>СВОД!Область_печати</vt:lpstr>
      <vt:lpstr>'СВОД (2)'!Область_печати</vt:lpstr>
      <vt:lpstr>'ФХД_ Поступления и выплаты'!Область_печати</vt:lpstr>
      <vt:lpstr>'ЦБС 2021'!Область_печати</vt:lpstr>
      <vt:lpstr>'ЦБС 2022'!Область_печати</vt:lpstr>
      <vt:lpstr>'Юбилейный 2020'!Область_печати</vt:lpstr>
      <vt:lpstr>'Юбилейный 2021'!Область_печати</vt:lpstr>
      <vt:lpstr>'Юбилейный 2022'!Область_печати</vt:lpstr>
    </vt:vector>
  </TitlesOfParts>
  <Company>Work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андрей</dc:creator>
  <cp:lastModifiedBy>NDNH</cp:lastModifiedBy>
  <cp:lastPrinted>2024-12-23T03:58:26Z</cp:lastPrinted>
  <dcterms:created xsi:type="dcterms:W3CDTF">2011-02-11T02:31:04Z</dcterms:created>
  <dcterms:modified xsi:type="dcterms:W3CDTF">2025-03-19T09:02:20Z</dcterms:modified>
</cp:coreProperties>
</file>