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0" windowHeight="11160"/>
  </bookViews>
  <sheets>
    <sheet name="осн меропр" sheetId="4" r:id="rId1"/>
    <sheet name="Лист1" sheetId="1" r:id="rId2"/>
    <sheet name="Лист2" sheetId="2" r:id="rId3"/>
    <sheet name="Лист3" sheetId="3" r:id="rId4"/>
  </sheets>
  <definedNames>
    <definedName name="_xlnm.Print_Titles" localSheetId="0">'осн меропр'!$9:$9</definedName>
    <definedName name="_xlnm.Print_Area" localSheetId="0">'осн меропр'!$A$1:$M$301</definedName>
  </definedNames>
  <calcPr calcId="162913"/>
</workbook>
</file>

<file path=xl/calcChain.xml><?xml version="1.0" encoding="utf-8"?>
<calcChain xmlns="http://schemas.openxmlformats.org/spreadsheetml/2006/main">
  <c r="I294" i="4" l="1"/>
  <c r="H291" i="4"/>
  <c r="I291" i="4"/>
  <c r="J291" i="4"/>
  <c r="K291" i="4"/>
  <c r="L291" i="4"/>
  <c r="G291" i="4"/>
  <c r="I293" i="4"/>
  <c r="I292" i="4"/>
  <c r="E291" i="4"/>
  <c r="D292" i="4"/>
  <c r="D93" i="4"/>
  <c r="D92" i="4"/>
  <c r="D91" i="4"/>
  <c r="D90" i="4"/>
  <c r="J188" i="4" l="1"/>
  <c r="K188" i="4"/>
  <c r="L188" i="4"/>
  <c r="D209" i="4" l="1"/>
  <c r="D208" i="4"/>
  <c r="I190" i="4"/>
  <c r="H189" i="4"/>
  <c r="I189" i="4"/>
  <c r="J189" i="4"/>
  <c r="J187" i="4" s="1"/>
  <c r="K189" i="4"/>
  <c r="L189" i="4"/>
  <c r="D295" i="4" l="1"/>
  <c r="D283" i="4" l="1"/>
  <c r="D282" i="4"/>
  <c r="L276" i="4"/>
  <c r="D271" i="4"/>
  <c r="D269" i="4"/>
  <c r="D265" i="4"/>
  <c r="I249" i="4"/>
  <c r="L251" i="4"/>
  <c r="L250" i="4"/>
  <c r="L249" i="4"/>
  <c r="L248" i="4" s="1"/>
  <c r="D239" i="4"/>
  <c r="D231" i="4"/>
  <c r="D233" i="4"/>
  <c r="D236" i="4"/>
  <c r="L234" i="4"/>
  <c r="D228" i="4"/>
  <c r="D223" i="4"/>
  <c r="I197" i="4"/>
  <c r="L203" i="4"/>
  <c r="L202" i="4"/>
  <c r="L187" i="4"/>
  <c r="D190" i="4"/>
  <c r="D192" i="4"/>
  <c r="D195" i="4"/>
  <c r="D39" i="4"/>
  <c r="D38" i="4"/>
  <c r="L201" i="4" l="1"/>
  <c r="L294" i="4"/>
  <c r="L284" i="4"/>
  <c r="L275" i="4"/>
  <c r="L216" i="4"/>
  <c r="L215" i="4"/>
  <c r="L214" i="4" s="1"/>
  <c r="L178" i="4"/>
  <c r="L138" i="4"/>
  <c r="L90" i="4"/>
  <c r="L47" i="4"/>
  <c r="L37" i="4"/>
  <c r="L293" i="4" l="1"/>
  <c r="L292" i="4"/>
  <c r="L274" i="4"/>
  <c r="J90" i="4"/>
  <c r="I90" i="4"/>
  <c r="D37" i="4"/>
  <c r="D179" i="4"/>
  <c r="D180" i="4"/>
  <c r="D139" i="4"/>
  <c r="D140" i="4"/>
  <c r="D181" i="4" l="1"/>
  <c r="I275" i="4"/>
  <c r="I260" i="4"/>
  <c r="K209" i="4"/>
  <c r="J209" i="4"/>
  <c r="I209" i="4"/>
  <c r="I285" i="4" l="1"/>
  <c r="D200" i="4"/>
  <c r="D199" i="4"/>
  <c r="I223" i="4"/>
  <c r="I188" i="4" l="1"/>
  <c r="I202" i="4" s="1"/>
  <c r="D182" i="4" l="1"/>
  <c r="J178" i="4" l="1"/>
  <c r="K178" i="4"/>
  <c r="I178" i="4"/>
  <c r="D178" i="4" s="1"/>
  <c r="J138" i="4"/>
  <c r="K138" i="4"/>
  <c r="I138" i="4"/>
  <c r="D138" i="4" s="1"/>
  <c r="K90" i="4"/>
  <c r="I37" i="4" l="1"/>
  <c r="J294" i="4" l="1"/>
  <c r="K294" i="4"/>
  <c r="H294" i="4"/>
  <c r="D294" i="4" l="1"/>
  <c r="H275" i="4"/>
  <c r="H276" i="4" l="1"/>
  <c r="K276" i="4"/>
  <c r="J275" i="4"/>
  <c r="K275" i="4"/>
  <c r="F216" i="4"/>
  <c r="G216" i="4"/>
  <c r="H216" i="4"/>
  <c r="I216" i="4"/>
  <c r="J216" i="4"/>
  <c r="K216" i="4"/>
  <c r="E216" i="4"/>
  <c r="F215" i="4"/>
  <c r="G215" i="4"/>
  <c r="H215" i="4"/>
  <c r="I215" i="4"/>
  <c r="J215" i="4"/>
  <c r="K215" i="4"/>
  <c r="E215" i="4"/>
  <c r="D215" i="4" s="1"/>
  <c r="E214" i="4"/>
  <c r="H203" i="4"/>
  <c r="I203" i="4"/>
  <c r="I201" i="4" s="1"/>
  <c r="J203" i="4"/>
  <c r="K203" i="4"/>
  <c r="H202" i="4"/>
  <c r="J202" i="4"/>
  <c r="K202" i="4"/>
  <c r="I196" i="4"/>
  <c r="J196" i="4"/>
  <c r="K196" i="4"/>
  <c r="D216" i="4" l="1"/>
  <c r="F214" i="4"/>
  <c r="K292" i="4"/>
  <c r="E234" i="4"/>
  <c r="D247" i="4" l="1"/>
  <c r="D245" i="4"/>
  <c r="D234" i="4"/>
  <c r="D141" i="4"/>
  <c r="D142" i="4"/>
  <c r="H231" i="4" l="1"/>
  <c r="H239" i="4" l="1"/>
  <c r="H236" i="4"/>
  <c r="H228" i="4"/>
  <c r="H39" i="4" l="1"/>
  <c r="H38" i="4"/>
  <c r="K252" i="4" l="1"/>
  <c r="J252" i="4"/>
  <c r="I252" i="4"/>
  <c r="H252" i="4"/>
  <c r="G252" i="4"/>
  <c r="F252" i="4"/>
  <c r="E252" i="4"/>
  <c r="D252" i="4"/>
  <c r="F251" i="4"/>
  <c r="G251" i="4"/>
  <c r="H251" i="4"/>
  <c r="I251" i="4"/>
  <c r="J251" i="4"/>
  <c r="K251" i="4"/>
  <c r="E251" i="4"/>
  <c r="G250" i="4"/>
  <c r="H250" i="4"/>
  <c r="I250" i="4"/>
  <c r="J250" i="4"/>
  <c r="D250" i="4" s="1"/>
  <c r="K250" i="4"/>
  <c r="J249" i="4"/>
  <c r="K249" i="4"/>
  <c r="I241" i="4"/>
  <c r="J241" i="4"/>
  <c r="K241" i="4"/>
  <c r="G242" i="4"/>
  <c r="H242" i="4"/>
  <c r="I242" i="4"/>
  <c r="J242" i="4"/>
  <c r="K242" i="4"/>
  <c r="J248" i="4" l="1"/>
  <c r="D249" i="4"/>
  <c r="D248" i="4" s="1"/>
  <c r="K248" i="4"/>
  <c r="I248" i="4"/>
  <c r="D251" i="4"/>
  <c r="H234" i="4" l="1"/>
  <c r="I170" i="4"/>
  <c r="G234" i="4"/>
  <c r="I234" i="4"/>
  <c r="J234" i="4"/>
  <c r="K234" i="4"/>
  <c r="E285" i="4"/>
  <c r="G285" i="4"/>
  <c r="H285" i="4"/>
  <c r="E286" i="4"/>
  <c r="F286" i="4"/>
  <c r="G286" i="4"/>
  <c r="H286" i="4"/>
  <c r="K293" i="4"/>
  <c r="I15" i="4"/>
  <c r="J15" i="4"/>
  <c r="K15" i="4"/>
  <c r="H16" i="4"/>
  <c r="I16" i="4"/>
  <c r="J16" i="4"/>
  <c r="K16" i="4"/>
  <c r="E17" i="4"/>
  <c r="F17" i="4"/>
  <c r="F15" i="4" s="1"/>
  <c r="G17" i="4"/>
  <c r="G15" i="4" s="1"/>
  <c r="H17" i="4"/>
  <c r="H15" i="4" s="1"/>
  <c r="E18" i="4"/>
  <c r="F18" i="4"/>
  <c r="G18" i="4"/>
  <c r="G19" i="4"/>
  <c r="D19" i="4" s="1"/>
  <c r="E20" i="4"/>
  <c r="F20" i="4"/>
  <c r="F21" i="4"/>
  <c r="I21" i="4"/>
  <c r="J21" i="4"/>
  <c r="K21" i="4"/>
  <c r="E22" i="4"/>
  <c r="E21" i="4" s="1"/>
  <c r="G22" i="4"/>
  <c r="G21" i="4" s="1"/>
  <c r="H22" i="4"/>
  <c r="H21" i="4" s="1"/>
  <c r="I23" i="4"/>
  <c r="J23" i="4"/>
  <c r="K23" i="4"/>
  <c r="G24" i="4"/>
  <c r="H24" i="4"/>
  <c r="E25" i="4"/>
  <c r="H25" i="4"/>
  <c r="E26" i="4"/>
  <c r="H26" i="4"/>
  <c r="I26" i="4"/>
  <c r="J26" i="4"/>
  <c r="K26" i="4"/>
  <c r="F27" i="4"/>
  <c r="F24" i="4" s="1"/>
  <c r="F28" i="4"/>
  <c r="F25" i="4" s="1"/>
  <c r="G28" i="4"/>
  <c r="G26" i="4" s="1"/>
  <c r="E29" i="4"/>
  <c r="F29" i="4"/>
  <c r="H29" i="4"/>
  <c r="I29" i="4"/>
  <c r="J29" i="4"/>
  <c r="K29" i="4"/>
  <c r="D30" i="4"/>
  <c r="G31" i="4"/>
  <c r="G25" i="4" s="1"/>
  <c r="E32" i="4"/>
  <c r="F32" i="4"/>
  <c r="G32" i="4"/>
  <c r="H32" i="4"/>
  <c r="I32" i="4"/>
  <c r="J32" i="4"/>
  <c r="K32" i="4"/>
  <c r="D33" i="4"/>
  <c r="D34" i="4"/>
  <c r="D35" i="4"/>
  <c r="H36" i="4"/>
  <c r="D36" i="4" s="1"/>
  <c r="D48" i="4"/>
  <c r="K47" i="4"/>
  <c r="J47" i="4"/>
  <c r="I47" i="4"/>
  <c r="H47" i="4"/>
  <c r="G47" i="4"/>
  <c r="F47" i="4"/>
  <c r="E47" i="4"/>
  <c r="F281" i="4"/>
  <c r="D281" i="4" s="1"/>
  <c r="D272" i="4"/>
  <c r="G271" i="4"/>
  <c r="F271" i="4"/>
  <c r="E271" i="4"/>
  <c r="G270" i="4"/>
  <c r="D270" i="4" s="1"/>
  <c r="G269" i="4"/>
  <c r="F269" i="4"/>
  <c r="F267" i="4"/>
  <c r="D267" i="4" s="1"/>
  <c r="D266" i="4"/>
  <c r="C266" i="4"/>
  <c r="G264" i="4"/>
  <c r="F264" i="4"/>
  <c r="D263" i="4"/>
  <c r="D262" i="4"/>
  <c r="D261" i="4"/>
  <c r="J276" i="4"/>
  <c r="G260" i="4"/>
  <c r="G276" i="4" s="1"/>
  <c r="F260" i="4"/>
  <c r="F276" i="4" s="1"/>
  <c r="E260" i="4"/>
  <c r="D260" i="4" s="1"/>
  <c r="E257" i="4"/>
  <c r="G239" i="4"/>
  <c r="F239" i="4"/>
  <c r="E239" i="4"/>
  <c r="G236" i="4"/>
  <c r="F236" i="4"/>
  <c r="E236" i="4"/>
  <c r="F233" i="4"/>
  <c r="E233" i="4"/>
  <c r="F231" i="4"/>
  <c r="G228" i="4"/>
  <c r="F228" i="4"/>
  <c r="E228" i="4"/>
  <c r="E225" i="4"/>
  <c r="D225" i="4" s="1"/>
  <c r="H223" i="4"/>
  <c r="G223" i="4"/>
  <c r="E223" i="4"/>
  <c r="D213" i="4"/>
  <c r="D212" i="4"/>
  <c r="J211" i="4"/>
  <c r="H211" i="4"/>
  <c r="G211" i="4"/>
  <c r="F211" i="4"/>
  <c r="D210" i="4"/>
  <c r="F209" i="4"/>
  <c r="D198" i="4"/>
  <c r="D197" i="4"/>
  <c r="H196" i="4"/>
  <c r="G196" i="4"/>
  <c r="F196" i="4"/>
  <c r="E196" i="4"/>
  <c r="G195" i="4"/>
  <c r="G189" i="4" s="1"/>
  <c r="G203" i="4" s="1"/>
  <c r="F195" i="4"/>
  <c r="F189" i="4" s="1"/>
  <c r="F203" i="4" s="1"/>
  <c r="D194" i="4"/>
  <c r="D193" i="4"/>
  <c r="H192" i="4"/>
  <c r="F192" i="4"/>
  <c r="E192" i="4"/>
  <c r="D191" i="4"/>
  <c r="G190" i="4"/>
  <c r="G188" i="4" s="1"/>
  <c r="G202" i="4" s="1"/>
  <c r="F190" i="4"/>
  <c r="E190" i="4"/>
  <c r="E189" i="4"/>
  <c r="K187" i="4"/>
  <c r="D286" i="4" l="1"/>
  <c r="E275" i="4"/>
  <c r="E276" i="4"/>
  <c r="E203" i="4"/>
  <c r="D203" i="4" s="1"/>
  <c r="D189" i="4"/>
  <c r="I276" i="4"/>
  <c r="H293" i="4"/>
  <c r="G293" i="4"/>
  <c r="H241" i="4"/>
  <c r="H249" i="4"/>
  <c r="H248" i="4" s="1"/>
  <c r="E249" i="4"/>
  <c r="E242" i="4"/>
  <c r="E240" i="4" s="1"/>
  <c r="E250" i="4"/>
  <c r="G249" i="4"/>
  <c r="G248" i="4" s="1"/>
  <c r="F249" i="4"/>
  <c r="F248" i="4" s="1"/>
  <c r="F242" i="4"/>
  <c r="F250" i="4"/>
  <c r="F241" i="4"/>
  <c r="F240" i="4" s="1"/>
  <c r="E241" i="4"/>
  <c r="G241" i="4"/>
  <c r="F234" i="4"/>
  <c r="H284" i="4"/>
  <c r="H274" i="4"/>
  <c r="K284" i="4"/>
  <c r="G284" i="4"/>
  <c r="J284" i="4"/>
  <c r="E284" i="4"/>
  <c r="I284" i="4"/>
  <c r="F285" i="4"/>
  <c r="F284" i="4" s="1"/>
  <c r="K274" i="4"/>
  <c r="J274" i="4"/>
  <c r="I240" i="4"/>
  <c r="G240" i="4"/>
  <c r="H240" i="4"/>
  <c r="K240" i="4"/>
  <c r="J240" i="4"/>
  <c r="H214" i="4"/>
  <c r="G214" i="4"/>
  <c r="J214" i="4"/>
  <c r="K214" i="4"/>
  <c r="I214" i="4"/>
  <c r="K201" i="4"/>
  <c r="J201" i="4"/>
  <c r="G201" i="4"/>
  <c r="H23" i="4"/>
  <c r="D20" i="4"/>
  <c r="G29" i="4"/>
  <c r="H14" i="4"/>
  <c r="D47" i="4"/>
  <c r="D32" i="4"/>
  <c r="F26" i="4"/>
  <c r="K14" i="4"/>
  <c r="D27" i="4"/>
  <c r="F16" i="4"/>
  <c r="F14" i="4" s="1"/>
  <c r="J14" i="4"/>
  <c r="G16" i="4"/>
  <c r="G14" i="4" s="1"/>
  <c r="E16" i="4"/>
  <c r="D17" i="4"/>
  <c r="I14" i="4"/>
  <c r="F23" i="4"/>
  <c r="D25" i="4"/>
  <c r="G23" i="4"/>
  <c r="E23" i="4"/>
  <c r="D24" i="4"/>
  <c r="D22" i="4"/>
  <c r="D21" i="4" s="1"/>
  <c r="D31" i="4"/>
  <c r="D29" i="4" s="1"/>
  <c r="D28" i="4"/>
  <c r="D18" i="4"/>
  <c r="E15" i="4"/>
  <c r="F188" i="4"/>
  <c r="F202" i="4" s="1"/>
  <c r="I187" i="4"/>
  <c r="F257" i="4"/>
  <c r="D257" i="4" s="1"/>
  <c r="D242" i="4"/>
  <c r="D264" i="4"/>
  <c r="D211" i="4"/>
  <c r="G187" i="4"/>
  <c r="G257" i="4"/>
  <c r="E188" i="4"/>
  <c r="E202" i="4" s="1"/>
  <c r="D202" i="4" s="1"/>
  <c r="D196" i="4"/>
  <c r="H292" i="4"/>
  <c r="D285" i="4" l="1"/>
  <c r="E293" i="4"/>
  <c r="D284" i="4"/>
  <c r="D276" i="4"/>
  <c r="D188" i="4"/>
  <c r="I274" i="4"/>
  <c r="G275" i="4"/>
  <c r="F275" i="4"/>
  <c r="F274" i="4" s="1"/>
  <c r="E274" i="4"/>
  <c r="J293" i="4"/>
  <c r="F293" i="4"/>
  <c r="D214" i="4"/>
  <c r="E248" i="4"/>
  <c r="D241" i="4"/>
  <c r="D240" i="4" s="1"/>
  <c r="E201" i="4"/>
  <c r="H187" i="4"/>
  <c r="H201" i="4"/>
  <c r="F187" i="4"/>
  <c r="F201" i="4"/>
  <c r="D26" i="4"/>
  <c r="D16" i="4"/>
  <c r="D23" i="4"/>
  <c r="D15" i="4"/>
  <c r="E14" i="4"/>
  <c r="E187" i="4"/>
  <c r="D275" i="4" l="1"/>
  <c r="D201" i="4"/>
  <c r="D293" i="4"/>
  <c r="D274" i="4"/>
  <c r="G274" i="4"/>
  <c r="D187" i="4"/>
  <c r="D14" i="4"/>
  <c r="H177" i="4"/>
  <c r="D177" i="4" s="1"/>
  <c r="F176" i="4"/>
  <c r="E176" i="4"/>
  <c r="D175" i="4"/>
  <c r="G174" i="4"/>
  <c r="F174" i="4"/>
  <c r="G173" i="4"/>
  <c r="F173" i="4"/>
  <c r="E173" i="4"/>
  <c r="D172" i="4"/>
  <c r="K171" i="4"/>
  <c r="J171" i="4"/>
  <c r="I171" i="4"/>
  <c r="H171" i="4"/>
  <c r="I166" i="4"/>
  <c r="H170" i="4"/>
  <c r="H166" i="4" s="1"/>
  <c r="G170" i="4"/>
  <c r="D169" i="4"/>
  <c r="D168" i="4"/>
  <c r="G167" i="4"/>
  <c r="D167" i="4" s="1"/>
  <c r="K166" i="4"/>
  <c r="J166" i="4"/>
  <c r="F166" i="4"/>
  <c r="E166" i="4"/>
  <c r="G165" i="4"/>
  <c r="D165" i="4" s="1"/>
  <c r="H164" i="4"/>
  <c r="G164" i="4"/>
  <c r="F164" i="4"/>
  <c r="E164" i="4"/>
  <c r="H163" i="4"/>
  <c r="G163" i="4"/>
  <c r="F163" i="4"/>
  <c r="E163" i="4"/>
  <c r="H162" i="4"/>
  <c r="G162" i="4"/>
  <c r="F162" i="4"/>
  <c r="E162" i="4"/>
  <c r="D161" i="4"/>
  <c r="D160" i="4"/>
  <c r="D159" i="4"/>
  <c r="K158" i="4"/>
  <c r="J158" i="4"/>
  <c r="I158" i="4"/>
  <c r="H158" i="4"/>
  <c r="G158" i="4"/>
  <c r="F158" i="4"/>
  <c r="E158" i="4"/>
  <c r="D157" i="4"/>
  <c r="D156" i="4"/>
  <c r="K155" i="4"/>
  <c r="J155" i="4"/>
  <c r="I155" i="4"/>
  <c r="H155" i="4"/>
  <c r="G155" i="4"/>
  <c r="F155" i="4"/>
  <c r="E155" i="4"/>
  <c r="J154" i="4"/>
  <c r="F154" i="4"/>
  <c r="J153" i="4"/>
  <c r="F153" i="4"/>
  <c r="K152" i="4"/>
  <c r="I152" i="4"/>
  <c r="H152" i="4"/>
  <c r="G152" i="4"/>
  <c r="D151" i="4"/>
  <c r="D150" i="4"/>
  <c r="K149" i="4"/>
  <c r="J149" i="4"/>
  <c r="I149" i="4"/>
  <c r="H149" i="4"/>
  <c r="G149" i="4"/>
  <c r="F149" i="4"/>
  <c r="E149" i="4"/>
  <c r="H148" i="4"/>
  <c r="D147" i="4"/>
  <c r="D146" i="4"/>
  <c r="K145" i="4"/>
  <c r="J145" i="4"/>
  <c r="I145" i="4"/>
  <c r="H145" i="4"/>
  <c r="G145" i="4"/>
  <c r="F145" i="4"/>
  <c r="E145" i="4"/>
  <c r="D137" i="4"/>
  <c r="D136" i="4"/>
  <c r="I135" i="4"/>
  <c r="H135" i="4"/>
  <c r="G135" i="4"/>
  <c r="G134" i="4"/>
  <c r="D134" i="4" s="1"/>
  <c r="G133" i="4"/>
  <c r="D133" i="4" s="1"/>
  <c r="K132" i="4"/>
  <c r="J132" i="4"/>
  <c r="I132" i="4"/>
  <c r="H132" i="4"/>
  <c r="F132" i="4"/>
  <c r="E132" i="4"/>
  <c r="D131" i="4"/>
  <c r="E130" i="4"/>
  <c r="D130" i="4" s="1"/>
  <c r="K129" i="4"/>
  <c r="J129" i="4"/>
  <c r="I129" i="4"/>
  <c r="H129" i="4"/>
  <c r="G129" i="4"/>
  <c r="F129" i="4"/>
  <c r="H128" i="4"/>
  <c r="H117" i="4" s="1"/>
  <c r="G128" i="4"/>
  <c r="G127" i="4"/>
  <c r="G125" i="4" s="1"/>
  <c r="D126" i="4"/>
  <c r="K125" i="4"/>
  <c r="J125" i="4"/>
  <c r="I125" i="4"/>
  <c r="H125" i="4"/>
  <c r="F125" i="4"/>
  <c r="E125" i="4"/>
  <c r="D124" i="4"/>
  <c r="D123" i="4"/>
  <c r="K122" i="4"/>
  <c r="J122" i="4"/>
  <c r="I122" i="4"/>
  <c r="H122" i="4"/>
  <c r="G122" i="4"/>
  <c r="F122" i="4"/>
  <c r="E122" i="4"/>
  <c r="G121" i="4"/>
  <c r="F121" i="4"/>
  <c r="G120" i="4"/>
  <c r="F120" i="4"/>
  <c r="K119" i="4"/>
  <c r="J119" i="4"/>
  <c r="I119" i="4"/>
  <c r="H119" i="4"/>
  <c r="J118" i="4"/>
  <c r="I118" i="4"/>
  <c r="H118" i="4"/>
  <c r="E118" i="4"/>
  <c r="J117" i="4"/>
  <c r="I117" i="4"/>
  <c r="E117" i="4"/>
  <c r="K116" i="4"/>
  <c r="D115" i="4"/>
  <c r="D114" i="4"/>
  <c r="K113" i="4"/>
  <c r="J113" i="4"/>
  <c r="I113" i="4"/>
  <c r="H113" i="4"/>
  <c r="G113" i="4"/>
  <c r="F113" i="4"/>
  <c r="E113" i="4"/>
  <c r="D112" i="4"/>
  <c r="D111" i="4"/>
  <c r="D110" i="4"/>
  <c r="K109" i="4"/>
  <c r="J109" i="4"/>
  <c r="I109" i="4"/>
  <c r="H109" i="4"/>
  <c r="G109" i="4"/>
  <c r="F109" i="4"/>
  <c r="E109" i="4"/>
  <c r="J108" i="4"/>
  <c r="H108" i="4"/>
  <c r="F108" i="4"/>
  <c r="J107" i="4"/>
  <c r="I107" i="4"/>
  <c r="H107" i="4"/>
  <c r="F107" i="4"/>
  <c r="F106" i="4" s="1"/>
  <c r="K106" i="4"/>
  <c r="G106" i="4"/>
  <c r="E106" i="4"/>
  <c r="G105" i="4"/>
  <c r="G103" i="4" s="1"/>
  <c r="F105" i="4"/>
  <c r="F103" i="4" s="1"/>
  <c r="D104" i="4"/>
  <c r="K103" i="4"/>
  <c r="J103" i="4"/>
  <c r="I103" i="4"/>
  <c r="H103" i="4"/>
  <c r="E103" i="4"/>
  <c r="D102" i="4"/>
  <c r="D101" i="4"/>
  <c r="K100" i="4"/>
  <c r="J100" i="4"/>
  <c r="I100" i="4"/>
  <c r="H100" i="4"/>
  <c r="G100" i="4"/>
  <c r="F100" i="4"/>
  <c r="E100" i="4"/>
  <c r="F99" i="4"/>
  <c r="D99" i="4" s="1"/>
  <c r="F98" i="4"/>
  <c r="D98" i="4" s="1"/>
  <c r="K97" i="4"/>
  <c r="J97" i="4"/>
  <c r="I97" i="4"/>
  <c r="H97" i="4"/>
  <c r="G97" i="4"/>
  <c r="E97" i="4"/>
  <c r="D89" i="4"/>
  <c r="G88" i="4"/>
  <c r="F88" i="4"/>
  <c r="F80" i="4" s="1"/>
  <c r="G87" i="4"/>
  <c r="G81" i="4" s="1"/>
  <c r="G86" i="4"/>
  <c r="D86" i="4" s="1"/>
  <c r="K85" i="4"/>
  <c r="J85" i="4"/>
  <c r="I85" i="4"/>
  <c r="H85" i="4"/>
  <c r="F85" i="4"/>
  <c r="E85" i="4"/>
  <c r="D84" i="4"/>
  <c r="G83" i="4"/>
  <c r="D83" i="4" s="1"/>
  <c r="K82" i="4"/>
  <c r="J82" i="4"/>
  <c r="I82" i="4"/>
  <c r="H82" i="4"/>
  <c r="F82" i="4"/>
  <c r="E82" i="4"/>
  <c r="F81" i="4"/>
  <c r="J80" i="4"/>
  <c r="J79" i="4" s="1"/>
  <c r="I80" i="4"/>
  <c r="E80" i="4"/>
  <c r="E79" i="4" s="1"/>
  <c r="K79" i="4"/>
  <c r="H79" i="4"/>
  <c r="D78" i="4"/>
  <c r="D75" i="4"/>
  <c r="H74" i="4"/>
  <c r="H71" i="4" s="1"/>
  <c r="G74" i="4"/>
  <c r="F74" i="4"/>
  <c r="E74" i="4"/>
  <c r="G73" i="4"/>
  <c r="F73" i="4"/>
  <c r="H72" i="4"/>
  <c r="F72" i="4"/>
  <c r="F70" i="4" s="1"/>
  <c r="E72" i="4"/>
  <c r="E70" i="4" s="1"/>
  <c r="K71" i="4"/>
  <c r="J71" i="4"/>
  <c r="I71" i="4"/>
  <c r="K70" i="4"/>
  <c r="J70" i="4"/>
  <c r="D68" i="4"/>
  <c r="D67" i="4"/>
  <c r="K66" i="4"/>
  <c r="J66" i="4"/>
  <c r="I66" i="4"/>
  <c r="H66" i="4"/>
  <c r="G66" i="4"/>
  <c r="F66" i="4"/>
  <c r="E66" i="4"/>
  <c r="G65" i="4"/>
  <c r="D65" i="4" s="1"/>
  <c r="G64" i="4"/>
  <c r="D64" i="4" s="1"/>
  <c r="D63" i="4"/>
  <c r="G62" i="4"/>
  <c r="D62" i="4" s="1"/>
  <c r="D61" i="4"/>
  <c r="G60" i="4"/>
  <c r="D60" i="4" s="1"/>
  <c r="K59" i="4"/>
  <c r="J59" i="4"/>
  <c r="I59" i="4"/>
  <c r="H59" i="4"/>
  <c r="F59" i="4"/>
  <c r="E59" i="4"/>
  <c r="H58" i="4"/>
  <c r="G58" i="4"/>
  <c r="F58" i="4"/>
  <c r="J57" i="4"/>
  <c r="H57" i="4"/>
  <c r="F57" i="4"/>
  <c r="E57" i="4"/>
  <c r="E56" i="4" s="1"/>
  <c r="K56" i="4"/>
  <c r="K44" i="4"/>
  <c r="I79" i="4" l="1"/>
  <c r="D148" i="4"/>
  <c r="D176" i="4"/>
  <c r="F171" i="4"/>
  <c r="H106" i="4"/>
  <c r="I106" i="4"/>
  <c r="F56" i="4"/>
  <c r="I69" i="4"/>
  <c r="K37" i="4"/>
  <c r="D145" i="4"/>
  <c r="D135" i="4"/>
  <c r="E129" i="4"/>
  <c r="D59" i="4"/>
  <c r="J69" i="4"/>
  <c r="D87" i="4"/>
  <c r="D85" i="4" s="1"/>
  <c r="D122" i="4"/>
  <c r="D73" i="4"/>
  <c r="E116" i="4"/>
  <c r="D121" i="4"/>
  <c r="D129" i="4"/>
  <c r="D164" i="4"/>
  <c r="G71" i="4"/>
  <c r="G69" i="4" s="1"/>
  <c r="K69" i="4"/>
  <c r="G118" i="4"/>
  <c r="D174" i="4"/>
  <c r="D120" i="4"/>
  <c r="E171" i="4"/>
  <c r="H56" i="4"/>
  <c r="F79" i="4"/>
  <c r="F118" i="4"/>
  <c r="D155" i="4"/>
  <c r="D100" i="4"/>
  <c r="D113" i="4"/>
  <c r="I116" i="4"/>
  <c r="H116" i="4"/>
  <c r="D132" i="4"/>
  <c r="G171" i="4"/>
  <c r="D72" i="4"/>
  <c r="D74" i="4"/>
  <c r="D97" i="4"/>
  <c r="D105" i="4"/>
  <c r="D103" i="4" s="1"/>
  <c r="D108" i="4"/>
  <c r="J116" i="4"/>
  <c r="G119" i="4"/>
  <c r="D127" i="4"/>
  <c r="D125" i="4" s="1"/>
  <c r="D154" i="4"/>
  <c r="H70" i="4"/>
  <c r="H69" i="4" s="1"/>
  <c r="J106" i="4"/>
  <c r="D158" i="4"/>
  <c r="D173" i="4"/>
  <c r="F71" i="4"/>
  <c r="F69" i="4" s="1"/>
  <c r="D81" i="4"/>
  <c r="F117" i="4"/>
  <c r="D149" i="4"/>
  <c r="J152" i="4"/>
  <c r="D170" i="4"/>
  <c r="D166" i="4" s="1"/>
  <c r="J56" i="4"/>
  <c r="G59" i="4"/>
  <c r="D66" i="4"/>
  <c r="D82" i="4"/>
  <c r="G85" i="4"/>
  <c r="D88" i="4"/>
  <c r="F97" i="4"/>
  <c r="D109" i="4"/>
  <c r="G117" i="4"/>
  <c r="D128" i="4"/>
  <c r="G132" i="4"/>
  <c r="D153" i="4"/>
  <c r="D162" i="4"/>
  <c r="D163" i="4"/>
  <c r="I56" i="4"/>
  <c r="D107" i="4"/>
  <c r="F119" i="4"/>
  <c r="F152" i="4"/>
  <c r="G57" i="4"/>
  <c r="D58" i="4"/>
  <c r="G82" i="4"/>
  <c r="G166" i="4"/>
  <c r="E71" i="4"/>
  <c r="G80" i="4"/>
  <c r="G79" i="4" s="1"/>
  <c r="D57" i="4" l="1"/>
  <c r="D56" i="4" s="1"/>
  <c r="G116" i="4"/>
  <c r="F116" i="4"/>
  <c r="D119" i="4"/>
  <c r="D118" i="4"/>
  <c r="D152" i="4"/>
  <c r="D117" i="4"/>
  <c r="D171" i="4"/>
  <c r="D106" i="4"/>
  <c r="D70" i="4"/>
  <c r="D71" i="4"/>
  <c r="D80" i="4"/>
  <c r="D79" i="4" s="1"/>
  <c r="G56" i="4"/>
  <c r="E69" i="4"/>
  <c r="J292" i="4"/>
  <c r="J37" i="4" l="1"/>
  <c r="D116" i="4"/>
  <c r="D69" i="4"/>
  <c r="I44" i="4" l="1"/>
  <c r="H44" i="4" l="1"/>
  <c r="J44" i="4"/>
  <c r="H37" i="4" l="1"/>
  <c r="F38" i="4" l="1"/>
  <c r="F292" i="4" s="1"/>
  <c r="G39" i="4"/>
  <c r="G38" i="4"/>
  <c r="G292" i="4" s="1"/>
  <c r="G37" i="4" l="1"/>
  <c r="F39" i="4" l="1"/>
  <c r="F37" i="4" s="1"/>
  <c r="G44" i="4" l="1"/>
  <c r="F44" i="4"/>
  <c r="E44" i="4"/>
  <c r="D45" i="4"/>
  <c r="D46" i="4"/>
  <c r="E109" i="1"/>
  <c r="F109" i="1"/>
  <c r="G109" i="1"/>
  <c r="E108" i="1"/>
  <c r="F108" i="1"/>
  <c r="G108" i="1"/>
  <c r="E98" i="1"/>
  <c r="F98" i="1"/>
  <c r="G98" i="1"/>
  <c r="E97" i="1"/>
  <c r="F97" i="1"/>
  <c r="G97" i="1"/>
  <c r="D81" i="1"/>
  <c r="D80" i="1"/>
  <c r="E71" i="1"/>
  <c r="E85" i="1" s="1"/>
  <c r="F71" i="1"/>
  <c r="F85" i="1" s="1"/>
  <c r="G71" i="1"/>
  <c r="G85" i="1" s="1"/>
  <c r="E56" i="1"/>
  <c r="F56" i="1"/>
  <c r="G56" i="1"/>
  <c r="E36" i="1"/>
  <c r="E68" i="1" s="1"/>
  <c r="F36" i="1"/>
  <c r="F68" i="1" s="1"/>
  <c r="G36" i="1"/>
  <c r="G68" i="1" s="1"/>
  <c r="E35" i="1"/>
  <c r="E67" i="1" s="1"/>
  <c r="F35" i="1"/>
  <c r="F67" i="1" s="1"/>
  <c r="G35" i="1"/>
  <c r="G67" i="1" s="1"/>
  <c r="E34" i="1"/>
  <c r="E10" i="1"/>
  <c r="F10" i="1"/>
  <c r="G10" i="1"/>
  <c r="G20" i="1"/>
  <c r="F20" i="1" s="1"/>
  <c r="E20" i="1" s="1"/>
  <c r="E9" i="1"/>
  <c r="F9" i="1"/>
  <c r="E8" i="1"/>
  <c r="E18" i="1"/>
  <c r="E72" i="1"/>
  <c r="E70" i="1" s="1"/>
  <c r="E84" i="1" s="1"/>
  <c r="D65" i="1"/>
  <c r="D64" i="1"/>
  <c r="D63" i="1"/>
  <c r="D62" i="1"/>
  <c r="F55" i="1"/>
  <c r="G55" i="1" s="1"/>
  <c r="D55" i="1" s="1"/>
  <c r="F54" i="1"/>
  <c r="G54" i="1" s="1"/>
  <c r="G15" i="1"/>
  <c r="G9" i="1" s="1"/>
  <c r="G19" i="1"/>
  <c r="D93" i="1"/>
  <c r="D87" i="1"/>
  <c r="D89" i="1"/>
  <c r="D91" i="1"/>
  <c r="D95" i="1"/>
  <c r="G72" i="1"/>
  <c r="G70" i="1" s="1"/>
  <c r="G84" i="1" s="1"/>
  <c r="F72" i="1"/>
  <c r="F70" i="1" s="1"/>
  <c r="F84" i="1" s="1"/>
  <c r="D96" i="1"/>
  <c r="F37" i="1"/>
  <c r="G37" i="1" s="1"/>
  <c r="G34" i="1" s="1"/>
  <c r="F11" i="1"/>
  <c r="D41" i="1"/>
  <c r="D101" i="1"/>
  <c r="D102" i="1"/>
  <c r="D103" i="1"/>
  <c r="D109" i="1" s="1"/>
  <c r="D104" i="1"/>
  <c r="D105" i="1"/>
  <c r="D106" i="1"/>
  <c r="D107" i="1"/>
  <c r="D100" i="1"/>
  <c r="D88" i="1"/>
  <c r="D90" i="1"/>
  <c r="D92" i="1"/>
  <c r="D94" i="1"/>
  <c r="D83" i="1"/>
  <c r="D82" i="1"/>
  <c r="D73" i="1"/>
  <c r="D75" i="1"/>
  <c r="D77" i="1"/>
  <c r="D74" i="1"/>
  <c r="D76" i="1"/>
  <c r="D78" i="1"/>
  <c r="D79" i="1"/>
  <c r="D38" i="1"/>
  <c r="D45" i="1"/>
  <c r="D47" i="1"/>
  <c r="D50" i="1"/>
  <c r="D53" i="1"/>
  <c r="D39" i="1"/>
  <c r="D42" i="1"/>
  <c r="D48" i="1"/>
  <c r="D40" i="1"/>
  <c r="D43" i="1"/>
  <c r="D44" i="1"/>
  <c r="D46" i="1"/>
  <c r="D49" i="1"/>
  <c r="D51" i="1"/>
  <c r="D52" i="1"/>
  <c r="D57" i="1"/>
  <c r="D58" i="1"/>
  <c r="D59" i="1"/>
  <c r="D60" i="1"/>
  <c r="D61" i="1"/>
  <c r="E19" i="1"/>
  <c r="E31" i="1" s="1"/>
  <c r="F19" i="1"/>
  <c r="F18" i="1"/>
  <c r="G18" i="1"/>
  <c r="D12" i="1"/>
  <c r="D15" i="1"/>
  <c r="D9" i="1" s="1"/>
  <c r="D13" i="1"/>
  <c r="D10" i="1" s="1"/>
  <c r="D16" i="1"/>
  <c r="D14" i="1"/>
  <c r="D17" i="1"/>
  <c r="D21" i="1"/>
  <c r="D24" i="1"/>
  <c r="D22" i="1"/>
  <c r="D23" i="1"/>
  <c r="D25" i="1"/>
  <c r="D19" i="1" s="1"/>
  <c r="D26" i="1"/>
  <c r="D27" i="1"/>
  <c r="D28" i="1"/>
  <c r="D29" i="1"/>
  <c r="D31" i="1" l="1"/>
  <c r="D18" i="1"/>
  <c r="D56" i="1"/>
  <c r="F34" i="1"/>
  <c r="F66" i="1" s="1"/>
  <c r="D71" i="1"/>
  <c r="D85" i="1" s="1"/>
  <c r="D108" i="1"/>
  <c r="F8" i="1"/>
  <c r="F30" i="1" s="1"/>
  <c r="F110" i="1" s="1"/>
  <c r="F31" i="1"/>
  <c r="F111" i="1" s="1"/>
  <c r="F32" i="1"/>
  <c r="F112" i="1" s="1"/>
  <c r="D98" i="1"/>
  <c r="G11" i="1"/>
  <c r="G8" i="1" s="1"/>
  <c r="G30" i="1" s="1"/>
  <c r="E39" i="4"/>
  <c r="D97" i="1"/>
  <c r="D35" i="1"/>
  <c r="D67" i="1" s="1"/>
  <c r="D37" i="1"/>
  <c r="D34" i="1" s="1"/>
  <c r="D72" i="1"/>
  <c r="D70" i="1" s="1"/>
  <c r="D84" i="1" s="1"/>
  <c r="G31" i="1"/>
  <c r="G111" i="1" s="1"/>
  <c r="G32" i="1"/>
  <c r="G112" i="1" s="1"/>
  <c r="E66" i="1"/>
  <c r="D36" i="1"/>
  <c r="D68" i="1" s="1"/>
  <c r="E30" i="1"/>
  <c r="E110" i="1" s="1"/>
  <c r="D44" i="4"/>
  <c r="E111" i="1"/>
  <c r="E32" i="1"/>
  <c r="E112" i="1" s="1"/>
  <c r="D20" i="1"/>
  <c r="D32" i="1" s="1"/>
  <c r="D112" i="1" s="1"/>
  <c r="D54" i="1"/>
  <c r="G66" i="1"/>
  <c r="D11" i="1" l="1"/>
  <c r="D8" i="1" s="1"/>
  <c r="D30" i="1" s="1"/>
  <c r="G110" i="1"/>
  <c r="D111" i="1"/>
  <c r="E38" i="4"/>
  <c r="E292" i="4" s="1"/>
  <c r="D66" i="1"/>
  <c r="E37" i="4" l="1"/>
  <c r="D110" i="1"/>
  <c r="F291" i="4" l="1"/>
  <c r="D291" i="4" l="1"/>
</calcChain>
</file>

<file path=xl/sharedStrings.xml><?xml version="1.0" encoding="utf-8"?>
<sst xmlns="http://schemas.openxmlformats.org/spreadsheetml/2006/main" count="789" uniqueCount="384">
  <si>
    <t>№ п/п</t>
  </si>
  <si>
    <t>Наименование подпрограммы, входящих в прграмму</t>
  </si>
  <si>
    <t>всего, тыс. руб.</t>
  </si>
  <si>
    <t>финансирование, тыс. руб.</t>
  </si>
  <si>
    <t>источник финансирования</t>
  </si>
  <si>
    <t>Создание условий для содеражания детей в муниципальных дошкольных образовательных организациях, в том числе:</t>
  </si>
  <si>
    <t>1.1.</t>
  </si>
  <si>
    <t>Реализация образовательных программ дошкольного образования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</si>
  <si>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1.2.</t>
  </si>
  <si>
    <t>районный бюджет</t>
  </si>
  <si>
    <t>краевой бюджет</t>
  </si>
  <si>
    <t>федеральный бюджет</t>
  </si>
  <si>
    <t>1.3.</t>
  </si>
  <si>
    <t>1. Развитие системы дошкольного образования</t>
  </si>
  <si>
    <t>1.1.2.</t>
  </si>
  <si>
    <t>1.1.1.</t>
  </si>
  <si>
    <t>1.2.1.</t>
  </si>
  <si>
    <t>1.2.2.</t>
  </si>
  <si>
    <t>Строительство пристроек к существующим муниципальным дошкольным организациям</t>
  </si>
  <si>
    <t>1.4.</t>
  </si>
  <si>
    <t>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 внедряющих инновационные образовательные программы</t>
  </si>
  <si>
    <t>2. Развитие начального общего, основного общего, среднего (полного) общего образования</t>
  </si>
  <si>
    <t>2.1.</t>
  </si>
  <si>
    <t>Создание условий для содеражания детей в муниципальных общеобразовательных организациях, в том числе:</t>
  </si>
  <si>
    <t>Реализация общеобразовательных программ начального общего, основного общего и среднего (полного) общего образования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</si>
  <si>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2.1.1.</t>
  </si>
  <si>
    <t>2.1.2.</t>
  </si>
  <si>
    <t>Организация  предоставления общедоступного и бесплатного начального общего, основного общего, среднего (полного) общего образования по основным общеобразовательным программам (увеличение пропускной способности и оплата Интернет-трафика)</t>
  </si>
  <si>
    <t>Компенсация расходов на оплату жилых помещений, отопления и освещения педагогическим работникам, проживающим и работающим в сельской местности</t>
  </si>
  <si>
    <t xml:space="preserve">2.2. </t>
  </si>
  <si>
    <t>2.1.3.</t>
  </si>
  <si>
    <t>Капитальный ремонт муниципальных общеобразовательных организаций  с целью улучшения условий содержания учащихся</t>
  </si>
  <si>
    <t>Капитальный ремонт муниципальных дошкольных образовательных организаций  с целью улучшения условий содержания воспитанников</t>
  </si>
  <si>
    <t>Проведение капитального и текущего ремонта спортивных залов общеобразовательных организаций, помещений при них, других помещений физкультурно-спортивного назначения, физкультурно-оздоровительных комплексов, устройство в них автоматичес-кой пожарной сигнализации и изготовление проектно-сметной документации</t>
  </si>
  <si>
    <t>2.3.</t>
  </si>
  <si>
    <t>Финансирование мероприятий, возникающих в связи с участием в организации и проведении государственной (итоговой) аттестации выпускников общеобразовательных организаций муниципального образования Тимашевский район</t>
  </si>
  <si>
    <t>2.4.</t>
  </si>
  <si>
    <t>2.5.</t>
  </si>
  <si>
    <t>Создание школьно-базовой столовой, в том числе: аудит (диагностика) технологического оборудования, помещений, инженерных коммуникаций столовой, проектирование помещений пищеблоков; составление локального сметного расчета; приобретение строительного материала, проведение капитального и текущего ремонта;  проведение работ по увеличению энергетической мощности объектов; приобретение посуды, мебели для школьной столовой; приобретение транспорта для доставки продукции в пищеблоки сети обслуживаемых школ, приобретение оборудования</t>
  </si>
  <si>
    <t xml:space="preserve">Приобретение транспортных средств, в том числе софинансирование на приобретение автобусов и микроавтобусов  для образовательных организаций, оплата расходов по их регистрации, гарантийное техническое обслуживание и оплата стоянки </t>
  </si>
  <si>
    <t>2.7.</t>
  </si>
  <si>
    <t>2.8.</t>
  </si>
  <si>
    <t>Организация торжественных приемов одаренных школьников главой муниципального образования Тимашевский район, выплата премий главы муниципального образования Тимашевский район одаренным школьникам</t>
  </si>
  <si>
    <t>Проведение районных и краевых конкурсов, праздников, мероприятий  для работников дошкольных образовательных организаций, том числе: "Воспитель года", "День дошкольного работника"</t>
  </si>
  <si>
    <t>Организация и проведение районных и краевых массовых мероприятий, в том числе:</t>
  </si>
  <si>
    <t>Проведение районных и краевых конкурсов, праздников для учащихся и работников общеобразовательных учреждений:«Бал выпускников», «Губернаторский бал», «День учителя», «Парад первоклассников»,  «Юные инспекторы движения»  и другие</t>
  </si>
  <si>
    <t>Проведение районных казачьих игр</t>
  </si>
  <si>
    <t>Организация военно-патриотической работы с учащимися, в том числе: посещение музеев, проведение экскурсионных выездов</t>
  </si>
  <si>
    <t>Проведение учебных сборов учащихся (юношей) образовательных организаций муниципального образования Тимашевский район</t>
  </si>
  <si>
    <t>3. Развитие системы дополнительного образования детей</t>
  </si>
  <si>
    <t>Создание условий для содеражания детей в образовательных организациях дополнительного образования детей, в том числе:</t>
  </si>
  <si>
    <t>Реализация образовательных программ дополнительного образования детей в организациях общей направленности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</si>
  <si>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3.1.</t>
  </si>
  <si>
    <t>3.2.</t>
  </si>
  <si>
    <t>3.1.1.</t>
  </si>
  <si>
    <t>3.1.2.</t>
  </si>
  <si>
    <t>3.1.3.</t>
  </si>
  <si>
    <t>Реализация образовательных программ  дополнительного образования детей в учреждениях дополнительного образования детей спортивной направленности</t>
  </si>
  <si>
    <t>3.1.4.</t>
  </si>
  <si>
    <t>Капитальный ремонт муниципальных образовательных организаций  дополнительного образования детей с целью улучшения условий содержания учащихся</t>
  </si>
  <si>
    <t>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дополнительного образования детей физкультурно-оздоровительной направленности системы образования муниципального образования Тимашевский район</t>
  </si>
  <si>
    <t>3.3.</t>
  </si>
  <si>
    <t>Финансирование работы педагогов дополнительного образования с детьми в спортивных клубах образовательных организаций (за исключением вечерних), гимназиях и лицеях</t>
  </si>
  <si>
    <t xml:space="preserve">Обеспечение деятельности образовательного учреждения по организации отдыха детей </t>
  </si>
  <si>
    <t>4.1.</t>
  </si>
  <si>
    <t>Реализация общеобразовательных программ дополнительного образования в соответствии с состоянием соматического и психического здоровья детей</t>
  </si>
  <si>
    <t>Методическая поддержка педагогических работников образовательных учреждений</t>
  </si>
  <si>
    <t>Обеспечение организации и осуществления бухгалтерского учета</t>
  </si>
  <si>
    <t xml:space="preserve">4.2. </t>
  </si>
  <si>
    <t>4.3.</t>
  </si>
  <si>
    <t>4.4.</t>
  </si>
  <si>
    <t>5. Организация отдыха учащихся образовательных организаций в каникулярное время</t>
  </si>
  <si>
    <t>Муниципальная программа Тимашевского района "Развитие образования" на 2015-2017 годы</t>
  </si>
  <si>
    <t>5.1.</t>
  </si>
  <si>
    <t>Организация отдыха, оздоровления детей-учащихся детско-юношеской спортивной школы   г.Тимашевска</t>
  </si>
  <si>
    <t>5.2.</t>
  </si>
  <si>
    <t>Трудоустройство несовершеннолетних в возрасте от 14 до 18 лет, в том числе в каникулярное время</t>
  </si>
  <si>
    <t>Организация подвоза спортсменов  к местам отдыха и обратно в каникулярное время, в том числе приобретение горюче-смазочных материалов (в том числе осуществление страхования детей)</t>
  </si>
  <si>
    <t>5.3.</t>
  </si>
  <si>
    <t>5.4.</t>
  </si>
  <si>
    <t>5.5.</t>
  </si>
  <si>
    <t>Организация подвоза детей к местам отдыха и обратно в каникулярное время, в том числе приобретение горюче-смазочных материалов  (в том числе осуществление страхования детей)</t>
  </si>
  <si>
    <t>3.4.</t>
  </si>
  <si>
    <t xml:space="preserve">Создание условий для укрепления здоровья детей и педагогических работников за счет обеспечения их сбалансированным горячим питанием (частичную компенсацию удорожания стоимости питания учащихся дневных муниципальных образовательных организаций, реализующих общеобразовательные программы, из расчета 6,0 рублей в день на одного обучающегося и педагогических работников дневных муниципальных образовательных организаций, реализующих общеобразовательные программы, из расчета 12,5 рублей в день на одного педагога) </t>
  </si>
  <si>
    <t>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t>
  </si>
  <si>
    <t>2.9.</t>
  </si>
  <si>
    <t>2.10.</t>
  </si>
  <si>
    <t xml:space="preserve">Изготовление проектно-сметной документации по объекту (дополнительный корпус на 70 для МБДОУ д/с № 11 г. Тимашевска) </t>
  </si>
  <si>
    <t xml:space="preserve">Строительство дополнительного корпуса на 70 мест для МБДОУ д/с № 11 г. Тимашевска </t>
  </si>
  <si>
    <t>ИТОГО по подпрограмме:</t>
  </si>
  <si>
    <t>ИТОГО по подпрограмме</t>
  </si>
  <si>
    <t>1.1.3.</t>
  </si>
  <si>
    <t>3.5.</t>
  </si>
  <si>
    <t>Оплата проведения ТО для нового автобуса "Ивеко"</t>
  </si>
  <si>
    <t>Оплата охраняемой стоянки автобуса "Ивеко" с предрейсовым и послерейсовым обследованием</t>
  </si>
  <si>
    <t xml:space="preserve">Организация отдыха, оздоровления  и занятость детей (в том числе детей состоящих на различных видах учетах, победителей творческих конкурсов) в краевых и районных лагерях, многодневных походах, экспедициях, экскурсиях, посещение спектаклей и прочее,в том числе на: </t>
  </si>
  <si>
    <t xml:space="preserve"> мероприятия по организации отдыха детей в каникулярное время на базе муниципальных учреждений, осуществляющих организацию отдыха детей</t>
  </si>
  <si>
    <t>Мероприятия по организации отдыха детей в каникулярное время в лагерях дневного пребывания на базе муниципальных образовательных организаций</t>
  </si>
  <si>
    <t>ВСЕГО по программе</t>
  </si>
  <si>
    <t>4.5.</t>
  </si>
  <si>
    <t xml:space="preserve">Участие тренеров-преподавателей,  учащихся и лиц их сопровождающих МБОУ ДОД ДЮСШ в районных, краевых, всероссийских и международ-
ных соревнованиях и турнирах, по культивируемым ими видам спорта, а также в мероприятиях спортивной направленности
</t>
  </si>
  <si>
    <t>2.11.</t>
  </si>
  <si>
    <t>2.6.</t>
  </si>
  <si>
    <t>2.9.1.</t>
  </si>
  <si>
    <t>2.9.2.</t>
  </si>
  <si>
    <t>2.9.3.</t>
  </si>
  <si>
    <t>2.9.4.</t>
  </si>
  <si>
    <t>2.9.5.</t>
  </si>
  <si>
    <t>4. Обеспечение деятельности прочих учреждений, относящихся к системе образования</t>
  </si>
  <si>
    <t>Управление образования в сфере установленных функций</t>
  </si>
  <si>
    <t>Оплата молодым и заслуженным специалистам (не точно пока)</t>
  </si>
  <si>
    <t>Наименование мероприятия</t>
  </si>
  <si>
    <t>Задача</t>
  </si>
  <si>
    <t>Цель</t>
  </si>
  <si>
    <t>Предоставление субсидий образовательным организациям, оказывающим муниципальные услуги по предоставолению образовательных программ дошкольного образования детей на:</t>
  </si>
  <si>
    <t>Объем финансирования всего (тыс. руб.)</t>
  </si>
  <si>
    <t>Проведение районных  и краевых конкурсов, праздников, мероприятий  для работников и воспитанников  дошкольных образовательных организаций, в том числе:  «Краевой конкурс среди дошкольных образовательных организаций, внедряющих инновационные образовательные программы», «Воспитель года»,«День дошкольного работника» и другие</t>
  </si>
  <si>
    <t>Создание условий для содержания детей в муниципальных дошкольных образовательных организациях и в негосударственных дошкольных организациях</t>
  </si>
  <si>
    <t>Обеспечение инновационного характера дошкольного образования и проведение мероприятий в организациях различных форм собственности</t>
  </si>
  <si>
    <t>Создание в системе дошкольного образования равных возможностей для современного качественного образования и повышения конкурентоспособности организаций дошкольного образования</t>
  </si>
  <si>
    <t>В том числе:</t>
  </si>
  <si>
    <t>Всего</t>
  </si>
  <si>
    <t>Районный бюджет</t>
  </si>
  <si>
    <t>1.1</t>
  </si>
  <si>
    <t>1.1.1</t>
  </si>
  <si>
    <t>Финансовое обеспечение выполнения муниципального задания на оказание муниципальных услуг                                                                                                                                                    на предоставление образовательных программ дошкольного образования детей в муниципальных организациях</t>
  </si>
  <si>
    <t>Финансовое обеспечение выполнения муниципального задания на оказание муниципальных услуг                                                                                                                                                    на предоставление образовательных программ дошкольного образования детей в частных дошкольных образовательных организациях</t>
  </si>
  <si>
    <t>1.1.2</t>
  </si>
  <si>
    <t>1.1.3</t>
  </si>
  <si>
    <t>1.2</t>
  </si>
  <si>
    <t>1.3</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</si>
  <si>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</si>
  <si>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2</t>
  </si>
  <si>
    <t>2.1</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</si>
  <si>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дошкольных образовательных организаций, проживающим и работающим в сельской местности, рабочих поселках (поселках городского типа) Краснодарского края</t>
  </si>
  <si>
    <t>Краевой                          бюджет</t>
  </si>
  <si>
    <t>Краевой                                бюджет</t>
  </si>
  <si>
    <t>Краевой                        бюджет</t>
  </si>
  <si>
    <t>Краевой                                  бюджет</t>
  </si>
  <si>
    <t>2018 г.</t>
  </si>
  <si>
    <t>2019 г.</t>
  </si>
  <si>
    <t>2020 г.</t>
  </si>
  <si>
    <t>1.3.1</t>
  </si>
  <si>
    <t>1.3.2</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</si>
  <si>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t>
  </si>
  <si>
    <t>Дополнительная финансовая помощь для решения социально значимых вопросов местного значения (капитальный и текущий ремонт, благоустройство территории, материально-техническое обеспечение дошкольных образовательных организаций)</t>
  </si>
  <si>
    <t>2022 г.</t>
  </si>
  <si>
    <t>2021 г.</t>
  </si>
  <si>
    <t>1.3.3</t>
  </si>
  <si>
    <t xml:space="preserve">Созданию условий для содержания 
детей дошкольного возраста в муниципальных образовательных 
организациях (приобретение движимого имущества, необходимого 
для обеспечения функционирования вновь созданных и (или) 
создание мест в муниципальных образовательных организациях,           в том числе для размещения детей в возрасте до 3 лет)
</t>
  </si>
  <si>
    <t>Количество учреждений, в которые приобрели движимое имущество, необходимое для функционирования вновь созданных мест:               2020 г.- 1 (МБДОУ д/с №19)</t>
  </si>
  <si>
    <t>2023 г.</t>
  </si>
  <si>
    <t xml:space="preserve">Количество победителей  конкурсов  для работников и воспитанников дошкольных образовательных организаций:                          2018 г. -2023 г. не менее       1 чел.,                                                        </t>
  </si>
  <si>
    <t xml:space="preserve">Разработка проектно-сметной документации </t>
  </si>
  <si>
    <t>Количество разработанных ПСД: 2021 г. - 1 шт.(МБДОУ д/с № 2)</t>
  </si>
  <si>
    <t>Капитальный, текущий ремонт и                                                                                                                                                                                                                                                                                                                                                              материально-техническое обеспечение дошкольных образовательных организаций, в том числе:</t>
  </si>
  <si>
    <t>1.4</t>
  </si>
  <si>
    <t>Приобретение движимого имущества</t>
  </si>
  <si>
    <t>Количество учреждений, в которые приобретено движимое имущество: 2021 г.-1 (МБДОУ д/с № 11)</t>
  </si>
  <si>
    <t>1.5.</t>
  </si>
  <si>
    <t>Основное мероприятие</t>
  </si>
  <si>
    <t>2024 г.</t>
  </si>
  <si>
    <t>Ежегодно 100 % выполнение муниципального задания, количество воспитанников в ДОУ:                      2018 г. -116 чел.,                         2019 г. - 112 чел.,                       2020 г. - 111 чел.;                                 2021 г. - 116 чел.,                              2022 г.- 116 чел,                                                                                                                                                                                                                         2023 г.- 116 чел.,                                                                                2024 г. - 0</t>
  </si>
  <si>
    <t>Количество педагогов дошкольных организаций, получателей мер социальной поддержки                                                    в виде компенсации: 2018г. -564 чел.;                     2019 г. - 502 чел.;                             2020 г. - 520 чел.,                                2021 г. - 564 чел.,                              2022 г.  - 564 чел,                                                                                                                                          2023 г.- 564 чел.,                         2024 г. - 0</t>
  </si>
  <si>
    <t xml:space="preserve">Ежегодно 100 % выполнение муниципального задания,  охват дошкольным образованием:               2018 г.-  83 %,                                 2019 г. - 83 %,                     2020 г. - 85 %,                      2021 г. - 85 %,                      2022 г. - 85%,                                                                                                                                                                                                                                                                                         2023 г. - 85%,                                                                                                                 </t>
  </si>
  <si>
    <t>Создание в системе общего образования равных возможностей для современного качественного образования и позитивной социализации детей</t>
  </si>
  <si>
    <t>Создание условий для обучения детей в муниципальных общеобразовательных организациях</t>
  </si>
  <si>
    <t>Строительство пристроек к существующим зданиям и сооружениям муниципальных образовательных организаций, в том числе:</t>
  </si>
  <si>
    <t>Количество подготовительных мероприятий для строительства пристроек: 2018 г. - 2 шт.</t>
  </si>
  <si>
    <t>Краевой бюджет</t>
  </si>
  <si>
    <t>Реконструкция МБОУ СОШ № 4                            по адресу: г.Тимашевск, микрорайон Сахарный завод с увеличением вместимости и выделением блока начального образования на 400 мест                                                                                                                                                                                                                                                                                                                                    (II этап. Блок начального образования  на 400 мест)</t>
  </si>
  <si>
    <t>Количество общеобразовательных организаций, в которых проведена реконструкция с вводом мест: 2019-2020 г. - 1/400</t>
  </si>
  <si>
    <t>1.1.2.1</t>
  </si>
  <si>
    <t>Разработка проектно-сметной документации по объекту "Реконструкция МБОУ СОШ № 4 по адресу: г.Тимашевск, микрорайон Сахарный завод с увеличением вместимости и выделением блока начального образования                 на 400 мест (II этап. Блок начального образования на 400 мест)</t>
  </si>
  <si>
    <t>Количество разработанных ПСД: 2019 г. - 1 шт., 2020- 1, 2021 г. -1.</t>
  </si>
  <si>
    <t>1.1.2.2</t>
  </si>
  <si>
    <t>Разработка проектно-сметной документации для строительства школы на 825 мест в ст. Медведовская</t>
  </si>
  <si>
    <t>Осуществление технологического присоединения энергопринимающих устройств  и тепловым сетям для эксплуатации объектов учреждений и организаций образования</t>
  </si>
  <si>
    <t>Количество присоединенных энергопринимающих устройств:                                2019-2020 г. - 1 шт.</t>
  </si>
  <si>
    <t>1.1.4</t>
  </si>
  <si>
    <t>Авторский надзор</t>
  </si>
  <si>
    <t>Количество объектов проверенных авторским надзором - 1 шт.2020 год</t>
  </si>
  <si>
    <t>1.1.5.</t>
  </si>
  <si>
    <t>Реконструкция МАОУ СОШ № 11по адресу: г. Тимашевск, ул. Степанова,170А</t>
  </si>
  <si>
    <t>Количество общеобразовательных организаций, в которых проведена реконструкция с вводом мест: 2021-2022-1</t>
  </si>
  <si>
    <t>Предоставление субсидий муниципальным образовательным организациям, оказывающим муниципальные услуги по предоставолению общеобразовательных программ начального общего, основного общего и среднего общего образования на:</t>
  </si>
  <si>
    <t>1.2.1</t>
  </si>
  <si>
    <t xml:space="preserve">Финансовое обеспечение выполнения муниципального задания на оказание муниципальных услуг на предоставление начального общего, основного общего, среднего общего образования в муниципальных общеобразовательных организациях образования </t>
  </si>
  <si>
    <t xml:space="preserve">Ежегодно 100 % выполнение муниципального задания, количество учащихся в 2018 г. не менее 12646 чел., в 2019 г. не менее 12690 чел., в 2020- 2024г. г. не менее 12630 чел. </t>
  </si>
  <si>
    <t>1.2.2</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</si>
  <si>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общеобразовательных организаций, проживающим и работающим в сельской местности, рабочих поселках (поселках городского типа) Краснодарского края</t>
  </si>
  <si>
    <t>Ежегодно  количество педагогов,  получателей мер социальнй поддержки в виде  компенсации                                                                                                                                                          2018- 2019 г. - 747 чел.,                                                                                                               2020- 2023 г.- 709 чел.</t>
  </si>
  <si>
    <t>1.2.3</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</si>
  <si>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</si>
  <si>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Федеральный бюджет</t>
  </si>
  <si>
    <t>Количество педагогов, получающих выплату 2020 г. не менее 500 чел., 2021 г. не менее 501, 2022- 2023 год не менее 504 чел.</t>
  </si>
  <si>
    <t>Строительство универсальных спортивных залов на территориях муниципальных общеобразовательных организациях, в том числе:</t>
  </si>
  <si>
    <t xml:space="preserve">Количество построеных универсальных спортивных залов  на территории школ, в том числе с разработка ПСД, экспертиза стоимости ПСД и т.п.                               2018 г. (МБОУ ООШ                             № 21) -  1;                          2019 - (МБОУ ООШ                         № 21) - 1; 2020 г. -1                                                                            </t>
  </si>
  <si>
    <t>Строительство универсальных спортивных залов путем строительства и (или) реконструкции зданий и сооружений муниципальных образовательных организаций</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</si>
  <si>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общеобразовательным,а также по организации предоставления дополнительного образования детям, за исключением дополнительного образования детей, финансовое обеспечение которого осуществляется органами государственной власти Краснодарского края, в муниципальных образовательных организациях (создание универсальных спортивных залов путем строительства и (или) реконструкции зданий и сооружений  муниципальных образовательных организаций ) </t>
  </si>
  <si>
    <t>Технологическое присоединение энергопринимающих устройств заявителя "Электроустановки земельного участка - для объектов образовательного назначения"</t>
  </si>
  <si>
    <t xml:space="preserve">Кол-во электроустановок земельного участка: 2019- 1;           </t>
  </si>
  <si>
    <t>1.3.4</t>
  </si>
  <si>
    <t>Строительство универсального спортивного зала на территории МБОУ ООШ № 21</t>
  </si>
  <si>
    <t>Модернизация муниципальной системы общего образования</t>
  </si>
  <si>
    <t>Предоставление субсидий муниципальным организациям образования на проведение капитального ремонта спортивных залов муниципальных общеобразовательных организаций, помещений при них, других помещений физкультурно-спортивного назначения, физкультурно-оздоровительных комплексов (в рамках софинансирования)</t>
  </si>
  <si>
    <t>Количество спортивных залов, расположенных в г. Тимашевске, которые подготовлены к  проведению капитального и текущего ремонта: 2018 г. - 1 Количество отремонтированных спортивных залов:                          2019 г. - 2</t>
  </si>
  <si>
    <t>2.2</t>
  </si>
  <si>
    <t>Капитальный ремонт спортивных залов муниципальных общеобразовательных организаций, расположенных в сельской местности, в том числе устройство в них пожарной сигнализации и изготовление проектно-сметной документации                              (в рамках софинансирования)</t>
  </si>
  <si>
    <t xml:space="preserve">Количество спортивных залов, расположенных в сельской местности, которые подготовлены к проведению капитального и текущего ремонта:   2018 -1;               </t>
  </si>
  <si>
    <t>2.3</t>
  </si>
  <si>
    <t>Предоставление субсидий муниципальным  организациям образования, учреждениям, установленных в соответствии с федеральным законодательством, возникающих в связи с участием в организации и проведении государственной (итоговой) аттестации выпускников общеобразовательных организаций муниципального образования Тимашевский район</t>
  </si>
  <si>
    <t>100 % обеспеченность школ (пунктов) проведения ОГЭ и ЕГЭ оргтехникой (принтер, ксерокс,видеозаписывающая аппаратура), компьютерной техни-кой, телевизорами(экра-нами), комплектующими и т.д, рециркуляторами, монтаж видеонаблюдения,  компенсация педагогическим работ-никам, участвующим в проведение ЕГЭ , командировочные расходы</t>
  </si>
  <si>
    <t>2.4</t>
  </si>
  <si>
    <t>Предоставление субсидий муниципальным бюджетным организациям образования на приобретение автобусов и микроавтобусов  для образовательных организаций  (в рамках софинансирования)</t>
  </si>
  <si>
    <t xml:space="preserve">Количество приобретенных  автобусов для общеобразовательных организаций: 2018 г. -                6  шт.; 2019 г. -8 шт.                 </t>
  </si>
  <si>
    <t>2.4.1</t>
  </si>
  <si>
    <t>Предоставление субсидий муниципальным бюджетным организациям образования на приобретение автобусов и микроавтобусов</t>
  </si>
  <si>
    <t>2.4.2</t>
  </si>
  <si>
    <t xml:space="preserve">Предоставление субсидий муниципальным бюджетным организациям образования на приобретение автобусов и микроавтобусов  для образовательных организаций  </t>
  </si>
  <si>
    <t>2.4.3</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</si>
  <si>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 приобретение автобусов и микроавтобусов для обеспечения подвоза учащихся) в рамках  реализации  мероприятий регионального проекта Краснодарского края "Безопасность дорожного движения"  </t>
  </si>
  <si>
    <t xml:space="preserve">Количество приобретенных  автобусов для общеобразовательных организаций:                                2020 г. - 2; 2021 год- 1.           </t>
  </si>
  <si>
    <t>2.5</t>
  </si>
  <si>
    <t>Капитальный и текущий ремонт  общеобразовательных организаций, в том числе:</t>
  </si>
  <si>
    <t>Количество школ, в которых проведен текущий и капитальный ремонты и улучшена материально-техническая база:                             2018 г. - 10 учреждений (СОШ № 1, 15,6, 14, 21, 2,13,10,12,5);                      2019 г. - 12 учреждений (СОШ № 9, 12, 14, 15, 18,7,13,16,19, 10,2,6);    2020 г.-. 7 учреждения МБОУ СОШ 1,10,14,18, МАОУ СОШ 11, 12,9); 2021 г.12 -уч.(МБОУ СОШ 2, 5, 7, 6, 9, 15, 12, 14, 16, 3, 1, 2)</t>
  </si>
  <si>
    <t>2.5.1</t>
  </si>
  <si>
    <t>2.5.2</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</si>
  <si>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 </t>
  </si>
  <si>
    <t>2.5.3</t>
  </si>
  <si>
    <t>Дополнительная финансовую помощь для решения социально значимых вопросов местного значения (капитальный и текущий ремонт, благоустройство территории, материально-техническое обеспечение общеобразовательных организаций)</t>
  </si>
  <si>
    <t>2.5.4</t>
  </si>
  <si>
    <t>Капитальный и текущий ремонт  общеобразовательных организаций, в том числе устройство в них автоматической пожарной сигнализации, изготовление проектно-сметной документации</t>
  </si>
  <si>
    <t>2.6</t>
  </si>
  <si>
    <t>Изготовление технического плана спортивно-игровой площадки</t>
  </si>
  <si>
    <t>Количество изготовленных технических планов спортивно-игровых площадок: 2018 г. -                                     4 шт. (МБОУ СОШ № 3, 7, 15, 10), 2020 -1 шт. (МБОУСОШ №13)</t>
  </si>
  <si>
    <t>2.7</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</si>
  <si>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для создания новых мест в общеобразовательных организациях  (капитальный ремонт зданий и сооружений образовательных организаций) </t>
  </si>
  <si>
    <t>Количество введеных новых мест после капитального ремонта зданий  и сооружений школ : 2018 г. - 60  (МБОУ СОШ № 16);       2020 г. -46 (МБОУ СОШ №5); 2021 г. - 0.</t>
  </si>
  <si>
    <t>2.8</t>
  </si>
  <si>
    <t xml:space="preserve">Обеспечение непредвиденных расходов по организации предоставления общедоступного и бесплатного начального общего,основного общего, среднего общего образования по основным общеобразовательным программам в муниципальных образовательных организациях, созданию условий для осуществления содержания детей  муниципальных образовательных организациях на софинансирование мероприятий в части оснащения муниципальных общеобразовательных организаций оборудованием для обеззараживания воздуха, предназначенным для работы в присутствии людей </t>
  </si>
  <si>
    <t>Оснащение помещений муниципальных организаций оборудованием для обеззараживания воздуха 2020 г. не менее 30% от общего числа помещений</t>
  </si>
  <si>
    <t>3</t>
  </si>
  <si>
    <t>Создание условий для проведения мероприятий в сфере  общего образования</t>
  </si>
  <si>
    <t>3.1</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</si>
  <si>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t>
  </si>
  <si>
    <t>Количество приобретеных класс-комплекты (оборудование) для вновь созданных мест: 2018 г. - не менее 3;         2020 г.- не менее 3</t>
  </si>
  <si>
    <t>3.2</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</si>
  <si>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(приобретение движимого имущества для оснащения  муниципальных общеобразовательных организаций, в том числе приобретение оборудования для пищеблоков, музеев  и т.д.) </t>
  </si>
  <si>
    <t>Количество  школ, в которых приобретено оборудование: 2020 г- 1 (МБОУ СОШ № 10); 2021 г.- 3 (МБОУ СОШ № 2,1,13)</t>
  </si>
  <si>
    <t>3.3</t>
  </si>
  <si>
    <t>Создание условий для оказания первичной медико-санитарной помощи обучающимся в муниципальных образовательных организациях посредством предоставления помещений, соответствующих условиям и требованиям для оказания указанной помощи (в рамках софинансирования)</t>
  </si>
  <si>
    <t>Количество помещений, соответствующих  условиям и требованиям для оказания медико-санитарной помощи:                                                                    2018 г. - 3</t>
  </si>
  <si>
    <t>3.4</t>
  </si>
  <si>
    <t>Предоставление 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рамках реализации мероприятий регионального проекта Краснодарского края «Современная школа», в том числе:</t>
  </si>
  <si>
    <t>3.4.1</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</si>
  <si>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расположенных в сельской местности и малых городах (создание (обновление) материально-технической базы для реалиализации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реализации мероприятий федерального проекта "Современная школа"</t>
  </si>
  <si>
    <t xml:space="preserve">Количество учреждений, в которых обновлена материально-техническая база для формирования современных технологических и гуманитарных навыков: 2019 г. - 4 учр;  </t>
  </si>
  <si>
    <t>3.4.2</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</si>
  <si>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рамках реализации мероприятий регионального проекта Краснодарского края "Современная школа"( обновление материально-технической базы для формирования у обучающихся современных навыков по предметной области «Технология» и других предметных областей)                                                       
</t>
  </si>
  <si>
    <t>Количество учреждений, в которых обновлена материально-техническая база для формирования современных навыков по предметной области «Технология» и других предметных областей:        2019 г. - 4 учр.;                                  2020 г.-2 учр.</t>
  </si>
  <si>
    <t>3.5</t>
  </si>
  <si>
    <t>Внедрение целевой модели цифровой образовательной среды в образовательных организациях в рамках регионального проекта "Цифровая образовательная среда"</t>
  </si>
  <si>
    <t>Внебюджетные средства</t>
  </si>
  <si>
    <t>Количество организаций, в которых внедрена целевая модель цифровой образовательной среды:                                                                                                                                                           2020- 5 (МБОУ СОШ 1, 4, 5,18, МАОУ СОШ № 11)</t>
  </si>
  <si>
    <t>3.6</t>
  </si>
  <si>
    <t xml:space="preserve">Предоставление субсидии муниципальным образовательным организациям на создание условий для укрепления здоровья детей  за счет обеспечения их сбалансированным горячим питанием (частичную компенсацию удорожания стоимости питания учащихся дневных муниципальных образовательных организаций, реализующих общеобразовательные программы, из расчета 6,0 рублей в день на одного обучающегося) </t>
  </si>
  <si>
    <t>Ежегодно обеспеченность  сбалансированным горячим питанием  учащихся с охватом не менее  98 %</t>
  </si>
  <si>
    <t>3.7</t>
  </si>
  <si>
    <t>Предоставление субсидии на осуществление отдельных государственных полномочий по обеспечению льготного питания учащихся из многодетных семей муниципальным общеобразовательным организациям</t>
  </si>
  <si>
    <t>Ежегодно обеспеченность учащихся из многодетных семей льготным питанием с охватом - 100 %</t>
  </si>
  <si>
    <t>3.8</t>
  </si>
  <si>
    <t>Предоставление субсидии муниципальным образовательным организациям на 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организаций из расчета 1 раз в неделю на одного обучающегося дневных муниципальных образовательных организаций</t>
  </si>
  <si>
    <t>Ежегодно обеспеченность  учащихся дополнительным питанием (молоком) с охватом не менее                     100 %</t>
  </si>
  <si>
    <t>3.9</t>
  </si>
  <si>
    <t>Предоставление субсидии муниципальным образовательным организациям на обеспечение бесплатного двухразового питания обучающихся с ограниченными возможностями здоровья</t>
  </si>
  <si>
    <t>Обеспеченность учащихся с ОВЗ двухразовым питанием 100% с 2020 по 2024 гг.</t>
  </si>
  <si>
    <t>3.10</t>
  </si>
  <si>
    <t>Предоставление субсидий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</si>
  <si>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Обеспеченность учащихся 1-4 классов бесплатным горячим питанием с 2020 по 2024 годы- 100 % </t>
  </si>
  <si>
    <t>3.10.1</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</si>
  <si>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 (оплата услуги по организации горячего питания)</t>
  </si>
  <si>
    <t>3.11</t>
  </si>
  <si>
    <t>Организация и проведение прочих мероприятий в сфере общего образования, в том числе:</t>
  </si>
  <si>
    <t>3.11.1</t>
  </si>
  <si>
    <t>Количество одаренных детей, участвующих в приеме 2019 г. - 70 чел. 2020 г. - 2024 г. - 20 чел.</t>
  </si>
  <si>
    <t>3.11.2</t>
  </si>
  <si>
    <t>Организация и проведение районных и краевых конкурсов, мероприятий, праздников для учащихся и работников образовательных организаций:«Бал выпускников», «Губернаторский бал», «День учителя», «Парад первоклассников»,  «Юные инспекторы движения»  и другие</t>
  </si>
  <si>
    <t>Ежегодное количество проведенных районных  и краевых мероприятий - не менее 4</t>
  </si>
  <si>
    <t>3.11.3</t>
  </si>
  <si>
    <t xml:space="preserve">Охват  юношей призывного возраста в учебных сборах:                2018 г. - 68 %,                   2019 г. - 70 %,                          2020 г. - 0 %,                       2021 г. -7 2%,                                                      2022 г. -2024 г. -73 %.                                                                                                                                                                                                                                                                                                                                              </t>
  </si>
  <si>
    <t>3.11.4</t>
  </si>
  <si>
    <t>Ежегодно проведение не менее 44 экскурсий, в том числе с посещением музеев</t>
  </si>
  <si>
    <t>3.11.5</t>
  </si>
  <si>
    <t>Проведение районных и краевых конкурсов, праздников для обучающихся работниками образовательных организаций дополнительного образования: «День защиты детей», «Сердце отдаю детям», «Новогоднее представление»  и другие</t>
  </si>
  <si>
    <t>Количество районных и краевых конкурсов и праздников, проведенных для учащихся работниками дополнительного образования: 2018 год  по  3, 2019-2024 годы                     по 2 мероприятия</t>
  </si>
  <si>
    <t>3.12</t>
  </si>
  <si>
    <t xml:space="preserve">Количество трудоустроенных несовершеннолетних                                                                                                                                                                                                                                                                от 14 до 18 лет в                                                                                                                                                                       2021 г.- не менее                                                                                                                       400 чел. </t>
  </si>
  <si>
    <t>Создание в системе дополнительного образования равных возможностей для современного качественного образования и позитивной социализации детей</t>
  </si>
  <si>
    <t>1</t>
  </si>
  <si>
    <t xml:space="preserve"> Создание условий для обучения детей в организациях дополнительного образования </t>
  </si>
  <si>
    <t>Предоставление субсидий муниципальным образовательным организациям, оказывающим муниципальные услуги по предоставлению образовательных программ дополнительного образования на:</t>
  </si>
  <si>
    <t>Финансовое обеспечение выполнения муниципального задания на оказание муниципальных услуг  на предоставление образовательных программ дополнительного образования в организациях общей направленности</t>
  </si>
  <si>
    <t>Финансовое обеспечение выполнения муниципального задания на оказание муниципальных услуг  на предоставление образовательных программ дополнительного образования в организациях дополнительного образования спортивной направленности</t>
  </si>
  <si>
    <t>Ежегодно 100 % выполнение муниципального задания, количество воспитанников ОДОД не менее                                               1465 воспитанников</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</si>
  <si>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дополнительного образования, проживающим и работающим в сельской местности, рабочих поселках (поселках городского типа) Краснодарского края</t>
  </si>
  <si>
    <t xml:space="preserve">Ежегодно количество получателей компенсации                         не менее 50 2018- 2019 - 50 чел.; 2020- 2023 - 46 чел. </t>
  </si>
  <si>
    <t>Капитальный, текущий ремонт и материально-техническое обеспечение образовательных организаций дополнительного образования</t>
  </si>
  <si>
    <t xml:space="preserve"> Количество учреждений, в которых проведен капитальный и текущий ремонт:2018- 1; 2020 г. - 1</t>
  </si>
  <si>
    <t>Проведение обучающих семинаров, конференций в целях создания условий для использования ресурсов конкурентного негосударственного сектора в предоставлении услуг дополнительного образования (без финансирования)</t>
  </si>
  <si>
    <t>Ежегодно проведены не менее  4 семинаров,                                                                   2 конференций</t>
  </si>
  <si>
    <t>Создание условий для проведения мероприятий в сфере дополнительного образования</t>
  </si>
  <si>
    <t xml:space="preserve">Предоставление субсидии на участие тренеров-преподавателей,  учащихся и лиц их сопровождающих МБУДО ДЮСШ в районных, краевых, всероссийских и международ-
ных соревнованиях и турнирах, по культивируемым ими видам спорта, а также в мероприятиях спортивной направленности
</t>
  </si>
  <si>
    <t>Ежегодно количество участников спортивных  соревнований различного уровня не менее 30 тренеров и 1465 учащихся .</t>
  </si>
  <si>
    <t>Предоставление субсидии на ежемесячные выплаты отдельным категориям работников муниципальных физкультурно-спортивных организаций, осуществляющих подготовку спортивного резерва, и образовательных учреждений дополнительного образования детей Краснодарского края отрасли «Образование»</t>
  </si>
  <si>
    <t xml:space="preserve">Ежегодно количество получателей  ежемесячной выплаты  за подготовку учащихся - спортивного резерва Краснодарского края не менее 2 чел. </t>
  </si>
  <si>
    <t>Организация предоставления дополнительного образования детям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Краснодарского края (проведение медицинских осмотров лиц, занимающихся физической культурой и спортом по углубленной программе медицинского обследования)                                                     (в рамках софинансирования)</t>
  </si>
  <si>
    <t xml:space="preserve">всего </t>
  </si>
  <si>
    <t>Количество учащихся, прошедших медицинский осмотр в 2019 году-                           1 112 чел.</t>
  </si>
  <si>
    <t xml:space="preserve">Достижение современного качества  образования  адекватного  меняющимся запросам общества и социально-экономическим условиям
</t>
  </si>
  <si>
    <t xml:space="preserve">Задача </t>
  </si>
  <si>
    <t>Обеспечение деятельности подведомственных учреждений, обеспечивающих предоставление иных услуг в сфере образования</t>
  </si>
  <si>
    <t>Финансовое обеспечение деятельности казенного учреждения по организации и осуществлению бухгалтерского учета</t>
  </si>
  <si>
    <t>1.5</t>
  </si>
  <si>
    <t>Финансовое обеспечение деятельности управления образования администрации муниципального образования Тимашевский район</t>
  </si>
  <si>
    <t>4.1</t>
  </si>
  <si>
    <t>Увеличение охвата детей различными формами отдыха и оздоровления за счет привлечения муниципальных и немуниципальных субъектов конкурентного рынка сферы отдыха и оздоровления</t>
  </si>
  <si>
    <t>Совершенствование системы организации детского оздоровительного отдыха в Тимашевском районе</t>
  </si>
  <si>
    <t xml:space="preserve">Предоставление субсидии  муниципальным  учреждения подведомственных управлению образования на организацию отдыха, оздоровления  и занятость детей (в том числе детей состоящих на различных   видах учетах, победителей творческих конкурсов) в краевых и районных лагерях, многодневных походах, экспедициях, экскурсиях, посещение спектаклей, мероприятий, праздников и прочее,  из них:                                                                                                                                                                                                                                                                                                                                                                                                                                                                                                                                                                                                                                                                                                                                                                                                                                                                                                                                                                                                                                                                                                                                                                                                                                                                                                                                                                                                                                                                                                                                                                                                                                                                                                                                                                                                                            </t>
  </si>
  <si>
    <t>Мероприятия по организации отдыха детей в каникулярное время на базе муниципальных учреждений, осуществляющих организацию отдыха детей , в том числе:</t>
  </si>
  <si>
    <t>Охват оздоровлением на базе МБУ ЗСЛОО «Золотой колос» 2018 г. - не менее 400 чел.</t>
  </si>
  <si>
    <t>Мероприятия по организации отдыха детей в каникулярное время на базе муниципальных учреждений, осуществляющих организацию отдыха детей                                                               (в рамках софинансирования)</t>
  </si>
  <si>
    <t xml:space="preserve">Мероприятия по 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 в том числе: </t>
  </si>
  <si>
    <t xml:space="preserve">Охват  оздоровлением  на базе организаций в которых функционируют лагеря с дневным пребыванием :             2018 г. - 1500 чел.,                                  2019 г. - 1550 чел.,                                          2021 г. - 1550 чел.,             2022 г. - 1500 чел, 2023 г. - 1500 чел.                   </t>
  </si>
  <si>
    <t>Мероприятия по 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 (в рамках софинансирования)</t>
  </si>
  <si>
    <t xml:space="preserve">Мероприятия по организации отдыха детей в каникулярное время на базе оздоровительных учреждений, расположенных на территории Краснодарского края </t>
  </si>
  <si>
    <t>Охват оздоровлением в краевых профильных сменах в 2018 г.  не менее 5 чел.</t>
  </si>
  <si>
    <t xml:space="preserve">Участие в краевых и районных лагерях,  экспедициях, экскурсиях, организация поездок по Краснодарскому краю и за его пределы, посещение спектаклей, мероприятий, праздников и прочее в каникулярное время                                                      </t>
  </si>
  <si>
    <t>Ежегодно охват различными видами  отдыха и оздоровления не менее 100% от общего количества учащихся</t>
  </si>
  <si>
    <t>Предоставление субсидии  учреждению на организацию отдыха, оздоровления детей-учащихся детско-юношеской спортивной школы   г.Тимашевска</t>
  </si>
  <si>
    <t>Ежегодно охват различными видами  отдыха и оздоровления  детей-учащихся ДЮСШ не менее 100 % от общего количества</t>
  </si>
  <si>
    <t xml:space="preserve">Организация подвоза детей к местам отдыха и обратно в каникулярное время, в том числе приобретение горюче-смазочных материалов  </t>
  </si>
  <si>
    <t>Ежегодно подвезено детей к местам отдыха не менее               380 чел., 2020 -0 чел.</t>
  </si>
  <si>
    <t>Предоставление субсидии муниципальному бюджетному учреждению на организацию подвоза спортсменов  к местам отдыха и обратно в каникулярное время, в том числе приобретение горюче-смазочных материалов</t>
  </si>
  <si>
    <t>Ежегодно подвезено спортсменов к местам отдыха не менее                                        80 чел., 2020- 0 чел.</t>
  </si>
  <si>
    <t>Создание туристических маршрутов по территории Тимашевского района с привлечением  ресурсов конкурентного негосударственного сектора в предоставлении услуг отдыха и оздоровления (без финансирования)</t>
  </si>
  <si>
    <t xml:space="preserve">Организовано походов:                     2018 г. - 5, 2019 г. - 7,                 2021- 2024 г.г. - 9 </t>
  </si>
  <si>
    <t>Совершенствование организации детского оздоровительного отдыха в загородном лагере</t>
  </si>
  <si>
    <t>Охват оздоровлением на базе МБУ ЗСЛОО «Золотой колос» 2019 г. -  400 чел., 2020 г. - 0 чел., 2021 г. - 200 чел., 2022  г. - 2024 г. - 400 чел.</t>
  </si>
  <si>
    <t>Мероприятия по организации отдыха детей в каникулярное время на базе муниципальных учреждений, осуществляющих организацию отдыха детей                                                                   (в рамках софинансирования)</t>
  </si>
  <si>
    <t xml:space="preserve">Всего </t>
  </si>
  <si>
    <t>5.1</t>
  </si>
  <si>
    <t>Внебюджетные источники</t>
  </si>
  <si>
    <t>Краевой  бюджет</t>
  </si>
  <si>
    <t>Подпрограмма «Развитие системы дошкольного образовани</t>
  </si>
  <si>
    <t>Подпрограмма  «Развитие начального общего, основного общего, среднего общего образования»</t>
  </si>
  <si>
    <t>Подпрограмма  «Развитие системы дополнительного образования детей»</t>
  </si>
  <si>
    <t>Подпрограмма «Организация отдыха учащихся образовательных организаций в каникулярное время»</t>
  </si>
  <si>
    <t>ИТОГО по программе</t>
  </si>
  <si>
    <t xml:space="preserve">ПЕРЕЧЕНЬ                                                                                                                                                                                                                                                                                                                                                                                                                                                                                                                                        основных мероприятий муниципальной программы «Развитие  образования» </t>
  </si>
  <si>
    <t>Примечание</t>
  </si>
  <si>
    <t xml:space="preserve"> Подпрограмма  «Обеспечение деятельности прочих учреждений, относящихся к системе образования»</t>
  </si>
  <si>
    <t xml:space="preserve">Финансовое обеспечение выполнения муниципального задания по оказанию  муниципальной услуги  по организации отдыха детей </t>
  </si>
  <si>
    <t>Финансовое обеспечение выполнения муниципального задания на оказание  муниципальный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t>
  </si>
  <si>
    <t>Финансовое обеспечение выполнения муниципального задания на оказание  муниципальной услуги (финансовое обеспечение казенного учреждения)  - на методическую поддержку педагогических работников образовательных учреждений</t>
  </si>
  <si>
    <t>Организация целевого обучения граждан в муниципальном образовании Тимашевский район</t>
  </si>
  <si>
    <t>Источники финансирования</t>
  </si>
  <si>
    <t>тыс. руб.</t>
  </si>
  <si>
    <t>7</t>
  </si>
  <si>
    <t>Предоставление субсидии муниципальным бюджетным и автономным образовательным организациям на осуществление единовременной выплаты молодым педагогам</t>
  </si>
  <si>
    <t>8</t>
  </si>
  <si>
    <t>Предоставление субсидии муниципальным бюджетным и автономным образовательным организациям на осуществление единовременной выплаты педагогическим работникам муниципальных организаций, находящихся в ведении управления образования</t>
  </si>
  <si>
    <t xml:space="preserve"> </t>
  </si>
  <si>
    <t>бюджетные средства не предусмотрены</t>
  </si>
  <si>
    <r>
      <t xml:space="preserve">Ежегодно количество получателей компенсации части родительской платы:  2018г. -5487 чел.;        2019 г. - 4647 чел.;        </t>
    </r>
    <r>
      <rPr>
        <sz val="18"/>
        <rFont val="Times New Roman"/>
        <family val="1"/>
        <charset val="204"/>
      </rPr>
      <t xml:space="preserve">2020 г. - 4106 чел.; </t>
    </r>
    <r>
      <rPr>
        <sz val="18"/>
        <color indexed="8"/>
        <rFont val="Times New Roman"/>
        <family val="1"/>
        <charset val="204"/>
      </rPr>
      <t xml:space="preserve">            2021 г.- 5487 чел.,               2022 г. - 5487 чел,                                                                                                                                                                                                                                                                                                                             2023 г. - 5487 чел.           </t>
    </r>
  </si>
  <si>
    <r>
      <t xml:space="preserve">Количество учреждений,в которых проведен капитальный ремонт, текущий ремонт, улучшена материально-техническая база в дошкольных организациях                                                                                                                2018 г. - 9 учр.,                                                                                                                                                                                                                                                                                                                                          2019 г. - 12 учр.,                                                                                                                                                                                                                                                                                                                                      </t>
    </r>
    <r>
      <rPr>
        <sz val="18"/>
        <rFont val="Times New Roman"/>
        <family val="1"/>
        <charset val="204"/>
      </rPr>
      <t>2020 г. - 12 учр.,        2021г. - 5 учр.</t>
    </r>
  </si>
  <si>
    <r>
      <t xml:space="preserve">Ежегодно 100 % выполнение муниципального задания, количество воспитанников ОДОД общей направленности:                   2018 г. - 5790 чел.,                                                                      </t>
    </r>
    <r>
      <rPr>
        <sz val="18"/>
        <rFont val="Times New Roman"/>
        <family val="1"/>
        <charset val="204"/>
      </rPr>
      <t>2019 г. 7535 чел.,</t>
    </r>
    <r>
      <rPr>
        <sz val="18"/>
        <color indexed="8"/>
        <rFont val="Times New Roman"/>
        <family val="1"/>
        <charset val="204"/>
      </rPr>
      <t xml:space="preserve">                                                                                                                                                                                                                                                                                                                                              2020 г. - 6800 чел.,                                                                                                                                                                                                                                                                                                                                   2021 г. -5800 чел.,                                                                                                                                                                                                                                                                                                                                       2022 г.- 5800 чел,                                                                                                                                                                                                                                                                                                                                     2023 - 5800 чел.,                                                                                                       2024г. - 5800 чел.</t>
    </r>
  </si>
  <si>
    <t xml:space="preserve">                                                                               ».</t>
  </si>
  <si>
    <t>Обеспечение функционирования модели персонифицированного финансирования дополнительного образования детей</t>
  </si>
  <si>
    <t xml:space="preserve">Е.И. Мальченко
</t>
  </si>
  <si>
    <t xml:space="preserve">
Первый заместитель главы 
муниципального образования 
Тимашевский район                                                                                                                                                                                                    
</t>
  </si>
  <si>
    <t>2025 г.</t>
  </si>
  <si>
    <t>ч</t>
  </si>
  <si>
    <r>
      <t>Приложение № 2
к постановлению администрации 
муниципального образования 
Тимашевский район
от________________№_______</t>
    </r>
    <r>
      <rPr>
        <sz val="17"/>
        <color theme="0"/>
        <rFont val="Times New Roman"/>
        <family val="1"/>
        <charset val="204"/>
      </rPr>
      <t xml:space="preserve">аааааааааааааааааааааааа                                  </t>
    </r>
    <r>
      <rPr>
        <sz val="17"/>
        <color theme="1"/>
        <rFont val="Times New Roman"/>
        <family val="1"/>
        <charset val="204"/>
      </rPr>
      <t xml:space="preserve">                          
«Приложение № 2
к муниципальной программе
муниципального образования   
Тимашевский район  
«Развитие образования»
(в редакции постановления
администрации  муниципального 
образования Тимашевский район       
от _____________№_________)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</si>
</sst>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4" x14ac:knownFonts="1">
    <font>
      <sz val="11"/>
      <color theme="1"/>
      <name val="Calibri"/>
      <family val="2"/>
      <charset val="204"/>
      <scheme val="minor"/>
    </font>
    <font>
      <b/>
      <sz val="14"/>
      <color indexed="8"/>
      <name val="Times New Roman"/>
      <family val="1"/>
      <charset val="204"/>
    </font>
    <font>
      <sz val="14"/>
      <color indexed="8"/>
      <name val="Times New Roman"/>
      <family val="1"/>
      <charset val="204"/>
    </font>
    <font>
      <sz val="14"/>
      <color indexed="8"/>
      <name val="Times New Roman"/>
      <family val="1"/>
      <charset val="204"/>
    </font>
    <font>
      <sz val="16"/>
      <color indexed="8"/>
      <name val="Times New Roman"/>
      <family val="1"/>
      <charset val="204"/>
    </font>
    <font>
      <sz val="8"/>
      <name val="Calibri"/>
      <family val="2"/>
      <charset val="204"/>
    </font>
    <font>
      <b/>
      <sz val="18"/>
      <color indexed="8"/>
      <name val="Times New Roman"/>
      <family val="1"/>
      <charset val="204"/>
    </font>
    <font>
      <sz val="18"/>
      <color indexed="8"/>
      <name val="Times New Roman"/>
      <family val="1"/>
      <charset val="204"/>
    </font>
    <font>
      <sz val="16"/>
      <color theme="1"/>
      <name val="Times New Roman"/>
      <family val="1"/>
      <charset val="204"/>
    </font>
    <font>
      <sz val="16"/>
      <color theme="1"/>
      <name val="Calibri"/>
      <family val="2"/>
      <charset val="204"/>
      <scheme val="minor"/>
    </font>
    <font>
      <sz val="16"/>
      <name val="Times New Roman"/>
      <family val="1"/>
      <charset val="204"/>
    </font>
    <font>
      <sz val="16"/>
      <color theme="0"/>
      <name val="Calibri"/>
      <family val="2"/>
      <charset val="204"/>
      <scheme val="minor"/>
    </font>
    <font>
      <sz val="18"/>
      <color theme="0"/>
      <name val="Times New Roman"/>
      <family val="1"/>
      <charset val="204"/>
    </font>
    <font>
      <sz val="18"/>
      <name val="Times New Roman"/>
      <family val="1"/>
      <charset val="204"/>
    </font>
    <font>
      <b/>
      <sz val="16"/>
      <color indexed="8"/>
      <name val="Times New Roman"/>
      <family val="1"/>
      <charset val="204"/>
    </font>
    <font>
      <sz val="18"/>
      <color theme="1"/>
      <name val="Times New Roman"/>
      <family val="1"/>
      <charset val="204"/>
    </font>
    <font>
      <sz val="17"/>
      <color theme="1"/>
      <name val="Times New Roman"/>
      <family val="1"/>
      <charset val="204"/>
    </font>
    <font>
      <sz val="17"/>
      <color theme="0"/>
      <name val="Times New Roman"/>
      <family val="1"/>
      <charset val="204"/>
    </font>
    <font>
      <sz val="18"/>
      <color theme="1"/>
      <name val="Calibri"/>
      <family val="2"/>
      <charset val="204"/>
      <scheme val="minor"/>
    </font>
    <font>
      <b/>
      <sz val="18"/>
      <color theme="1"/>
      <name val="Times New Roman"/>
      <family val="1"/>
      <charset val="204"/>
    </font>
    <font>
      <sz val="18"/>
      <color indexed="8"/>
      <name val="Calibri"/>
      <family val="2"/>
      <charset val="204"/>
    </font>
    <font>
      <sz val="18"/>
      <name val="Calibri"/>
      <family val="2"/>
      <charset val="204"/>
      <scheme val="minor"/>
    </font>
    <font>
      <sz val="20"/>
      <color theme="1"/>
      <name val="Times New Roman"/>
      <family val="1"/>
      <charset val="204"/>
    </font>
    <font>
      <sz val="16"/>
      <color rgb="FF00000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30">
    <xf numFmtId="0" fontId="0" fillId="0" borderId="0" xfId="0"/>
    <xf numFmtId="0" fontId="0" fillId="0" borderId="0" xfId="0" applyAlignment="1">
      <alignment wrapText="1"/>
    </xf>
    <xf numFmtId="0" fontId="2" fillId="0" borderId="1" xfId="0" applyFont="1" applyBorder="1" applyAlignment="1">
      <alignment vertical="top" wrapText="1"/>
    </xf>
    <xf numFmtId="0" fontId="2" fillId="0" borderId="2" xfId="0" applyFont="1" applyBorder="1" applyAlignment="1">
      <alignment vertical="top" wrapText="1"/>
    </xf>
    <xf numFmtId="0" fontId="3" fillId="0" borderId="0" xfId="0" applyFont="1"/>
    <xf numFmtId="0" fontId="2" fillId="0" borderId="3" xfId="0" applyFont="1" applyBorder="1" applyAlignment="1">
      <alignment wrapText="1"/>
    </xf>
    <xf numFmtId="0" fontId="2" fillId="0" borderId="3" xfId="0" applyFont="1" applyBorder="1" applyAlignment="1">
      <alignment vertical="top" wrapText="1"/>
    </xf>
    <xf numFmtId="164" fontId="2" fillId="0" borderId="3" xfId="0" applyNumberFormat="1" applyFont="1" applyBorder="1" applyAlignment="1">
      <alignment vertical="center" wrapText="1"/>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1" fillId="0" borderId="3" xfId="0" applyFont="1" applyBorder="1" applyAlignment="1">
      <alignment vertical="top" wrapText="1"/>
    </xf>
    <xf numFmtId="164" fontId="1" fillId="0" borderId="3" xfId="0" applyNumberFormat="1" applyFont="1" applyBorder="1" applyAlignment="1">
      <alignment vertical="center" wrapText="1"/>
    </xf>
    <xf numFmtId="0" fontId="2" fillId="0" borderId="1" xfId="0" applyFont="1" applyBorder="1" applyAlignment="1">
      <alignment wrapText="1"/>
    </xf>
    <xf numFmtId="164" fontId="2" fillId="0" borderId="3"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2" fillId="0" borderId="3" xfId="0" applyNumberFormat="1" applyFont="1" applyBorder="1" applyAlignment="1">
      <alignment vertical="center"/>
    </xf>
    <xf numFmtId="0" fontId="2" fillId="0" borderId="4" xfId="0" applyFont="1" applyBorder="1" applyAlignment="1">
      <alignment vertical="top" wrapText="1"/>
    </xf>
    <xf numFmtId="0" fontId="2" fillId="0" borderId="0" xfId="0" applyFont="1" applyBorder="1" applyAlignment="1">
      <alignment vertical="top" wrapText="1"/>
    </xf>
    <xf numFmtId="0" fontId="2" fillId="0" borderId="3" xfId="0" applyNumberFormat="1" applyFont="1" applyBorder="1" applyAlignment="1">
      <alignment vertical="top"/>
    </xf>
    <xf numFmtId="0" fontId="2" fillId="0" borderId="3" xfId="0" applyNumberFormat="1" applyFont="1" applyFill="1" applyBorder="1" applyAlignment="1">
      <alignment vertical="top"/>
    </xf>
    <xf numFmtId="0" fontId="2" fillId="0" borderId="3" xfId="0" applyFont="1" applyBorder="1" applyAlignment="1">
      <alignment horizontal="justify" vertical="top"/>
    </xf>
    <xf numFmtId="0" fontId="2" fillId="0" borderId="0" xfId="0" applyFont="1" applyAlignment="1">
      <alignment wrapText="1"/>
    </xf>
    <xf numFmtId="164" fontId="2" fillId="0" borderId="3" xfId="0" applyNumberFormat="1" applyFont="1" applyFill="1" applyBorder="1" applyAlignment="1">
      <alignment vertical="center"/>
    </xf>
    <xf numFmtId="0" fontId="2" fillId="0" borderId="5" xfId="0" applyNumberFormat="1" applyFont="1" applyBorder="1" applyAlignment="1">
      <alignment vertical="top"/>
    </xf>
    <xf numFmtId="164" fontId="2" fillId="0" borderId="1" xfId="0" applyNumberFormat="1" applyFont="1" applyBorder="1" applyAlignment="1">
      <alignment vertical="center"/>
    </xf>
    <xf numFmtId="0" fontId="1" fillId="0" borderId="1" xfId="0" applyFont="1" applyBorder="1" applyAlignment="1">
      <alignment vertical="top" wrapText="1"/>
    </xf>
    <xf numFmtId="164" fontId="1" fillId="0" borderId="1" xfId="0" applyNumberFormat="1" applyFont="1" applyBorder="1" applyAlignment="1">
      <alignment vertical="center"/>
    </xf>
    <xf numFmtId="164" fontId="2" fillId="0" borderId="3" xfId="0" applyNumberFormat="1" applyFont="1" applyBorder="1"/>
    <xf numFmtId="164" fontId="1" fillId="0" borderId="3" xfId="0" applyNumberFormat="1" applyFont="1" applyBorder="1"/>
    <xf numFmtId="0" fontId="2" fillId="0" borderId="6" xfId="0" applyFont="1" applyBorder="1" applyAlignment="1">
      <alignment wrapText="1"/>
    </xf>
    <xf numFmtId="164" fontId="2" fillId="0" borderId="1" xfId="0" applyNumberFormat="1" applyFont="1" applyBorder="1"/>
    <xf numFmtId="0" fontId="2" fillId="0" borderId="2" xfId="0" applyFont="1" applyBorder="1" applyAlignment="1">
      <alignment wrapText="1"/>
    </xf>
    <xf numFmtId="164" fontId="2" fillId="0" borderId="2" xfId="0" applyNumberFormat="1" applyFont="1" applyBorder="1"/>
    <xf numFmtId="164" fontId="2" fillId="0" borderId="5" xfId="0" applyNumberFormat="1" applyFont="1" applyBorder="1"/>
    <xf numFmtId="0" fontId="2" fillId="0" borderId="7" xfId="0" applyFont="1" applyBorder="1" applyAlignment="1">
      <alignment vertical="top" wrapText="1"/>
    </xf>
    <xf numFmtId="0" fontId="1" fillId="0" borderId="3" xfId="0" applyFont="1" applyFill="1" applyBorder="1" applyAlignment="1">
      <alignment vertical="top" wrapText="1"/>
    </xf>
    <xf numFmtId="0" fontId="2" fillId="0" borderId="6" xfId="0" applyFont="1" applyBorder="1" applyAlignment="1">
      <alignment vertical="top" wrapText="1"/>
    </xf>
    <xf numFmtId="164" fontId="2" fillId="0" borderId="8" xfId="0" applyNumberFormat="1" applyFont="1" applyBorder="1"/>
    <xf numFmtId="0" fontId="3" fillId="0" borderId="9" xfId="0" applyFont="1" applyBorder="1"/>
    <xf numFmtId="164" fontId="2" fillId="0" borderId="10" xfId="0" applyNumberFormat="1" applyFont="1" applyBorder="1"/>
    <xf numFmtId="0" fontId="3" fillId="0" borderId="11" xfId="0" applyFont="1" applyBorder="1"/>
    <xf numFmtId="164" fontId="2" fillId="0" borderId="12" xfId="0" applyNumberFormat="1" applyFont="1" applyBorder="1"/>
    <xf numFmtId="0" fontId="9" fillId="0" borderId="0" xfId="0" applyFont="1" applyAlignment="1">
      <alignment horizontal="center" vertical="center" textRotation="180"/>
    </xf>
    <xf numFmtId="0" fontId="11" fillId="0" borderId="0" xfId="0" applyFont="1" applyAlignment="1">
      <alignment horizontal="center" vertical="center" textRotation="180"/>
    </xf>
    <xf numFmtId="0" fontId="12" fillId="0" borderId="0" xfId="0" applyFont="1" applyAlignment="1">
      <alignment horizontal="center" vertical="center" textRotation="180"/>
    </xf>
    <xf numFmtId="3" fontId="12" fillId="0" borderId="9" xfId="0" applyNumberFormat="1" applyFont="1" applyBorder="1" applyAlignment="1">
      <alignment horizontal="center" vertical="center" textRotation="180" wrapText="1"/>
    </xf>
    <xf numFmtId="3" fontId="10" fillId="0" borderId="9" xfId="0" applyNumberFormat="1" applyFont="1" applyBorder="1" applyAlignment="1">
      <alignment horizontal="center" vertical="center" textRotation="180" wrapText="1"/>
    </xf>
    <xf numFmtId="3" fontId="13" fillId="0" borderId="9" xfId="0" applyNumberFormat="1" applyFont="1" applyBorder="1" applyAlignment="1">
      <alignment horizontal="center" vertical="center" textRotation="180" wrapText="1"/>
    </xf>
    <xf numFmtId="0" fontId="4" fillId="0" borderId="0" xfId="0" applyFont="1" applyAlignment="1">
      <alignment vertical="top" wrapText="1"/>
    </xf>
    <xf numFmtId="0" fontId="0" fillId="0" borderId="0" xfId="0" applyBorder="1"/>
    <xf numFmtId="0" fontId="0" fillId="0" borderId="0" xfId="0" applyFont="1" applyAlignment="1">
      <alignment wrapText="1"/>
    </xf>
    <xf numFmtId="0" fontId="0" fillId="0" borderId="0" xfId="0" applyFont="1"/>
    <xf numFmtId="0" fontId="0" fillId="0" borderId="0" xfId="0" applyFont="1" applyFill="1" applyAlignment="1">
      <alignment wrapText="1"/>
    </xf>
    <xf numFmtId="0" fontId="0" fillId="0" borderId="0" xfId="0" applyFont="1" applyFill="1"/>
    <xf numFmtId="0" fontId="0" fillId="0" borderId="3" xfId="0" applyFont="1" applyBorder="1"/>
    <xf numFmtId="164" fontId="14" fillId="3" borderId="3" xfId="0" applyNumberFormat="1" applyFont="1" applyFill="1" applyBorder="1" applyAlignment="1">
      <alignment horizontal="center" vertical="top"/>
    </xf>
    <xf numFmtId="164" fontId="14" fillId="3" borderId="3" xfId="0" applyNumberFormat="1" applyFont="1" applyFill="1" applyBorder="1" applyAlignment="1">
      <alignment horizontal="center" vertical="center"/>
    </xf>
    <xf numFmtId="0" fontId="9" fillId="0" borderId="0" xfId="0" applyFont="1"/>
    <xf numFmtId="0" fontId="16" fillId="0" borderId="0" xfId="0" applyFont="1" applyAlignment="1">
      <alignment vertical="top" wrapText="1"/>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19" fillId="3" borderId="5" xfId="0" applyFont="1" applyFill="1" applyBorder="1" applyAlignment="1">
      <alignment horizontal="center" vertical="center"/>
    </xf>
    <xf numFmtId="0" fontId="6" fillId="0" borderId="3" xfId="0" applyFont="1" applyBorder="1" applyAlignment="1">
      <alignment horizontal="center" vertical="top"/>
    </xf>
    <xf numFmtId="0" fontId="6" fillId="0" borderId="3" xfId="0" applyFont="1" applyBorder="1" applyAlignment="1">
      <alignment horizontal="center" vertical="top" wrapText="1"/>
    </xf>
    <xf numFmtId="0" fontId="6" fillId="3" borderId="3" xfId="0" applyFont="1" applyFill="1" applyBorder="1" applyAlignment="1">
      <alignment horizontal="center" vertical="top" wrapText="1"/>
    </xf>
    <xf numFmtId="0" fontId="19" fillId="3" borderId="3" xfId="0" applyFont="1" applyFill="1" applyBorder="1" applyAlignment="1">
      <alignment horizontal="center" vertical="center"/>
    </xf>
    <xf numFmtId="0" fontId="7" fillId="0" borderId="3" xfId="0" applyFont="1" applyBorder="1" applyAlignment="1">
      <alignment horizontal="center" vertical="top"/>
    </xf>
    <xf numFmtId="0" fontId="7" fillId="0" borderId="3" xfId="0" applyFont="1" applyBorder="1" applyAlignment="1">
      <alignment horizontal="center" vertical="top" wrapText="1"/>
    </xf>
    <xf numFmtId="0" fontId="7" fillId="0" borderId="3" xfId="0" applyFont="1" applyBorder="1" applyAlignment="1">
      <alignment horizontal="center"/>
    </xf>
    <xf numFmtId="0" fontId="7" fillId="0" borderId="3" xfId="0" applyFont="1" applyBorder="1" applyAlignment="1">
      <alignment horizontal="left" vertical="center" wrapText="1"/>
    </xf>
    <xf numFmtId="49" fontId="7" fillId="0" borderId="3" xfId="0" applyNumberFormat="1" applyFont="1" applyBorder="1" applyAlignment="1">
      <alignment horizontal="center" vertical="center"/>
    </xf>
    <xf numFmtId="0" fontId="7" fillId="0" borderId="3" xfId="0" applyFont="1" applyBorder="1" applyAlignment="1">
      <alignment horizontal="center" vertical="center"/>
    </xf>
    <xf numFmtId="165" fontId="13" fillId="3" borderId="3" xfId="0" applyNumberFormat="1" applyFont="1" applyFill="1" applyBorder="1" applyAlignment="1">
      <alignment vertical="top" wrapText="1"/>
    </xf>
    <xf numFmtId="165" fontId="13" fillId="3" borderId="3" xfId="0" applyNumberFormat="1" applyFont="1" applyFill="1" applyBorder="1" applyAlignment="1">
      <alignment horizontal="center" vertical="top" wrapText="1"/>
    </xf>
    <xf numFmtId="165" fontId="13" fillId="0" borderId="3" xfId="0" applyNumberFormat="1" applyFont="1" applyFill="1" applyBorder="1" applyAlignment="1">
      <alignment vertical="top" wrapText="1"/>
    </xf>
    <xf numFmtId="165" fontId="13" fillId="0" borderId="3" xfId="0" applyNumberFormat="1" applyFont="1" applyFill="1" applyBorder="1" applyAlignment="1">
      <alignment horizontal="center" vertical="top" wrapText="1"/>
    </xf>
    <xf numFmtId="49" fontId="7" fillId="0" borderId="3" xfId="0" applyNumberFormat="1" applyFont="1" applyFill="1" applyBorder="1" applyAlignment="1">
      <alignment horizontal="left" vertical="top"/>
    </xf>
    <xf numFmtId="0" fontId="7" fillId="0" borderId="3" xfId="0" applyFont="1" applyFill="1" applyBorder="1" applyAlignment="1">
      <alignment vertical="top" wrapText="1"/>
    </xf>
    <xf numFmtId="49" fontId="7" fillId="0" borderId="3" xfId="0" applyNumberFormat="1" applyFont="1" applyFill="1" applyBorder="1" applyAlignment="1">
      <alignment vertical="top"/>
    </xf>
    <xf numFmtId="0" fontId="15" fillId="0" borderId="3" xfId="0" applyFont="1" applyFill="1" applyBorder="1" applyAlignment="1">
      <alignment vertical="top" wrapText="1"/>
    </xf>
    <xf numFmtId="165" fontId="13" fillId="0" borderId="3" xfId="0" applyNumberFormat="1" applyFont="1" applyFill="1" applyBorder="1" applyAlignment="1">
      <alignment horizontal="left" vertical="top" wrapText="1"/>
    </xf>
    <xf numFmtId="165" fontId="13" fillId="3" borderId="2" xfId="0" applyNumberFormat="1" applyFont="1" applyFill="1" applyBorder="1" applyAlignment="1">
      <alignment horizontal="center" vertical="top" wrapText="1"/>
    </xf>
    <xf numFmtId="165" fontId="13" fillId="3" borderId="13" xfId="0" applyNumberFormat="1" applyFont="1" applyFill="1" applyBorder="1" applyAlignment="1">
      <alignment horizontal="center" vertical="top" wrapText="1"/>
    </xf>
    <xf numFmtId="165" fontId="13" fillId="3" borderId="7" xfId="0" applyNumberFormat="1" applyFont="1" applyFill="1" applyBorder="1" applyAlignment="1">
      <alignment horizontal="center" vertical="top" wrapText="1"/>
    </xf>
    <xf numFmtId="0" fontId="13" fillId="3" borderId="3" xfId="0" applyFont="1" applyFill="1" applyBorder="1" applyAlignment="1">
      <alignment horizontal="center" vertical="top" wrapText="1"/>
    </xf>
    <xf numFmtId="0" fontId="15" fillId="3" borderId="3" xfId="0" applyFont="1" applyFill="1" applyBorder="1" applyAlignment="1">
      <alignment horizontal="center" vertical="top" wrapText="1"/>
    </xf>
    <xf numFmtId="0" fontId="15" fillId="3" borderId="5" xfId="0" applyFont="1" applyFill="1" applyBorder="1" applyAlignment="1">
      <alignment horizontal="center" vertical="top" wrapText="1"/>
    </xf>
    <xf numFmtId="164" fontId="15" fillId="3" borderId="5" xfId="0" applyNumberFormat="1" applyFont="1" applyFill="1" applyBorder="1" applyAlignment="1">
      <alignment horizontal="center" vertical="top" wrapText="1"/>
    </xf>
    <xf numFmtId="165" fontId="13" fillId="3" borderId="12" xfId="0" applyNumberFormat="1" applyFont="1" applyFill="1" applyBorder="1" applyAlignment="1">
      <alignment horizontal="center" vertical="top" wrapText="1"/>
    </xf>
    <xf numFmtId="165" fontId="13" fillId="3" borderId="5" xfId="0" applyNumberFormat="1" applyFont="1" applyFill="1" applyBorder="1" applyAlignment="1">
      <alignment horizontal="center" vertical="top" wrapText="1"/>
    </xf>
    <xf numFmtId="165" fontId="13" fillId="0" borderId="13" xfId="0" applyNumberFormat="1" applyFont="1" applyFill="1" applyBorder="1" applyAlignment="1">
      <alignment horizontal="center" vertical="top" wrapText="1"/>
    </xf>
    <xf numFmtId="164" fontId="15" fillId="0" borderId="5" xfId="0" applyNumberFormat="1" applyFont="1" applyFill="1" applyBorder="1" applyAlignment="1">
      <alignment horizontal="center" vertical="top" wrapText="1"/>
    </xf>
    <xf numFmtId="165" fontId="13" fillId="0" borderId="7" xfId="0" applyNumberFormat="1" applyFont="1" applyFill="1" applyBorder="1" applyAlignment="1">
      <alignment horizontal="center" vertical="top" wrapText="1"/>
    </xf>
    <xf numFmtId="165" fontId="13" fillId="0" borderId="12" xfId="0" applyNumberFormat="1" applyFont="1" applyFill="1" applyBorder="1" applyAlignment="1">
      <alignment horizontal="center" vertical="top" wrapText="1"/>
    </xf>
    <xf numFmtId="2" fontId="15" fillId="0" borderId="5" xfId="0" applyNumberFormat="1" applyFont="1" applyFill="1" applyBorder="1" applyAlignment="1">
      <alignment horizontal="center" vertical="top" wrapText="1"/>
    </xf>
    <xf numFmtId="165" fontId="13" fillId="0" borderId="5" xfId="0" applyNumberFormat="1" applyFont="1" applyFill="1" applyBorder="1" applyAlignment="1">
      <alignment horizontal="center" vertical="top" wrapText="1"/>
    </xf>
    <xf numFmtId="49" fontId="15" fillId="0" borderId="5" xfId="0" applyNumberFormat="1" applyFont="1" applyBorder="1" applyAlignment="1">
      <alignment vertical="top" wrapText="1"/>
    </xf>
    <xf numFmtId="0" fontId="15" fillId="0" borderId="5" xfId="0" applyFont="1" applyBorder="1" applyAlignment="1">
      <alignment vertical="top" wrapText="1"/>
    </xf>
    <xf numFmtId="0" fontId="15" fillId="0" borderId="5" xfId="0" applyFont="1" applyFill="1" applyBorder="1" applyAlignment="1">
      <alignment vertical="top" wrapText="1"/>
    </xf>
    <xf numFmtId="16" fontId="15" fillId="0" borderId="5" xfId="0" applyNumberFormat="1" applyFont="1" applyBorder="1" applyAlignment="1">
      <alignment vertical="top" wrapText="1"/>
    </xf>
    <xf numFmtId="0" fontId="15" fillId="3" borderId="5" xfId="0" applyFont="1" applyFill="1" applyBorder="1" applyAlignment="1">
      <alignment vertical="top" wrapText="1"/>
    </xf>
    <xf numFmtId="0" fontId="7" fillId="3" borderId="3" xfId="0" applyFont="1" applyFill="1" applyBorder="1" applyAlignment="1">
      <alignment vertical="top" wrapText="1"/>
    </xf>
    <xf numFmtId="0" fontId="20" fillId="3" borderId="3" xfId="0" applyFont="1" applyFill="1" applyBorder="1"/>
    <xf numFmtId="0" fontId="18" fillId="0" borderId="3" xfId="0" applyFont="1" applyBorder="1"/>
    <xf numFmtId="0" fontId="7" fillId="0" borderId="3" xfId="0" applyFont="1" applyFill="1" applyBorder="1" applyAlignment="1">
      <alignment horizontal="left" vertical="top" wrapText="1"/>
    </xf>
    <xf numFmtId="49" fontId="13" fillId="0" borderId="3" xfId="0" applyNumberFormat="1" applyFont="1" applyFill="1" applyBorder="1" applyAlignment="1">
      <alignment horizontal="center" vertical="top" wrapText="1"/>
    </xf>
    <xf numFmtId="0" fontId="7" fillId="0" borderId="3" xfId="0" applyFont="1" applyFill="1" applyBorder="1" applyAlignment="1">
      <alignment wrapText="1"/>
    </xf>
    <xf numFmtId="0" fontId="7" fillId="3" borderId="3" xfId="0" applyFont="1" applyFill="1" applyBorder="1" applyAlignment="1">
      <alignment horizontal="left" vertical="center" wrapText="1"/>
    </xf>
    <xf numFmtId="49" fontId="7" fillId="0" borderId="3" xfId="0" applyNumberFormat="1" applyFont="1" applyBorder="1" applyAlignment="1">
      <alignment horizontal="center"/>
    </xf>
    <xf numFmtId="164" fontId="7" fillId="3" borderId="3" xfId="0" applyNumberFormat="1" applyFont="1" applyFill="1" applyBorder="1" applyAlignment="1">
      <alignment horizontal="center" vertical="center" wrapText="1"/>
    </xf>
    <xf numFmtId="0" fontId="7" fillId="3" borderId="3" xfId="0" applyFont="1" applyFill="1" applyBorder="1" applyAlignment="1">
      <alignment horizontal="left" vertical="top" wrapText="1"/>
    </xf>
    <xf numFmtId="164" fontId="7" fillId="3" borderId="3" xfId="0" applyNumberFormat="1" applyFont="1" applyFill="1" applyBorder="1" applyAlignment="1">
      <alignment horizontal="center" vertical="top" wrapText="1"/>
    </xf>
    <xf numFmtId="49" fontId="7" fillId="0" borderId="3" xfId="0" applyNumberFormat="1" applyFont="1" applyBorder="1" applyAlignment="1">
      <alignment horizontal="center" vertical="top"/>
    </xf>
    <xf numFmtId="164" fontId="13" fillId="3" borderId="3" xfId="0" applyNumberFormat="1" applyFont="1" applyFill="1" applyBorder="1" applyAlignment="1">
      <alignment horizontal="center" vertical="top" wrapText="1"/>
    </xf>
    <xf numFmtId="164" fontId="7" fillId="3" borderId="5" xfId="0" applyNumberFormat="1" applyFont="1" applyFill="1" applyBorder="1" applyAlignment="1">
      <alignment horizontal="center" vertical="top" wrapText="1"/>
    </xf>
    <xf numFmtId="164" fontId="7" fillId="3" borderId="3" xfId="0" applyNumberFormat="1" applyFont="1" applyFill="1" applyBorder="1" applyAlignment="1">
      <alignment horizontal="left" vertical="top" wrapText="1"/>
    </xf>
    <xf numFmtId="165" fontId="13" fillId="3" borderId="3" xfId="0" applyNumberFormat="1" applyFont="1" applyFill="1" applyBorder="1" applyAlignment="1">
      <alignment horizontal="left" vertical="center" wrapText="1"/>
    </xf>
    <xf numFmtId="165" fontId="13" fillId="3" borderId="3" xfId="0" applyNumberFormat="1" applyFont="1" applyFill="1" applyBorder="1" applyAlignment="1">
      <alignment horizontal="center" vertical="center" wrapText="1"/>
    </xf>
    <xf numFmtId="165" fontId="13" fillId="3" borderId="1" xfId="0" applyNumberFormat="1" applyFont="1" applyFill="1" applyBorder="1" applyAlignment="1">
      <alignment horizontal="center" vertical="top" wrapText="1"/>
    </xf>
    <xf numFmtId="0" fontId="18" fillId="3" borderId="2" xfId="0" applyFont="1" applyFill="1" applyBorder="1" applyAlignment="1">
      <alignment horizontal="center" vertical="top" wrapText="1"/>
    </xf>
    <xf numFmtId="0" fontId="18" fillId="3" borderId="5" xfId="0" applyFont="1" applyFill="1" applyBorder="1" applyAlignment="1">
      <alignment horizontal="center" vertical="top" wrapText="1"/>
    </xf>
    <xf numFmtId="0" fontId="15" fillId="3" borderId="3" xfId="0" applyFont="1" applyFill="1" applyBorder="1" applyAlignment="1">
      <alignment vertical="top" wrapText="1"/>
    </xf>
    <xf numFmtId="0" fontId="13" fillId="3" borderId="3" xfId="0" applyFont="1" applyFill="1" applyBorder="1" applyAlignment="1">
      <alignment vertical="top"/>
    </xf>
    <xf numFmtId="164" fontId="13" fillId="3" borderId="3" xfId="0" applyNumberFormat="1" applyFont="1" applyFill="1" applyBorder="1" applyAlignment="1">
      <alignment horizontal="center" vertical="top"/>
    </xf>
    <xf numFmtId="0" fontId="13" fillId="3" borderId="3" xfId="0" applyFont="1" applyFill="1" applyBorder="1" applyAlignment="1">
      <alignment vertical="top" wrapText="1"/>
    </xf>
    <xf numFmtId="49" fontId="15" fillId="0" borderId="3" xfId="0" applyNumberFormat="1" applyFont="1" applyBorder="1" applyAlignment="1">
      <alignment vertical="top" wrapText="1"/>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0" fontId="21" fillId="3" borderId="5" xfId="0" applyFont="1" applyFill="1" applyBorder="1" applyAlignment="1">
      <alignment vertical="top" wrapText="1"/>
    </xf>
    <xf numFmtId="165" fontId="13" fillId="3" borderId="3" xfId="0" applyNumberFormat="1" applyFont="1" applyFill="1" applyBorder="1" applyAlignment="1">
      <alignment horizontal="center" vertical="top"/>
    </xf>
    <xf numFmtId="49" fontId="18" fillId="0" borderId="3" xfId="0" applyNumberFormat="1" applyFont="1" applyBorder="1" applyAlignment="1">
      <alignment horizontal="center" vertical="top"/>
    </xf>
    <xf numFmtId="165" fontId="13" fillId="3" borderId="5" xfId="0" applyNumberFormat="1" applyFont="1" applyFill="1" applyBorder="1" applyAlignment="1">
      <alignment horizontal="center" vertical="top"/>
    </xf>
    <xf numFmtId="49" fontId="7" fillId="0" borderId="5" xfId="0" applyNumberFormat="1" applyFont="1" applyBorder="1" applyAlignment="1">
      <alignment horizontal="center" vertical="top" wrapText="1"/>
    </xf>
    <xf numFmtId="0" fontId="7" fillId="3" borderId="5" xfId="0" applyFont="1" applyFill="1" applyBorder="1" applyAlignment="1">
      <alignment vertical="top" wrapText="1"/>
    </xf>
    <xf numFmtId="165" fontId="13" fillId="3" borderId="3" xfId="0" applyNumberFormat="1" applyFont="1" applyFill="1" applyBorder="1" applyAlignment="1">
      <alignment horizontal="left" vertical="top" wrapText="1"/>
    </xf>
    <xf numFmtId="49" fontId="7" fillId="0" borderId="3" xfId="0" applyNumberFormat="1" applyFont="1" applyBorder="1" applyAlignment="1">
      <alignment horizontal="center" vertical="top" wrapText="1"/>
    </xf>
    <xf numFmtId="0" fontId="13" fillId="3" borderId="3" xfId="0" applyFont="1" applyFill="1" applyBorder="1" applyAlignment="1">
      <alignment horizontal="center" vertical="top"/>
    </xf>
    <xf numFmtId="164" fontId="13" fillId="3" borderId="1" xfId="0" applyNumberFormat="1" applyFont="1" applyFill="1" applyBorder="1" applyAlignment="1">
      <alignment horizontal="center" vertical="top" wrapText="1"/>
    </xf>
    <xf numFmtId="164" fontId="13" fillId="3" borderId="5" xfId="0" applyNumberFormat="1" applyFont="1" applyFill="1" applyBorder="1" applyAlignment="1">
      <alignment horizontal="center" vertical="top" wrapText="1"/>
    </xf>
    <xf numFmtId="49" fontId="15" fillId="0" borderId="1" xfId="0" applyNumberFormat="1" applyFont="1" applyBorder="1" applyAlignment="1">
      <alignment horizontal="center" vertical="top" wrapText="1"/>
    </xf>
    <xf numFmtId="2" fontId="15" fillId="3" borderId="3" xfId="0" applyNumberFormat="1" applyFont="1" applyFill="1" applyBorder="1" applyAlignment="1">
      <alignment horizontal="left" vertical="top" wrapText="1"/>
    </xf>
    <xf numFmtId="165" fontId="13" fillId="4" borderId="1" xfId="0" applyNumberFormat="1" applyFont="1" applyFill="1" applyBorder="1" applyAlignment="1">
      <alignment vertical="top" wrapText="1"/>
    </xf>
    <xf numFmtId="165" fontId="13" fillId="4" borderId="3" xfId="0" applyNumberFormat="1" applyFont="1" applyFill="1" applyBorder="1" applyAlignment="1">
      <alignment horizontal="center" vertical="top" wrapText="1"/>
    </xf>
    <xf numFmtId="165" fontId="13" fillId="4" borderId="1" xfId="0" applyNumberFormat="1" applyFont="1" applyFill="1" applyBorder="1" applyAlignment="1">
      <alignment horizontal="center" vertical="top"/>
    </xf>
    <xf numFmtId="165" fontId="13" fillId="4" borderId="3" xfId="0" applyNumberFormat="1" applyFont="1" applyFill="1" applyBorder="1" applyAlignment="1">
      <alignment horizontal="center" vertical="top"/>
    </xf>
    <xf numFmtId="165" fontId="13" fillId="3" borderId="1" xfId="0" applyNumberFormat="1" applyFont="1" applyFill="1" applyBorder="1" applyAlignment="1">
      <alignment vertical="top" wrapText="1"/>
    </xf>
    <xf numFmtId="165" fontId="13" fillId="3" borderId="1" xfId="0" applyNumberFormat="1" applyFont="1" applyFill="1" applyBorder="1" applyAlignment="1">
      <alignment horizontal="center" vertical="top"/>
    </xf>
    <xf numFmtId="49" fontId="7" fillId="3" borderId="1" xfId="0" applyNumberFormat="1" applyFont="1" applyFill="1" applyBorder="1" applyAlignment="1">
      <alignment horizontal="center" vertical="top"/>
    </xf>
    <xf numFmtId="165" fontId="13" fillId="3" borderId="5" xfId="0" applyNumberFormat="1" applyFont="1" applyFill="1" applyBorder="1" applyAlignment="1">
      <alignment vertical="top" wrapText="1"/>
    </xf>
    <xf numFmtId="165" fontId="13" fillId="3" borderId="5" xfId="0" applyNumberFormat="1" applyFont="1" applyFill="1" applyBorder="1"/>
    <xf numFmtId="0" fontId="7" fillId="3" borderId="3" xfId="0" applyFont="1" applyFill="1" applyBorder="1" applyAlignment="1">
      <alignment horizontal="left" vertical="center"/>
    </xf>
    <xf numFmtId="165" fontId="13" fillId="3" borderId="3" xfId="0" applyNumberFormat="1" applyFont="1" applyFill="1" applyBorder="1" applyAlignment="1">
      <alignment vertical="top"/>
    </xf>
    <xf numFmtId="49" fontId="15" fillId="0" borderId="3" xfId="0" applyNumberFormat="1" applyFont="1" applyBorder="1" applyAlignment="1">
      <alignment horizontal="center" vertical="top" wrapText="1"/>
    </xf>
    <xf numFmtId="0" fontId="15" fillId="3" borderId="3" xfId="0" applyFont="1" applyFill="1" applyBorder="1" applyAlignment="1">
      <alignment horizontal="left" vertical="top" wrapText="1"/>
    </xf>
    <xf numFmtId="0" fontId="7" fillId="3" borderId="3" xfId="0" applyFont="1" applyFill="1" applyBorder="1"/>
    <xf numFmtId="165" fontId="13" fillId="3" borderId="3" xfId="0" applyNumberFormat="1" applyFont="1" applyFill="1" applyBorder="1" applyAlignment="1">
      <alignment horizontal="right" vertical="top"/>
    </xf>
    <xf numFmtId="165" fontId="13" fillId="3" borderId="3" xfId="0" applyNumberFormat="1" applyFont="1" applyFill="1" applyBorder="1" applyAlignment="1">
      <alignment vertical="center"/>
    </xf>
    <xf numFmtId="164" fontId="7" fillId="3" borderId="3" xfId="0" applyNumberFormat="1" applyFont="1" applyFill="1" applyBorder="1" applyAlignment="1">
      <alignment horizontal="center" vertical="top"/>
    </xf>
    <xf numFmtId="164" fontId="7" fillId="3" borderId="1" xfId="0" applyNumberFormat="1" applyFont="1" applyFill="1" applyBorder="1" applyAlignment="1">
      <alignment horizontal="center" vertical="top"/>
    </xf>
    <xf numFmtId="0" fontId="18" fillId="3" borderId="5" xfId="0" applyFont="1" applyFill="1" applyBorder="1" applyAlignment="1">
      <alignment horizontal="center" vertical="top"/>
    </xf>
    <xf numFmtId="164" fontId="7" fillId="3" borderId="5" xfId="0" applyNumberFormat="1" applyFont="1" applyFill="1" applyBorder="1" applyAlignment="1">
      <alignment horizontal="left" vertical="top" wrapText="1"/>
    </xf>
    <xf numFmtId="165" fontId="7" fillId="3" borderId="3" xfId="0" applyNumberFormat="1" applyFont="1" applyFill="1" applyBorder="1" applyAlignment="1">
      <alignment horizontal="center" vertical="top"/>
    </xf>
    <xf numFmtId="0" fontId="18" fillId="3" borderId="3" xfId="0" applyFont="1" applyFill="1" applyBorder="1" applyAlignment="1">
      <alignment horizontal="left" vertical="top" wrapText="1"/>
    </xf>
    <xf numFmtId="164" fontId="13" fillId="3" borderId="3" xfId="0" applyNumberFormat="1" applyFont="1" applyFill="1" applyBorder="1" applyAlignment="1">
      <alignment horizontal="left" vertical="top" wrapText="1"/>
    </xf>
    <xf numFmtId="49" fontId="15" fillId="0" borderId="3" xfId="0" applyNumberFormat="1" applyFont="1" applyBorder="1" applyAlignment="1">
      <alignment horizontal="center" vertical="center" wrapText="1"/>
    </xf>
    <xf numFmtId="0" fontId="7" fillId="3" borderId="3" xfId="0" applyFont="1" applyFill="1" applyBorder="1" applyAlignment="1">
      <alignment horizontal="center"/>
    </xf>
    <xf numFmtId="49" fontId="7" fillId="3" borderId="3" xfId="0" applyNumberFormat="1" applyFont="1" applyFill="1" applyBorder="1" applyAlignment="1">
      <alignment horizontal="center" vertical="top"/>
    </xf>
    <xf numFmtId="0" fontId="7" fillId="3" borderId="3" xfId="0" applyFont="1" applyFill="1" applyBorder="1" applyAlignment="1">
      <alignment horizontal="center" vertical="top"/>
    </xf>
    <xf numFmtId="164" fontId="7" fillId="3" borderId="5" xfId="0" applyNumberFormat="1" applyFont="1" applyFill="1" applyBorder="1" applyAlignment="1">
      <alignment horizontal="center" vertical="top"/>
    </xf>
    <xf numFmtId="49" fontId="18" fillId="3" borderId="3" xfId="0" applyNumberFormat="1" applyFont="1" applyFill="1" applyBorder="1" applyAlignment="1">
      <alignment horizontal="center"/>
    </xf>
    <xf numFmtId="2" fontId="7" fillId="3" borderId="3" xfId="0" applyNumberFormat="1" applyFont="1" applyFill="1" applyBorder="1" applyAlignment="1">
      <alignment vertical="top" wrapText="1"/>
    </xf>
    <xf numFmtId="0" fontId="15" fillId="3" borderId="1" xfId="0" applyFont="1" applyFill="1" applyBorder="1" applyAlignment="1">
      <alignment vertical="top" wrapText="1"/>
    </xf>
    <xf numFmtId="0" fontId="7" fillId="3" borderId="1" xfId="0" applyFont="1" applyFill="1" applyBorder="1" applyAlignment="1">
      <alignment vertical="top" wrapText="1"/>
    </xf>
    <xf numFmtId="0" fontId="18" fillId="3" borderId="1" xfId="0" applyFont="1" applyFill="1" applyBorder="1" applyAlignment="1">
      <alignment horizontal="left" vertical="top" wrapText="1"/>
    </xf>
    <xf numFmtId="0" fontId="6" fillId="3" borderId="3" xfId="0" applyFont="1" applyFill="1" applyBorder="1" applyAlignment="1">
      <alignment vertical="top" wrapText="1"/>
    </xf>
    <xf numFmtId="164" fontId="7" fillId="3" borderId="3" xfId="0" applyNumberFormat="1" applyFont="1" applyFill="1" applyBorder="1"/>
    <xf numFmtId="164" fontId="7" fillId="3" borderId="1" xfId="0" applyNumberFormat="1" applyFont="1" applyFill="1" applyBorder="1" applyAlignment="1">
      <alignment horizontal="center" vertical="top"/>
    </xf>
    <xf numFmtId="164" fontId="7" fillId="3" borderId="3" xfId="0" applyNumberFormat="1" applyFont="1" applyFill="1" applyBorder="1" applyAlignment="1">
      <alignment horizontal="center" vertical="top"/>
    </xf>
    <xf numFmtId="0" fontId="7" fillId="3" borderId="3" xfId="0" applyFont="1" applyFill="1" applyBorder="1" applyAlignment="1">
      <alignment horizontal="left" vertical="top" wrapText="1"/>
    </xf>
    <xf numFmtId="164" fontId="7" fillId="3" borderId="3" xfId="0" applyNumberFormat="1" applyFont="1" applyFill="1" applyBorder="1" applyAlignment="1">
      <alignment horizontal="center" vertical="top"/>
    </xf>
    <xf numFmtId="164" fontId="7" fillId="3" borderId="3" xfId="0" applyNumberFormat="1" applyFont="1" applyFill="1" applyBorder="1" applyAlignment="1">
      <alignment horizontal="center" vertical="top" wrapText="1"/>
    </xf>
    <xf numFmtId="0" fontId="7" fillId="3" borderId="3" xfId="0" applyFont="1" applyFill="1" applyBorder="1" applyAlignment="1">
      <alignment vertical="top" wrapText="1"/>
    </xf>
    <xf numFmtId="164" fontId="7" fillId="3" borderId="3" xfId="0" applyNumberFormat="1" applyFont="1" applyFill="1" applyBorder="1" applyAlignment="1">
      <alignment horizontal="left" vertical="top" wrapText="1"/>
    </xf>
    <xf numFmtId="164" fontId="7" fillId="3" borderId="3" xfId="0" applyNumberFormat="1" applyFont="1" applyFill="1" applyBorder="1" applyAlignment="1">
      <alignment horizontal="center" vertical="top"/>
    </xf>
    <xf numFmtId="164" fontId="7" fillId="3" borderId="1" xfId="0" applyNumberFormat="1" applyFont="1" applyFill="1" applyBorder="1" applyAlignment="1">
      <alignment horizontal="center" vertical="top"/>
    </xf>
    <xf numFmtId="49" fontId="7" fillId="3" borderId="1" xfId="0" applyNumberFormat="1" applyFont="1" applyFill="1" applyBorder="1" applyAlignment="1">
      <alignment horizontal="center" vertical="top"/>
    </xf>
    <xf numFmtId="0" fontId="15" fillId="3" borderId="5" xfId="0" applyFont="1" applyFill="1" applyBorder="1" applyAlignment="1">
      <alignment vertical="top" wrapText="1"/>
    </xf>
    <xf numFmtId="0" fontId="18" fillId="0" borderId="3" xfId="0" applyFont="1" applyBorder="1" applyAlignment="1">
      <alignment horizontal="center"/>
    </xf>
    <xf numFmtId="49" fontId="15" fillId="3" borderId="3" xfId="0" applyNumberFormat="1" applyFont="1" applyFill="1" applyBorder="1" applyAlignment="1">
      <alignment vertical="top" wrapText="1"/>
    </xf>
    <xf numFmtId="0" fontId="0" fillId="3" borderId="0" xfId="0" applyFont="1" applyFill="1"/>
    <xf numFmtId="16" fontId="15" fillId="3" borderId="5" xfId="0" applyNumberFormat="1" applyFont="1" applyFill="1" applyBorder="1" applyAlignment="1">
      <alignment vertical="top" wrapText="1"/>
    </xf>
    <xf numFmtId="0" fontId="0" fillId="3" borderId="0" xfId="0" applyFont="1" applyFill="1" applyAlignment="1">
      <alignment wrapText="1"/>
    </xf>
    <xf numFmtId="0" fontId="8" fillId="0" borderId="0" xfId="0" applyFont="1"/>
    <xf numFmtId="49" fontId="7" fillId="3" borderId="3" xfId="0" applyNumberFormat="1" applyFont="1" applyFill="1" applyBorder="1" applyAlignment="1">
      <alignment vertical="top"/>
    </xf>
    <xf numFmtId="164" fontId="13" fillId="3" borderId="3" xfId="0" applyNumberFormat="1" applyFont="1" applyFill="1" applyBorder="1" applyAlignment="1">
      <alignment horizontal="center" vertical="top"/>
    </xf>
    <xf numFmtId="0" fontId="15" fillId="3" borderId="3" xfId="0" applyFont="1" applyFill="1" applyBorder="1" applyAlignment="1">
      <alignment vertical="top" wrapText="1"/>
    </xf>
    <xf numFmtId="49" fontId="15" fillId="0" borderId="3" xfId="0" applyNumberFormat="1" applyFont="1" applyBorder="1" applyAlignment="1">
      <alignment horizontal="center" vertical="top" wrapText="1"/>
    </xf>
    <xf numFmtId="165" fontId="13" fillId="3" borderId="3" xfId="0" applyNumberFormat="1" applyFont="1" applyFill="1" applyBorder="1" applyAlignment="1">
      <alignment vertical="top" wrapText="1"/>
    </xf>
    <xf numFmtId="0" fontId="0" fillId="0" borderId="0" xfId="0" applyFill="1"/>
    <xf numFmtId="0" fontId="3" fillId="0" borderId="0" xfId="0" applyFont="1" applyFill="1"/>
    <xf numFmtId="0" fontId="6" fillId="0" borderId="5"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18" fillId="0" borderId="3" xfId="0" applyFont="1" applyFill="1" applyBorder="1"/>
    <xf numFmtId="164"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top" wrapText="1"/>
    </xf>
    <xf numFmtId="165" fontId="13"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top" wrapText="1"/>
    </xf>
    <xf numFmtId="164" fontId="13" fillId="0" borderId="3" xfId="0" applyNumberFormat="1" applyFont="1" applyFill="1" applyBorder="1" applyAlignment="1">
      <alignment horizontal="center" vertical="top"/>
    </xf>
    <xf numFmtId="164" fontId="13" fillId="0" borderId="1" xfId="0" applyNumberFormat="1" applyFont="1" applyFill="1" applyBorder="1" applyAlignment="1">
      <alignment horizontal="center" vertical="top"/>
    </xf>
    <xf numFmtId="165" fontId="13" fillId="0" borderId="2" xfId="0" applyNumberFormat="1" applyFont="1" applyFill="1" applyBorder="1" applyAlignment="1">
      <alignment horizontal="center" vertical="top" wrapText="1"/>
    </xf>
    <xf numFmtId="165" fontId="13" fillId="0" borderId="3" xfId="0" applyNumberFormat="1" applyFont="1" applyFill="1" applyBorder="1" applyAlignment="1">
      <alignment horizontal="center" vertical="top"/>
    </xf>
    <xf numFmtId="165" fontId="13" fillId="0" borderId="5" xfId="0" applyNumberFormat="1" applyFont="1" applyFill="1" applyBorder="1" applyAlignment="1">
      <alignment horizontal="center" vertical="top"/>
    </xf>
    <xf numFmtId="164" fontId="13" fillId="0" borderId="3"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xf>
    <xf numFmtId="165" fontId="13" fillId="0" borderId="3" xfId="0" applyNumberFormat="1" applyFont="1" applyFill="1" applyBorder="1" applyAlignment="1">
      <alignment vertical="top"/>
    </xf>
    <xf numFmtId="165" fontId="13" fillId="0" borderId="3" xfId="0" applyNumberFormat="1" applyFont="1" applyFill="1" applyBorder="1" applyAlignment="1">
      <alignment horizontal="right" vertical="top"/>
    </xf>
    <xf numFmtId="165" fontId="13" fillId="0" borderId="3" xfId="0" applyNumberFormat="1" applyFont="1" applyFill="1" applyBorder="1" applyAlignment="1">
      <alignment vertical="center"/>
    </xf>
    <xf numFmtId="164" fontId="7" fillId="0" borderId="1" xfId="0" applyNumberFormat="1" applyFont="1" applyFill="1" applyBorder="1" applyAlignment="1">
      <alignment horizontal="center" vertical="top"/>
    </xf>
    <xf numFmtId="0" fontId="18" fillId="0" borderId="5" xfId="0" applyFont="1" applyFill="1" applyBorder="1" applyAlignment="1">
      <alignment horizontal="center" vertical="top"/>
    </xf>
    <xf numFmtId="165" fontId="7" fillId="0" borderId="3" xfId="0" applyNumberFormat="1" applyFont="1" applyFill="1" applyBorder="1" applyAlignment="1">
      <alignment horizontal="center" vertical="top"/>
    </xf>
    <xf numFmtId="164" fontId="7" fillId="0" borderId="3" xfId="0" applyNumberFormat="1" applyFont="1" applyFill="1" applyBorder="1" applyAlignment="1">
      <alignment horizontal="center" vertical="top"/>
    </xf>
    <xf numFmtId="164" fontId="7" fillId="0" borderId="5" xfId="0" applyNumberFormat="1" applyFont="1" applyFill="1" applyBorder="1" applyAlignment="1">
      <alignment horizontal="center" vertical="top"/>
    </xf>
    <xf numFmtId="0" fontId="18" fillId="0" borderId="3" xfId="0" applyFont="1" applyFill="1" applyBorder="1" applyAlignment="1">
      <alignment horizontal="center"/>
    </xf>
    <xf numFmtId="164" fontId="14" fillId="0" borderId="3" xfId="0" applyNumberFormat="1" applyFont="1" applyFill="1" applyBorder="1" applyAlignment="1">
      <alignment horizontal="center" vertical="center"/>
    </xf>
    <xf numFmtId="0" fontId="9" fillId="0" borderId="0" xfId="0" applyFont="1" applyFill="1"/>
    <xf numFmtId="0" fontId="18" fillId="0" borderId="7" xfId="0" applyFont="1" applyBorder="1" applyAlignment="1">
      <alignment vertical="top"/>
    </xf>
    <xf numFmtId="0" fontId="18" fillId="0" borderId="7" xfId="0" applyFont="1" applyBorder="1" applyAlignment="1">
      <alignment vertical="top" wrapText="1"/>
    </xf>
    <xf numFmtId="164" fontId="7" fillId="3" borderId="3" xfId="0" applyNumberFormat="1" applyFont="1" applyFill="1" applyBorder="1" applyAlignment="1">
      <alignment horizontal="center" vertical="top"/>
    </xf>
    <xf numFmtId="164" fontId="7" fillId="3" borderId="1" xfId="0" applyNumberFormat="1" applyFont="1" applyFill="1" applyBorder="1" applyAlignment="1">
      <alignment horizontal="center" vertical="top"/>
    </xf>
    <xf numFmtId="0" fontId="18" fillId="3" borderId="5" xfId="0" applyFont="1" applyFill="1" applyBorder="1" applyAlignment="1">
      <alignment horizontal="center" vertical="top"/>
    </xf>
    <xf numFmtId="164" fontId="7" fillId="3" borderId="5" xfId="0" applyNumberFormat="1" applyFont="1" applyFill="1" applyBorder="1" applyAlignment="1">
      <alignment horizontal="center" vertical="top"/>
    </xf>
    <xf numFmtId="164" fontId="7" fillId="3" borderId="3" xfId="0" applyNumberFormat="1" applyFont="1" applyFill="1" applyBorder="1" applyAlignment="1">
      <alignment horizontal="center" vertical="top" wrapText="1"/>
    </xf>
    <xf numFmtId="164" fontId="13" fillId="3" borderId="3" xfId="0" applyNumberFormat="1" applyFont="1" applyFill="1" applyBorder="1" applyAlignment="1">
      <alignment horizontal="center" vertical="top"/>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0" fontId="18" fillId="0" borderId="7" xfId="0" applyFont="1" applyBorder="1" applyAlignment="1">
      <alignment horizontal="center" vertical="top" wrapText="1"/>
    </xf>
    <xf numFmtId="0" fontId="18" fillId="0" borderId="7" xfId="0" applyFont="1" applyBorder="1" applyAlignment="1">
      <alignment horizontal="center" vertical="top"/>
    </xf>
    <xf numFmtId="165" fontId="13" fillId="3" borderId="3" xfId="0" applyNumberFormat="1" applyFont="1" applyFill="1" applyBorder="1" applyAlignment="1">
      <alignment horizontal="center" vertical="center" wrapText="1"/>
    </xf>
    <xf numFmtId="0" fontId="18" fillId="3" borderId="2" xfId="0" applyFont="1" applyFill="1" applyBorder="1" applyAlignment="1">
      <alignment horizontal="center" vertical="top" wrapText="1"/>
    </xf>
    <xf numFmtId="0" fontId="18" fillId="3" borderId="2" xfId="0" applyFont="1" applyFill="1" applyBorder="1" applyAlignment="1">
      <alignment horizontal="center" vertical="top"/>
    </xf>
    <xf numFmtId="165" fontId="13" fillId="3" borderId="1"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0" fontId="18" fillId="0" borderId="8" xfId="0" applyFont="1" applyBorder="1" applyAlignment="1">
      <alignment horizontal="left" vertical="top" wrapText="1"/>
    </xf>
    <xf numFmtId="0" fontId="0" fillId="0" borderId="0" xfId="0" applyBorder="1" applyAlignment="1"/>
    <xf numFmtId="0" fontId="0" fillId="0" borderId="0" xfId="0" applyBorder="1" applyAlignment="1">
      <alignment horizontal="center" vertical="center" wrapText="1"/>
    </xf>
    <xf numFmtId="0" fontId="0" fillId="0" borderId="0" xfId="0" applyBorder="1" applyAlignment="1"/>
    <xf numFmtId="0" fontId="22" fillId="0" borderId="0" xfId="0" applyFont="1" applyBorder="1" applyAlignment="1">
      <alignment horizontal="center" vertical="center" wrapText="1"/>
    </xf>
    <xf numFmtId="164" fontId="7" fillId="3" borderId="3" xfId="0" applyNumberFormat="1" applyFont="1" applyFill="1" applyBorder="1" applyAlignment="1">
      <alignment horizontal="center" vertical="top"/>
    </xf>
    <xf numFmtId="165" fontId="13" fillId="3" borderId="9" xfId="0" applyNumberFormat="1" applyFont="1" applyFill="1" applyBorder="1" applyAlignment="1">
      <alignment horizontal="center" vertical="top" wrapText="1"/>
    </xf>
    <xf numFmtId="0" fontId="18" fillId="0" borderId="5" xfId="0" applyFont="1" applyBorder="1"/>
    <xf numFmtId="164" fontId="7" fillId="3" borderId="1" xfId="0" applyNumberFormat="1" applyFont="1" applyFill="1" applyBorder="1" applyAlignment="1">
      <alignment horizontal="center" vertical="top" wrapText="1"/>
    </xf>
    <xf numFmtId="164" fontId="7" fillId="3" borderId="2" xfId="0" applyNumberFormat="1" applyFont="1" applyFill="1" applyBorder="1" applyAlignment="1">
      <alignment horizontal="center" vertical="top" wrapText="1"/>
    </xf>
    <xf numFmtId="165" fontId="13" fillId="3" borderId="2" xfId="0" applyNumberFormat="1" applyFont="1" applyFill="1" applyBorder="1" applyAlignment="1">
      <alignment horizontal="center" vertical="top"/>
    </xf>
    <xf numFmtId="164" fontId="13" fillId="3" borderId="2" xfId="0" applyNumberFormat="1" applyFont="1" applyFill="1" applyBorder="1" applyAlignment="1">
      <alignment horizontal="center" vertical="top" wrapText="1"/>
    </xf>
    <xf numFmtId="165" fontId="13" fillId="4" borderId="2" xfId="0" applyNumberFormat="1" applyFont="1" applyFill="1" applyBorder="1" applyAlignment="1">
      <alignment horizontal="center" vertical="top"/>
    </xf>
    <xf numFmtId="0" fontId="18" fillId="0" borderId="12" xfId="0" applyFont="1" applyBorder="1" applyAlignment="1">
      <alignment vertical="top" wrapText="1"/>
    </xf>
    <xf numFmtId="165" fontId="13" fillId="3" borderId="1"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0" fontId="6" fillId="3" borderId="13"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0" borderId="15" xfId="0" applyFont="1" applyBorder="1" applyAlignment="1">
      <alignment horizontal="center" vertical="center" wrapText="1"/>
    </xf>
    <xf numFmtId="0" fontId="0" fillId="0" borderId="7" xfId="0" applyBorder="1" applyAlignment="1">
      <alignment horizontal="center" vertical="center" wrapText="1"/>
    </xf>
    <xf numFmtId="0" fontId="6" fillId="3" borderId="13" xfId="0" applyFont="1" applyFill="1" applyBorder="1" applyAlignment="1">
      <alignment horizontal="center" wrapText="1"/>
    </xf>
    <xf numFmtId="0" fontId="6" fillId="3" borderId="15" xfId="0" applyFont="1" applyFill="1" applyBorder="1" applyAlignment="1">
      <alignment horizontal="center" wrapText="1"/>
    </xf>
    <xf numFmtId="0" fontId="18" fillId="3" borderId="15" xfId="0" applyFont="1" applyFill="1" applyBorder="1" applyAlignment="1">
      <alignment horizontal="center" wrapText="1"/>
    </xf>
    <xf numFmtId="0" fontId="18" fillId="0" borderId="15" xfId="0" applyFont="1" applyBorder="1" applyAlignment="1">
      <alignment horizontal="center" wrapText="1"/>
    </xf>
    <xf numFmtId="0" fontId="0" fillId="0" borderId="7" xfId="0" applyBorder="1" applyAlignment="1">
      <alignment horizontal="center" wrapText="1"/>
    </xf>
    <xf numFmtId="0" fontId="7" fillId="3" borderId="13" xfId="0" applyFont="1" applyFill="1" applyBorder="1" applyAlignment="1">
      <alignment vertical="top" wrapText="1"/>
    </xf>
    <xf numFmtId="0" fontId="18" fillId="0" borderId="15" xfId="0" applyFont="1" applyBorder="1" applyAlignment="1">
      <alignment vertical="top"/>
    </xf>
    <xf numFmtId="0" fontId="18" fillId="0" borderId="7" xfId="0" applyFont="1" applyBorder="1" applyAlignment="1">
      <alignment vertical="top"/>
    </xf>
    <xf numFmtId="0" fontId="7" fillId="3" borderId="13" xfId="0" applyFont="1" applyFill="1" applyBorder="1" applyAlignment="1">
      <alignment horizontal="center" vertical="top" wrapText="1"/>
    </xf>
    <xf numFmtId="0" fontId="18" fillId="3" borderId="15" xfId="0" applyFont="1" applyFill="1" applyBorder="1" applyAlignment="1">
      <alignment wrapText="1"/>
    </xf>
    <xf numFmtId="0" fontId="18" fillId="3" borderId="7" xfId="0" applyFont="1" applyFill="1" applyBorder="1" applyAlignment="1">
      <alignment wrapText="1"/>
    </xf>
    <xf numFmtId="0" fontId="18" fillId="0" borderId="15" xfId="0" applyFont="1" applyBorder="1" applyAlignment="1">
      <alignment vertical="top" wrapText="1"/>
    </xf>
    <xf numFmtId="0" fontId="18" fillId="0" borderId="7" xfId="0" applyFont="1" applyBorder="1" applyAlignment="1">
      <alignment vertical="top" wrapText="1"/>
    </xf>
    <xf numFmtId="0" fontId="18" fillId="3" borderId="15" xfId="0" applyFont="1" applyFill="1" applyBorder="1" applyAlignment="1">
      <alignment vertical="top" wrapText="1"/>
    </xf>
    <xf numFmtId="0" fontId="18" fillId="3" borderId="7" xfId="0" applyFont="1" applyFill="1" applyBorder="1" applyAlignment="1">
      <alignment vertical="top" wrapText="1"/>
    </xf>
    <xf numFmtId="164" fontId="7" fillId="3" borderId="3" xfId="0" applyNumberFormat="1" applyFont="1" applyFill="1" applyBorder="1" applyAlignment="1">
      <alignment horizontal="left" vertical="top" wrapText="1"/>
    </xf>
    <xf numFmtId="164" fontId="13" fillId="3" borderId="3" xfId="0" applyNumberFormat="1" applyFont="1" applyFill="1" applyBorder="1" applyAlignment="1">
      <alignment horizontal="center" vertical="top"/>
    </xf>
    <xf numFmtId="0" fontId="13" fillId="3" borderId="3" xfId="0" applyFont="1" applyFill="1" applyBorder="1" applyAlignment="1">
      <alignment horizontal="center" vertical="top"/>
    </xf>
    <xf numFmtId="164" fontId="7" fillId="3" borderId="3" xfId="0" applyNumberFormat="1" applyFont="1" applyFill="1" applyBorder="1" applyAlignment="1">
      <alignment horizontal="center" vertical="top"/>
    </xf>
    <xf numFmtId="0" fontId="7" fillId="3" borderId="3" xfId="0" applyFont="1" applyFill="1" applyBorder="1" applyAlignment="1">
      <alignment horizontal="center" vertical="top"/>
    </xf>
    <xf numFmtId="164" fontId="7" fillId="3" borderId="1" xfId="0" applyNumberFormat="1" applyFont="1" applyFill="1" applyBorder="1" applyAlignment="1">
      <alignment horizontal="center" vertical="top"/>
    </xf>
    <xf numFmtId="0" fontId="18" fillId="3" borderId="5" xfId="0" applyFont="1" applyFill="1" applyBorder="1" applyAlignment="1">
      <alignment horizontal="center" vertical="top"/>
    </xf>
    <xf numFmtId="164" fontId="7" fillId="0" borderId="1" xfId="0" applyNumberFormat="1" applyFont="1" applyFill="1" applyBorder="1" applyAlignment="1">
      <alignment horizontal="center" vertical="top"/>
    </xf>
    <xf numFmtId="0" fontId="18" fillId="0" borderId="5" xfId="0" applyFont="1" applyFill="1" applyBorder="1" applyAlignment="1">
      <alignment horizontal="center" vertical="top"/>
    </xf>
    <xf numFmtId="0" fontId="7" fillId="3" borderId="3" xfId="0" applyFont="1" applyFill="1" applyBorder="1" applyAlignment="1">
      <alignment horizontal="left" vertical="top" wrapText="1"/>
    </xf>
    <xf numFmtId="0" fontId="7" fillId="3" borderId="3" xfId="0" applyFont="1" applyFill="1" applyBorder="1" applyAlignment="1">
      <alignment horizontal="left" vertical="center" wrapText="1"/>
    </xf>
    <xf numFmtId="0" fontId="7" fillId="3" borderId="3" xfId="0" applyFont="1" applyFill="1" applyBorder="1" applyAlignment="1">
      <alignment horizontal="left" wrapText="1"/>
    </xf>
    <xf numFmtId="164" fontId="7" fillId="3" borderId="1" xfId="0" applyNumberFormat="1" applyFont="1" applyFill="1" applyBorder="1" applyAlignment="1">
      <alignment horizontal="left" vertical="top" wrapText="1"/>
    </xf>
    <xf numFmtId="164" fontId="7" fillId="3" borderId="5" xfId="0" applyNumberFormat="1" applyFont="1" applyFill="1" applyBorder="1" applyAlignment="1">
      <alignment horizontal="left" vertical="top" wrapText="1"/>
    </xf>
    <xf numFmtId="165" fontId="13" fillId="3" borderId="13" xfId="0" applyNumberFormat="1" applyFont="1" applyFill="1" applyBorder="1" applyAlignment="1">
      <alignment horizontal="left" vertical="top" wrapText="1"/>
    </xf>
    <xf numFmtId="165" fontId="13" fillId="3" borderId="15" xfId="0" applyNumberFormat="1" applyFont="1" applyFill="1" applyBorder="1" applyAlignment="1">
      <alignment horizontal="left" vertical="top" wrapText="1"/>
    </xf>
    <xf numFmtId="0" fontId="18" fillId="0" borderId="15" xfId="0" applyFont="1" applyBorder="1" applyAlignment="1">
      <alignment horizontal="left" vertical="top" wrapText="1"/>
    </xf>
    <xf numFmtId="0" fontId="18" fillId="0" borderId="7" xfId="0" applyFont="1" applyBorder="1" applyAlignment="1">
      <alignment horizontal="left" vertical="top" wrapText="1"/>
    </xf>
    <xf numFmtId="49" fontId="7" fillId="3" borderId="3" xfId="0" applyNumberFormat="1" applyFont="1" applyFill="1" applyBorder="1" applyAlignment="1">
      <alignment horizontal="center" vertical="top"/>
    </xf>
    <xf numFmtId="49" fontId="18" fillId="3" borderId="3" xfId="0" applyNumberFormat="1" applyFont="1" applyFill="1" applyBorder="1" applyAlignment="1">
      <alignment horizontal="center"/>
    </xf>
    <xf numFmtId="0" fontId="7" fillId="3" borderId="3" xfId="0" applyFont="1" applyFill="1" applyBorder="1" applyAlignment="1">
      <alignment vertical="center" wrapText="1"/>
    </xf>
    <xf numFmtId="0" fontId="18" fillId="3" borderId="3" xfId="0" applyFont="1" applyFill="1" applyBorder="1" applyAlignment="1">
      <alignment vertical="center"/>
    </xf>
    <xf numFmtId="0" fontId="7" fillId="3" borderId="3" xfId="0" applyFont="1" applyFill="1" applyBorder="1" applyAlignment="1">
      <alignment vertical="top" wrapText="1"/>
    </xf>
    <xf numFmtId="0" fontId="18" fillId="3" borderId="3" xfId="0" applyFont="1" applyFill="1" applyBorder="1" applyAlignment="1">
      <alignment vertical="top"/>
    </xf>
    <xf numFmtId="0" fontId="15" fillId="3" borderId="3" xfId="0" applyFont="1" applyFill="1" applyBorder="1" applyAlignment="1">
      <alignment vertical="top" wrapText="1"/>
    </xf>
    <xf numFmtId="0" fontId="18" fillId="3" borderId="3" xfId="0" applyFont="1" applyFill="1" applyBorder="1" applyAlignment="1">
      <alignment horizontal="left" vertical="top" wrapText="1"/>
    </xf>
    <xf numFmtId="0" fontId="18" fillId="3" borderId="3" xfId="0" applyFont="1" applyFill="1" applyBorder="1" applyAlignment="1">
      <alignment horizontal="center" vertical="top"/>
    </xf>
    <xf numFmtId="0" fontId="18" fillId="3" borderId="3" xfId="0" applyFont="1" applyFill="1" applyBorder="1" applyAlignment="1">
      <alignment vertical="top" wrapText="1"/>
    </xf>
    <xf numFmtId="164" fontId="7" fillId="3" borderId="5" xfId="0" applyNumberFormat="1" applyFont="1" applyFill="1" applyBorder="1" applyAlignment="1">
      <alignment horizontal="center" vertical="top"/>
    </xf>
    <xf numFmtId="49" fontId="7" fillId="3" borderId="1" xfId="0" applyNumberFormat="1" applyFont="1" applyFill="1" applyBorder="1" applyAlignment="1">
      <alignment horizontal="center" vertical="top"/>
    </xf>
    <xf numFmtId="49" fontId="7" fillId="3" borderId="2" xfId="0" applyNumberFormat="1" applyFont="1" applyFill="1" applyBorder="1" applyAlignment="1">
      <alignment horizontal="center" vertical="top"/>
    </xf>
    <xf numFmtId="0" fontId="18" fillId="0" borderId="5" xfId="0" applyFont="1" applyBorder="1" applyAlignment="1">
      <alignment horizontal="center" vertical="top"/>
    </xf>
    <xf numFmtId="0" fontId="18" fillId="3" borderId="3" xfId="0" applyFont="1" applyFill="1" applyBorder="1"/>
    <xf numFmtId="49" fontId="7" fillId="3" borderId="3" xfId="0" applyNumberFormat="1" applyFont="1" applyFill="1" applyBorder="1" applyAlignment="1">
      <alignment horizontal="center" vertical="top" wrapText="1"/>
    </xf>
    <xf numFmtId="0" fontId="7" fillId="3" borderId="3" xfId="0" applyFont="1" applyFill="1" applyBorder="1" applyAlignment="1">
      <alignment vertical="top"/>
    </xf>
    <xf numFmtId="0" fontId="18" fillId="3" borderId="3" xfId="0" applyFont="1" applyFill="1" applyBorder="1" applyAlignment="1">
      <alignment vertical="center" wrapText="1"/>
    </xf>
    <xf numFmtId="164" fontId="7" fillId="3" borderId="3" xfId="0" applyNumberFormat="1" applyFont="1" applyFill="1" applyBorder="1" applyAlignment="1">
      <alignment horizontal="center" vertical="top" wrapText="1"/>
    </xf>
    <xf numFmtId="0" fontId="7" fillId="3" borderId="3" xfId="0"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164" fontId="7" fillId="3" borderId="1" xfId="0" applyNumberFormat="1" applyFont="1" applyFill="1" applyBorder="1" applyAlignment="1">
      <alignment vertical="top" wrapText="1"/>
    </xf>
    <xf numFmtId="164" fontId="7" fillId="3" borderId="2" xfId="0" applyNumberFormat="1" applyFont="1" applyFill="1" applyBorder="1" applyAlignment="1">
      <alignment vertical="top" wrapText="1"/>
    </xf>
    <xf numFmtId="0" fontId="18" fillId="3" borderId="5" xfId="0" applyFont="1" applyFill="1" applyBorder="1" applyAlignment="1">
      <alignment vertical="top" wrapText="1"/>
    </xf>
    <xf numFmtId="49" fontId="7" fillId="0" borderId="3" xfId="0" applyNumberFormat="1" applyFont="1" applyBorder="1" applyAlignment="1">
      <alignment horizontal="center" vertical="center"/>
    </xf>
    <xf numFmtId="49" fontId="7" fillId="0" borderId="1" xfId="0" applyNumberFormat="1" applyFont="1" applyBorder="1" applyAlignment="1">
      <alignment horizontal="center" vertical="top"/>
    </xf>
    <xf numFmtId="49" fontId="7" fillId="0" borderId="5" xfId="0" applyNumberFormat="1" applyFont="1" applyBorder="1" applyAlignment="1">
      <alignment horizontal="center" vertical="top"/>
    </xf>
    <xf numFmtId="0" fontId="7" fillId="3" borderId="1" xfId="0" applyFont="1" applyFill="1" applyBorder="1" applyAlignment="1">
      <alignment vertical="top" wrapText="1"/>
    </xf>
    <xf numFmtId="0" fontId="7" fillId="3" borderId="5" xfId="0" applyFont="1" applyFill="1" applyBorder="1" applyAlignment="1">
      <alignment vertical="top" wrapText="1"/>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49" fontId="7" fillId="0" borderId="3" xfId="0" applyNumberFormat="1" applyFont="1" applyBorder="1" applyAlignment="1">
      <alignment horizontal="center" vertical="top"/>
    </xf>
    <xf numFmtId="49" fontId="7" fillId="0" borderId="3" xfId="0" applyNumberFormat="1" applyFont="1" applyBorder="1" applyAlignment="1">
      <alignment horizontal="center" vertical="top" wrapText="1"/>
    </xf>
    <xf numFmtId="0" fontId="18" fillId="0" borderId="3" xfId="0" applyFont="1" applyBorder="1" applyAlignment="1">
      <alignment horizontal="center" vertical="top" wrapText="1"/>
    </xf>
    <xf numFmtId="49" fontId="18" fillId="3" borderId="3" xfId="0" applyNumberFormat="1" applyFont="1" applyFill="1" applyBorder="1" applyAlignment="1">
      <alignment horizontal="center" vertical="top" wrapText="1"/>
    </xf>
    <xf numFmtId="0" fontId="18" fillId="0" borderId="15" xfId="0" applyFont="1" applyBorder="1" applyAlignment="1">
      <alignment horizontal="left" vertical="top"/>
    </xf>
    <xf numFmtId="0" fontId="18" fillId="0" borderId="7" xfId="0" applyFont="1" applyBorder="1" applyAlignment="1">
      <alignment horizontal="left" vertical="top"/>
    </xf>
    <xf numFmtId="164" fontId="13" fillId="3" borderId="3" xfId="0" applyNumberFormat="1" applyFont="1" applyFill="1" applyBorder="1" applyAlignment="1">
      <alignment horizontal="left" vertical="top" wrapText="1"/>
    </xf>
    <xf numFmtId="49" fontId="7" fillId="0" borderId="3" xfId="0" applyNumberFormat="1" applyFont="1" applyBorder="1" applyAlignment="1">
      <alignment horizontal="center"/>
    </xf>
    <xf numFmtId="49" fontId="7" fillId="0" borderId="3" xfId="0" applyNumberFormat="1" applyFont="1" applyBorder="1" applyAlignment="1">
      <alignment horizontal="center" wrapText="1"/>
    </xf>
    <xf numFmtId="0" fontId="7" fillId="3" borderId="3" xfId="0" applyFont="1" applyFill="1" applyBorder="1" applyAlignment="1">
      <alignment wrapText="1"/>
    </xf>
    <xf numFmtId="165" fontId="7" fillId="3" borderId="3" xfId="0" applyNumberFormat="1" applyFont="1" applyFill="1" applyBorder="1" applyAlignment="1">
      <alignment wrapText="1"/>
    </xf>
    <xf numFmtId="0" fontId="18" fillId="0" borderId="2" xfId="0" applyFont="1" applyBorder="1" applyAlignment="1">
      <alignment horizontal="center" vertical="top"/>
    </xf>
    <xf numFmtId="0" fontId="18" fillId="3" borderId="2" xfId="0" applyFont="1" applyFill="1" applyBorder="1" applyAlignment="1">
      <alignment vertical="top" wrapText="1"/>
    </xf>
    <xf numFmtId="165" fontId="13" fillId="3" borderId="1" xfId="0" applyNumberFormat="1" applyFont="1" applyFill="1" applyBorder="1" applyAlignment="1">
      <alignment vertical="top" wrapText="1"/>
    </xf>
    <xf numFmtId="49" fontId="15" fillId="0" borderId="3" xfId="0" applyNumberFormat="1" applyFont="1" applyBorder="1" applyAlignment="1">
      <alignment horizontal="center" vertical="top" wrapText="1"/>
    </xf>
    <xf numFmtId="2" fontId="15" fillId="3" borderId="3" xfId="0" applyNumberFormat="1" applyFont="1" applyFill="1" applyBorder="1" applyAlignment="1">
      <alignment horizontal="left" vertical="top" wrapText="1"/>
    </xf>
    <xf numFmtId="0" fontId="13" fillId="3" borderId="3" xfId="0" applyFont="1" applyFill="1" applyBorder="1" applyAlignment="1">
      <alignment vertical="top" wrapText="1"/>
    </xf>
    <xf numFmtId="49" fontId="15" fillId="0" borderId="1" xfId="0" applyNumberFormat="1" applyFont="1" applyBorder="1" applyAlignment="1">
      <alignment horizontal="center" vertical="top" wrapText="1"/>
    </xf>
    <xf numFmtId="49" fontId="15" fillId="0" borderId="2" xfId="0" applyNumberFormat="1" applyFont="1" applyBorder="1" applyAlignment="1">
      <alignment horizontal="center" vertical="top" wrapText="1"/>
    </xf>
    <xf numFmtId="49" fontId="15" fillId="0" borderId="5" xfId="0" applyNumberFormat="1" applyFont="1" applyBorder="1" applyAlignment="1">
      <alignment horizontal="center" vertical="top" wrapText="1"/>
    </xf>
    <xf numFmtId="0" fontId="15" fillId="3" borderId="1" xfId="0" applyFont="1" applyFill="1" applyBorder="1" applyAlignment="1">
      <alignment horizontal="left" vertical="top" wrapText="1"/>
    </xf>
    <xf numFmtId="0" fontId="15" fillId="3" borderId="2" xfId="0" applyFont="1" applyFill="1" applyBorder="1" applyAlignment="1">
      <alignment horizontal="left" vertical="top" wrapText="1"/>
    </xf>
    <xf numFmtId="0" fontId="15" fillId="3" borderId="5" xfId="0" applyFont="1" applyFill="1" applyBorder="1" applyAlignment="1">
      <alignment horizontal="left" vertical="top" wrapText="1"/>
    </xf>
    <xf numFmtId="0" fontId="13" fillId="3" borderId="1" xfId="0" applyFont="1" applyFill="1" applyBorder="1" applyAlignment="1">
      <alignment vertical="top" wrapText="1"/>
    </xf>
    <xf numFmtId="0" fontId="13" fillId="3" borderId="2" xfId="0" applyFont="1" applyFill="1" applyBorder="1" applyAlignment="1">
      <alignment vertical="top" wrapText="1"/>
    </xf>
    <xf numFmtId="0" fontId="13" fillId="3" borderId="5" xfId="0" applyFont="1" applyFill="1" applyBorder="1" applyAlignment="1">
      <alignment vertical="top" wrapText="1"/>
    </xf>
    <xf numFmtId="165" fontId="13" fillId="3" borderId="3" xfId="0" applyNumberFormat="1" applyFont="1" applyFill="1" applyBorder="1" applyAlignment="1">
      <alignment horizontal="left" vertical="center" wrapText="1"/>
    </xf>
    <xf numFmtId="0" fontId="21" fillId="3" borderId="3" xfId="0" applyFont="1" applyFill="1" applyBorder="1" applyAlignment="1">
      <alignment vertical="top" wrapText="1"/>
    </xf>
    <xf numFmtId="49" fontId="18" fillId="3" borderId="1" xfId="0" applyNumberFormat="1" applyFont="1" applyFill="1" applyBorder="1" applyAlignment="1">
      <alignment horizontal="center" vertical="top" wrapText="1"/>
    </xf>
    <xf numFmtId="0" fontId="18" fillId="3" borderId="2" xfId="0" applyFont="1" applyFill="1" applyBorder="1" applyAlignment="1">
      <alignment horizontal="center" vertical="top" wrapText="1"/>
    </xf>
    <xf numFmtId="0" fontId="18" fillId="3" borderId="5" xfId="0" applyFont="1" applyFill="1" applyBorder="1" applyAlignment="1">
      <alignment horizontal="center" vertical="top" wrapText="1"/>
    </xf>
    <xf numFmtId="0" fontId="15" fillId="3" borderId="1" xfId="0" applyFont="1" applyFill="1" applyBorder="1" applyAlignment="1">
      <alignment vertical="top" wrapText="1"/>
    </xf>
    <xf numFmtId="0" fontId="15" fillId="3" borderId="2" xfId="0" applyFont="1" applyFill="1" applyBorder="1" applyAlignment="1">
      <alignment vertical="top" wrapText="1"/>
    </xf>
    <xf numFmtId="0" fontId="15" fillId="3" borderId="5" xfId="0" applyFont="1" applyFill="1" applyBorder="1" applyAlignment="1">
      <alignment vertical="top" wrapText="1"/>
    </xf>
    <xf numFmtId="0" fontId="18" fillId="0" borderId="3" xfId="0" applyFont="1" applyBorder="1" applyAlignment="1">
      <alignment horizontal="center" vertical="top"/>
    </xf>
    <xf numFmtId="165" fontId="13" fillId="3" borderId="3" xfId="0" applyNumberFormat="1" applyFont="1" applyFill="1" applyBorder="1" applyAlignment="1">
      <alignment horizontal="left" vertical="top" wrapText="1"/>
    </xf>
    <xf numFmtId="49" fontId="18" fillId="0" borderId="3" xfId="0" applyNumberFormat="1" applyFont="1" applyBorder="1" applyAlignment="1">
      <alignment horizontal="center" vertical="top" wrapText="1"/>
    </xf>
    <xf numFmtId="165" fontId="13" fillId="3" borderId="2" xfId="0" applyNumberFormat="1" applyFont="1" applyFill="1" applyBorder="1" applyAlignment="1">
      <alignment vertical="top" wrapText="1"/>
    </xf>
    <xf numFmtId="0" fontId="21" fillId="3" borderId="2" xfId="0" applyFont="1" applyFill="1" applyBorder="1" applyAlignment="1">
      <alignment vertical="top" wrapText="1"/>
    </xf>
    <xf numFmtId="0" fontId="21" fillId="3" borderId="5" xfId="0" applyFont="1" applyFill="1" applyBorder="1" applyAlignment="1">
      <alignment vertical="top" wrapText="1"/>
    </xf>
    <xf numFmtId="49" fontId="7" fillId="0" borderId="1" xfId="0" applyNumberFormat="1" applyFont="1" applyBorder="1" applyAlignment="1">
      <alignment horizontal="center" vertical="top" wrapText="1"/>
    </xf>
    <xf numFmtId="49" fontId="7" fillId="0" borderId="2" xfId="0" applyNumberFormat="1" applyFont="1" applyBorder="1" applyAlignment="1">
      <alignment horizontal="center" vertical="top" wrapText="1"/>
    </xf>
    <xf numFmtId="49" fontId="7" fillId="0" borderId="5"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5" xfId="0" applyFont="1" applyBorder="1" applyAlignment="1">
      <alignment horizontal="center" vertical="top" wrapText="1"/>
    </xf>
    <xf numFmtId="49" fontId="7" fillId="3" borderId="1" xfId="0" applyNumberFormat="1" applyFont="1" applyFill="1" applyBorder="1" applyAlignment="1">
      <alignment horizontal="center" vertical="top" wrapText="1"/>
    </xf>
    <xf numFmtId="49" fontId="7" fillId="3" borderId="2" xfId="0" applyNumberFormat="1" applyFont="1" applyFill="1" applyBorder="1" applyAlignment="1">
      <alignment horizontal="center" vertical="top" wrapText="1"/>
    </xf>
    <xf numFmtId="49" fontId="7" fillId="3" borderId="5" xfId="0" applyNumberFormat="1" applyFont="1" applyFill="1" applyBorder="1" applyAlignment="1">
      <alignment horizontal="center" vertical="top" wrapText="1"/>
    </xf>
    <xf numFmtId="0" fontId="7" fillId="3" borderId="2" xfId="0" applyFont="1" applyFill="1" applyBorder="1" applyAlignment="1">
      <alignment vertical="top" wrapText="1"/>
    </xf>
    <xf numFmtId="0" fontId="21" fillId="3" borderId="3" xfId="0" applyFont="1" applyFill="1" applyBorder="1" applyAlignment="1">
      <alignment horizontal="left" vertical="top" wrapText="1"/>
    </xf>
    <xf numFmtId="0" fontId="18" fillId="0" borderId="1" xfId="0" applyFont="1" applyBorder="1" applyAlignment="1">
      <alignment horizontal="center" vertical="top"/>
    </xf>
    <xf numFmtId="49" fontId="18" fillId="0" borderId="1" xfId="0" applyNumberFormat="1" applyFont="1" applyBorder="1" applyAlignment="1">
      <alignment horizontal="center" vertical="top"/>
    </xf>
    <xf numFmtId="49" fontId="18" fillId="0" borderId="2" xfId="0" applyNumberFormat="1" applyFont="1" applyBorder="1" applyAlignment="1">
      <alignment horizontal="center" vertical="top"/>
    </xf>
    <xf numFmtId="49" fontId="18" fillId="0" borderId="5" xfId="0" applyNumberFormat="1" applyFont="1" applyBorder="1" applyAlignment="1">
      <alignment horizontal="center" vertical="top"/>
    </xf>
    <xf numFmtId="0" fontId="13" fillId="3" borderId="1"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165" fontId="13" fillId="3" borderId="3" xfId="0" applyNumberFormat="1" applyFont="1" applyFill="1" applyBorder="1" applyAlignment="1">
      <alignment vertical="top" wrapText="1"/>
    </xf>
    <xf numFmtId="165" fontId="13" fillId="3" borderId="1" xfId="0" applyNumberFormat="1" applyFont="1" applyFill="1" applyBorder="1" applyAlignment="1">
      <alignment horizontal="left" vertical="top" wrapText="1"/>
    </xf>
    <xf numFmtId="165" fontId="13" fillId="3" borderId="2" xfId="0" applyNumberFormat="1" applyFont="1" applyFill="1" applyBorder="1" applyAlignment="1">
      <alignment horizontal="left" vertical="top" wrapText="1"/>
    </xf>
    <xf numFmtId="49" fontId="15" fillId="0" borderId="3" xfId="0" applyNumberFormat="1" applyFont="1" applyBorder="1" applyAlignment="1">
      <alignment vertical="top"/>
    </xf>
    <xf numFmtId="49" fontId="18" fillId="0" borderId="3" xfId="0" applyNumberFormat="1" applyFont="1" applyBorder="1" applyAlignment="1">
      <alignment vertical="top"/>
    </xf>
    <xf numFmtId="49" fontId="18" fillId="0" borderId="1" xfId="0" applyNumberFormat="1" applyFont="1" applyBorder="1" applyAlignment="1">
      <alignment vertical="top"/>
    </xf>
    <xf numFmtId="49" fontId="18" fillId="0" borderId="2" xfId="0" applyNumberFormat="1" applyFont="1" applyBorder="1" applyAlignment="1">
      <alignment vertical="top"/>
    </xf>
    <xf numFmtId="49" fontId="18" fillId="0" borderId="5" xfId="0" applyNumberFormat="1" applyFont="1" applyBorder="1" applyAlignment="1">
      <alignment vertical="top"/>
    </xf>
    <xf numFmtId="49" fontId="15" fillId="0" borderId="3" xfId="0" applyNumberFormat="1" applyFont="1" applyBorder="1" applyAlignment="1">
      <alignment vertical="top" wrapText="1"/>
    </xf>
    <xf numFmtId="0" fontId="18" fillId="3" borderId="2" xfId="0" applyFont="1" applyFill="1" applyBorder="1" applyAlignment="1">
      <alignment horizontal="center" vertical="top"/>
    </xf>
    <xf numFmtId="0" fontId="18" fillId="0" borderId="5" xfId="0" applyFont="1" applyBorder="1" applyAlignment="1">
      <alignment vertical="top" wrapText="1"/>
    </xf>
    <xf numFmtId="165" fontId="13" fillId="3" borderId="1"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0" fontId="18" fillId="0" borderId="2" xfId="0" applyFont="1" applyFill="1" applyBorder="1" applyAlignment="1">
      <alignment horizontal="center" vertical="top" wrapText="1"/>
    </xf>
    <xf numFmtId="0" fontId="18" fillId="0" borderId="5" xfId="0" applyFont="1" applyFill="1" applyBorder="1" applyAlignment="1">
      <alignment horizontal="center" vertical="top" wrapText="1"/>
    </xf>
    <xf numFmtId="0" fontId="7" fillId="3" borderId="1" xfId="0" applyFont="1" applyFill="1" applyBorder="1" applyAlignment="1">
      <alignment horizontal="left" vertical="top" wrapText="1"/>
    </xf>
    <xf numFmtId="0" fontId="18" fillId="0" borderId="2" xfId="0" applyFont="1" applyBorder="1" applyAlignment="1">
      <alignment horizontal="left" vertical="top" wrapText="1"/>
    </xf>
    <xf numFmtId="0" fontId="18" fillId="0" borderId="5" xfId="0" applyFont="1" applyBorder="1" applyAlignment="1">
      <alignment horizontal="left" vertical="top" wrapText="1"/>
    </xf>
    <xf numFmtId="49" fontId="7" fillId="0" borderId="2" xfId="0" applyNumberFormat="1" applyFont="1" applyBorder="1" applyAlignment="1">
      <alignment horizontal="center" vertical="top"/>
    </xf>
    <xf numFmtId="0" fontId="18" fillId="3" borderId="5" xfId="0" applyFont="1" applyFill="1" applyBorder="1" applyAlignment="1">
      <alignment horizontal="left" vertical="top" wrapText="1"/>
    </xf>
    <xf numFmtId="0" fontId="7" fillId="0" borderId="1" xfId="0" applyFont="1" applyFill="1" applyBorder="1" applyAlignment="1">
      <alignment vertical="top" wrapText="1"/>
    </xf>
    <xf numFmtId="0" fontId="7" fillId="0" borderId="5" xfId="0" applyFont="1" applyFill="1" applyBorder="1" applyAlignment="1">
      <alignment vertical="top" wrapText="1"/>
    </xf>
    <xf numFmtId="49" fontId="7" fillId="0" borderId="1" xfId="0" applyNumberFormat="1" applyFont="1" applyFill="1" applyBorder="1" applyAlignment="1">
      <alignment horizontal="left" vertical="top"/>
    </xf>
    <xf numFmtId="49" fontId="7" fillId="0" borderId="5" xfId="0" applyNumberFormat="1" applyFont="1" applyFill="1" applyBorder="1" applyAlignment="1">
      <alignment horizontal="left" vertical="top"/>
    </xf>
    <xf numFmtId="165" fontId="13" fillId="0" borderId="3" xfId="0" applyNumberFormat="1" applyFont="1" applyFill="1" applyBorder="1" applyAlignment="1">
      <alignment horizontal="left" vertical="top" wrapText="1"/>
    </xf>
    <xf numFmtId="165" fontId="13" fillId="0" borderId="5" xfId="0" applyNumberFormat="1" applyFont="1" applyFill="1" applyBorder="1" applyAlignment="1">
      <alignment horizontal="left" vertical="top" wrapText="1"/>
    </xf>
    <xf numFmtId="0" fontId="18" fillId="0" borderId="3" xfId="0" applyFont="1" applyFill="1" applyBorder="1" applyAlignment="1">
      <alignment wrapText="1"/>
    </xf>
    <xf numFmtId="49" fontId="15" fillId="0" borderId="1" xfId="0" applyNumberFormat="1" applyFont="1" applyFill="1" applyBorder="1" applyAlignment="1">
      <alignment vertical="top" wrapText="1"/>
    </xf>
    <xf numFmtId="49" fontId="15" fillId="0" borderId="2" xfId="0" applyNumberFormat="1" applyFont="1" applyFill="1" applyBorder="1" applyAlignment="1">
      <alignment vertical="top" wrapText="1"/>
    </xf>
    <xf numFmtId="49" fontId="15" fillId="0" borderId="5" xfId="0" applyNumberFormat="1" applyFont="1" applyFill="1" applyBorder="1" applyAlignment="1">
      <alignment vertical="top" wrapText="1"/>
    </xf>
    <xf numFmtId="49" fontId="7" fillId="0" borderId="3" xfId="0" applyNumberFormat="1" applyFont="1" applyFill="1" applyBorder="1" applyAlignment="1">
      <alignment vertical="top"/>
    </xf>
    <xf numFmtId="0" fontId="7" fillId="0" borderId="3" xfId="0" applyFont="1" applyFill="1" applyBorder="1" applyAlignment="1">
      <alignment vertical="top" wrapText="1"/>
    </xf>
    <xf numFmtId="0" fontId="15" fillId="0" borderId="1" xfId="0" applyFont="1" applyFill="1" applyBorder="1" applyAlignment="1">
      <alignment vertical="top" wrapText="1"/>
    </xf>
    <xf numFmtId="0" fontId="15" fillId="0" borderId="2" xfId="0" applyFont="1" applyFill="1" applyBorder="1" applyAlignment="1">
      <alignment vertical="top" wrapText="1"/>
    </xf>
    <xf numFmtId="0" fontId="15" fillId="0" borderId="5" xfId="0" applyFont="1" applyFill="1" applyBorder="1" applyAlignment="1">
      <alignment vertical="top" wrapText="1"/>
    </xf>
    <xf numFmtId="0" fontId="7" fillId="0" borderId="3" xfId="0" applyFont="1" applyFill="1" applyBorder="1" applyAlignment="1">
      <alignment wrapText="1"/>
    </xf>
    <xf numFmtId="49" fontId="7" fillId="0" borderId="1" xfId="0" applyNumberFormat="1" applyFont="1" applyFill="1" applyBorder="1" applyAlignment="1">
      <alignment vertical="top" wrapText="1"/>
    </xf>
    <xf numFmtId="49" fontId="7" fillId="0" borderId="2" xfId="0" applyNumberFormat="1" applyFont="1" applyFill="1" applyBorder="1" applyAlignment="1">
      <alignment vertical="top" wrapText="1"/>
    </xf>
    <xf numFmtId="49" fontId="7" fillId="0" borderId="5" xfId="0" applyNumberFormat="1" applyFont="1" applyFill="1" applyBorder="1" applyAlignment="1">
      <alignment vertical="top" wrapText="1"/>
    </xf>
    <xf numFmtId="0" fontId="22" fillId="0" borderId="0" xfId="0" applyFont="1" applyBorder="1" applyAlignment="1">
      <alignment wrapText="1"/>
    </xf>
    <xf numFmtId="0" fontId="0" fillId="0" borderId="0" xfId="0" applyBorder="1" applyAlignment="1"/>
    <xf numFmtId="0" fontId="7" fillId="3" borderId="6" xfId="0" applyFont="1" applyFill="1" applyBorder="1" applyAlignment="1">
      <alignment horizontal="left" vertical="top" wrapText="1"/>
    </xf>
    <xf numFmtId="0" fontId="18" fillId="0" borderId="16" xfId="0" applyFont="1" applyBorder="1" applyAlignment="1">
      <alignment horizontal="left" vertical="top" wrapText="1"/>
    </xf>
    <xf numFmtId="0" fontId="18" fillId="0" borderId="8" xfId="0" applyFont="1" applyBorder="1" applyAlignment="1">
      <alignment horizontal="left" vertical="top" wrapText="1"/>
    </xf>
    <xf numFmtId="164" fontId="7" fillId="3" borderId="2" xfId="0" applyNumberFormat="1" applyFont="1" applyFill="1" applyBorder="1" applyAlignment="1">
      <alignment horizontal="left" vertical="top" wrapText="1"/>
    </xf>
    <xf numFmtId="0" fontId="18" fillId="3" borderId="2" xfId="0" applyFont="1" applyFill="1" applyBorder="1" applyAlignment="1">
      <alignment horizontal="left" vertical="top" wrapText="1"/>
    </xf>
    <xf numFmtId="0" fontId="6" fillId="0" borderId="0" xfId="0" applyFont="1" applyAlignment="1">
      <alignment horizontal="center" vertical="center" wrapText="1"/>
    </xf>
    <xf numFmtId="0" fontId="7" fillId="0" borderId="0" xfId="0" applyFont="1" applyAlignment="1"/>
    <xf numFmtId="0" fontId="7" fillId="0" borderId="14" xfId="0" applyFont="1" applyBorder="1" applyAlignment="1"/>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49" fontId="7" fillId="0" borderId="2" xfId="0" applyNumberFormat="1" applyFont="1" applyFill="1" applyBorder="1" applyAlignment="1">
      <alignment horizontal="left" vertical="top"/>
    </xf>
    <xf numFmtId="0" fontId="7" fillId="0" borderId="1"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2" xfId="0" applyFont="1" applyFill="1" applyBorder="1" applyAlignment="1">
      <alignment vertical="top" wrapText="1"/>
    </xf>
    <xf numFmtId="0" fontId="6" fillId="0" borderId="3" xfId="0" applyFont="1" applyBorder="1" applyAlignment="1">
      <alignment horizontal="center" vertical="center" wrapText="1"/>
    </xf>
    <xf numFmtId="0" fontId="6" fillId="3" borderId="9"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164" fontId="7" fillId="3" borderId="5" xfId="0" applyNumberFormat="1" applyFont="1" applyFill="1" applyBorder="1" applyAlignment="1">
      <alignment vertical="top" wrapText="1"/>
    </xf>
    <xf numFmtId="49" fontId="7" fillId="0" borderId="1" xfId="0" applyNumberFormat="1" applyFont="1" applyFill="1" applyBorder="1" applyAlignment="1">
      <alignment vertical="top"/>
    </xf>
    <xf numFmtId="49" fontId="7" fillId="0" borderId="5" xfId="0" applyNumberFormat="1" applyFont="1" applyFill="1" applyBorder="1" applyAlignment="1">
      <alignment vertical="top"/>
    </xf>
    <xf numFmtId="0" fontId="2" fillId="0" borderId="1" xfId="0" applyFont="1" applyBorder="1" applyAlignment="1">
      <alignment vertical="top"/>
    </xf>
    <xf numFmtId="0" fontId="2" fillId="0" borderId="5" xfId="0" applyFont="1" applyBorder="1" applyAlignment="1">
      <alignment vertical="top"/>
    </xf>
    <xf numFmtId="0" fontId="2" fillId="2" borderId="1" xfId="0" applyFont="1" applyFill="1" applyBorder="1" applyAlignment="1">
      <alignment vertical="top" wrapText="1"/>
    </xf>
    <xf numFmtId="0" fontId="2" fillId="2" borderId="5" xfId="0" applyFont="1" applyFill="1" applyBorder="1" applyAlignment="1">
      <alignment vertical="top" wrapText="1"/>
    </xf>
    <xf numFmtId="0" fontId="2" fillId="0" borderId="3" xfId="0" applyFont="1" applyBorder="1" applyAlignment="1">
      <alignment vertical="top" wrapText="1"/>
    </xf>
    <xf numFmtId="0" fontId="2" fillId="0" borderId="3" xfId="0" applyNumberFormat="1" applyFont="1" applyFill="1" applyBorder="1" applyAlignment="1">
      <alignment vertical="top"/>
    </xf>
    <xf numFmtId="0" fontId="3" fillId="0" borderId="3" xfId="0" applyFont="1" applyBorder="1" applyAlignment="1"/>
    <xf numFmtId="0" fontId="3" fillId="0" borderId="3" xfId="0" applyFont="1" applyBorder="1" applyAlignment="1">
      <alignment vertical="top"/>
    </xf>
    <xf numFmtId="0" fontId="2" fillId="0" borderId="3" xfId="0" applyNumberFormat="1" applyFont="1" applyBorder="1" applyAlignment="1">
      <alignment vertical="top"/>
    </xf>
    <xf numFmtId="0" fontId="2" fillId="0" borderId="3" xfId="0" applyFont="1" applyFill="1" applyBorder="1" applyAlignment="1">
      <alignment vertical="top" wrapText="1"/>
    </xf>
    <xf numFmtId="14" fontId="2" fillId="0" borderId="3" xfId="0" applyNumberFormat="1" applyFont="1" applyBorder="1" applyAlignment="1">
      <alignment vertical="top"/>
    </xf>
    <xf numFmtId="0" fontId="3" fillId="0" borderId="3" xfId="0" applyFont="1" applyBorder="1" applyAlignment="1">
      <alignment vertical="top" wrapText="1"/>
    </xf>
    <xf numFmtId="0" fontId="2" fillId="0" borderId="1" xfId="0" applyFont="1" applyBorder="1" applyAlignment="1">
      <alignment vertical="top" wrapText="1"/>
    </xf>
    <xf numFmtId="0" fontId="3" fillId="0" borderId="5" xfId="0" applyFont="1" applyBorder="1" applyAlignment="1">
      <alignment vertical="top"/>
    </xf>
    <xf numFmtId="0" fontId="2" fillId="0" borderId="1" xfId="0" applyNumberFormat="1" applyFont="1" applyFill="1" applyBorder="1" applyAlignment="1">
      <alignment vertical="top"/>
    </xf>
    <xf numFmtId="0" fontId="2" fillId="0" borderId="5" xfId="0" applyNumberFormat="1" applyFont="1" applyFill="1" applyBorder="1" applyAlignment="1">
      <alignment vertical="top"/>
    </xf>
    <xf numFmtId="0" fontId="1" fillId="0" borderId="16" xfId="0" applyFont="1" applyBorder="1" applyAlignment="1">
      <alignment horizontal="center" vertical="center"/>
    </xf>
    <xf numFmtId="0" fontId="2" fillId="0" borderId="3" xfId="0" applyFont="1" applyBorder="1" applyAlignment="1">
      <alignment vertical="top"/>
    </xf>
    <xf numFmtId="0" fontId="2" fillId="0" borderId="3" xfId="0" applyFont="1" applyBorder="1" applyAlignment="1">
      <alignment horizontal="left" vertical="top" wrapText="1"/>
    </xf>
    <xf numFmtId="0" fontId="3" fillId="0" borderId="5" xfId="0" applyFont="1" applyBorder="1" applyAlignment="1">
      <alignment vertical="top" wrapText="1"/>
    </xf>
    <xf numFmtId="0" fontId="1" fillId="0" borderId="3" xfId="0" applyNumberFormat="1" applyFont="1" applyFill="1" applyBorder="1" applyAlignment="1">
      <alignment vertical="top"/>
    </xf>
    <xf numFmtId="0" fontId="1" fillId="0" borderId="3" xfId="0" applyFont="1" applyBorder="1" applyAlignment="1">
      <alignment vertical="top" wrapText="1"/>
    </xf>
    <xf numFmtId="0" fontId="1" fillId="0" borderId="1" xfId="0" applyFont="1" applyBorder="1" applyAlignment="1"/>
    <xf numFmtId="0" fontId="1" fillId="0" borderId="2" xfId="0" applyFont="1" applyBorder="1" applyAlignment="1"/>
    <xf numFmtId="0" fontId="1" fillId="0" borderId="5" xfId="0" applyFont="1" applyBorder="1" applyAlignment="1"/>
    <xf numFmtId="0" fontId="1" fillId="0" borderId="1" xfId="0" applyFont="1" applyFill="1" applyBorder="1" applyAlignment="1">
      <alignment vertical="top" wrapText="1"/>
    </xf>
    <xf numFmtId="0" fontId="1" fillId="0" borderId="1" xfId="0" applyFont="1" applyBorder="1" applyAlignment="1">
      <alignment vertical="top"/>
    </xf>
    <xf numFmtId="0" fontId="1" fillId="0" borderId="5" xfId="0" applyFont="1" applyBorder="1" applyAlignment="1">
      <alignment vertical="top"/>
    </xf>
    <xf numFmtId="0" fontId="1" fillId="0" borderId="1" xfId="0" applyFont="1" applyBorder="1" applyAlignment="1">
      <alignment vertical="top" wrapText="1"/>
    </xf>
    <xf numFmtId="0" fontId="1" fillId="0" borderId="5" xfId="0" applyFont="1" applyBorder="1" applyAlignment="1">
      <alignment vertical="top" wrapText="1"/>
    </xf>
    <xf numFmtId="0" fontId="1" fillId="0" borderId="16" xfId="0" applyFont="1" applyFill="1" applyBorder="1" applyAlignment="1">
      <alignment vertical="top"/>
    </xf>
    <xf numFmtId="0" fontId="1" fillId="0" borderId="14" xfId="0" applyFont="1" applyFill="1" applyBorder="1" applyAlignment="1">
      <alignment vertical="top"/>
    </xf>
    <xf numFmtId="0" fontId="1" fillId="0" borderId="3" xfId="0" applyFont="1" applyBorder="1" applyAlignment="1">
      <alignment vertical="top"/>
    </xf>
    <xf numFmtId="0" fontId="1" fillId="0" borderId="3" xfId="0" applyFont="1" applyBorder="1" applyAlignment="1"/>
    <xf numFmtId="0" fontId="1" fillId="0" borderId="3" xfId="0" applyFont="1" applyFill="1" applyBorder="1" applyAlignment="1">
      <alignment vertical="top" wrapText="1"/>
    </xf>
    <xf numFmtId="0" fontId="2" fillId="0" borderId="3" xfId="0" applyFont="1" applyFill="1" applyBorder="1" applyAlignment="1">
      <alignment vertical="top"/>
    </xf>
    <xf numFmtId="0" fontId="2" fillId="0" borderId="1" xfId="0" applyFont="1" applyFill="1" applyBorder="1" applyAlignment="1">
      <alignment vertical="top" wrapText="1"/>
    </xf>
    <xf numFmtId="0" fontId="3" fillId="0" borderId="5" xfId="0" applyFont="1" applyFill="1" applyBorder="1" applyAlignment="1">
      <alignment vertical="top"/>
    </xf>
    <xf numFmtId="0" fontId="2" fillId="0" borderId="2" xfId="0" applyFont="1" applyBorder="1" applyAlignment="1">
      <alignment vertical="top"/>
    </xf>
    <xf numFmtId="0" fontId="3" fillId="0" borderId="2" xfId="0" applyFont="1" applyBorder="1" applyAlignment="1">
      <alignment vertical="top"/>
    </xf>
    <xf numFmtId="0" fontId="2" fillId="0" borderId="2" xfId="0" applyFont="1" applyBorder="1" applyAlignment="1">
      <alignment vertical="top" wrapText="1"/>
    </xf>
    <xf numFmtId="0" fontId="2" fillId="0" borderId="5" xfId="0" applyFont="1" applyBorder="1" applyAlignment="1">
      <alignment vertical="top" wrapText="1"/>
    </xf>
    <xf numFmtId="0" fontId="3" fillId="0" borderId="2" xfId="0" applyFont="1" applyBorder="1" applyAlignment="1">
      <alignment vertical="top" wrapText="1"/>
    </xf>
    <xf numFmtId="0" fontId="1" fillId="0" borderId="13" xfId="0" applyFont="1" applyBorder="1" applyAlignment="1">
      <alignment horizontal="center"/>
    </xf>
    <xf numFmtId="0" fontId="1" fillId="0" borderId="15" xfId="0" applyFont="1" applyBorder="1" applyAlignment="1">
      <alignment horizontal="center"/>
    </xf>
    <xf numFmtId="0" fontId="1" fillId="0" borderId="7" xfId="0" applyFont="1" applyBorder="1" applyAlignment="1">
      <alignment horizontal="center"/>
    </xf>
    <xf numFmtId="0" fontId="2" fillId="0" borderId="3" xfId="0" applyFont="1" applyBorder="1" applyAlignment="1">
      <alignment wrapText="1"/>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5" xfId="0" applyFont="1" applyBorder="1" applyAlignment="1">
      <alignment horizontal="left" vertical="top"/>
    </xf>
    <xf numFmtId="0" fontId="2" fillId="0" borderId="1" xfId="0" applyNumberFormat="1" applyFont="1" applyBorder="1" applyAlignment="1">
      <alignment horizontal="left" vertical="top"/>
    </xf>
    <xf numFmtId="0" fontId="2" fillId="0" borderId="2" xfId="0" applyNumberFormat="1" applyFont="1" applyBorder="1" applyAlignment="1">
      <alignment horizontal="left" vertical="top"/>
    </xf>
    <xf numFmtId="0" fontId="2" fillId="0" borderId="5" xfId="0" applyNumberFormat="1" applyFont="1" applyBorder="1" applyAlignment="1">
      <alignment horizontal="left" vertical="top"/>
    </xf>
    <xf numFmtId="0" fontId="1" fillId="0" borderId="0" xfId="0" applyFont="1" applyAlignment="1">
      <alignment horizontal="center" vertical="center" wrapText="1"/>
    </xf>
    <xf numFmtId="0" fontId="1" fillId="0" borderId="16" xfId="0" applyFont="1" applyBorder="1" applyAlignment="1">
      <alignment horizontal="center"/>
    </xf>
    <xf numFmtId="0" fontId="1" fillId="0" borderId="1" xfId="0" applyFont="1" applyBorder="1" applyAlignment="1">
      <alignment horizontal="center" vertical="center"/>
    </xf>
    <xf numFmtId="0" fontId="2" fillId="0" borderId="1" xfId="0" applyFont="1" applyBorder="1" applyAlignment="1">
      <alignment wrapText="1"/>
    </xf>
    <xf numFmtId="0" fontId="3" fillId="0" borderId="2" xfId="0" applyFont="1" applyBorder="1" applyAlignment="1">
      <alignment wrapText="1"/>
    </xf>
    <xf numFmtId="0" fontId="3" fillId="0" borderId="5" xfId="0" applyFont="1" applyBorder="1" applyAlignment="1">
      <alignment wrapText="1"/>
    </xf>
    <xf numFmtId="0" fontId="0" fillId="0" borderId="2" xfId="0" applyBorder="1"/>
    <xf numFmtId="0" fontId="0" fillId="0" borderId="5" xfId="0" applyBorder="1"/>
    <xf numFmtId="0" fontId="3" fillId="0" borderId="2" xfId="0" applyFont="1" applyBorder="1" applyAlignment="1"/>
    <xf numFmtId="0" fontId="2" fillId="0" borderId="3" xfId="0" applyFont="1" applyBorder="1" applyAlignment="1"/>
    <xf numFmtId="164" fontId="13" fillId="3" borderId="13" xfId="0" applyNumberFormat="1" applyFont="1" applyFill="1" applyBorder="1" applyAlignment="1">
      <alignment horizontal="center" vertical="top"/>
    </xf>
    <xf numFmtId="0" fontId="21" fillId="3" borderId="12" xfId="0" applyFont="1" applyFill="1" applyBorder="1" applyAlignment="1">
      <alignment vertical="top" wrapText="1"/>
    </xf>
    <xf numFmtId="164" fontId="13" fillId="0" borderId="5" xfId="0" applyNumberFormat="1" applyFont="1" applyFill="1" applyBorder="1" applyAlignment="1">
      <alignment horizontal="center" vertical="top"/>
    </xf>
    <xf numFmtId="0" fontId="23" fillId="0" borderId="3" xfId="0" applyFont="1" applyFill="1" applyBorder="1" applyAlignment="1">
      <alignment horizontal="center" vertical="top" wrapText="1"/>
    </xf>
    <xf numFmtId="0" fontId="8" fillId="0" borderId="3" xfId="0" applyFont="1" applyFill="1" applyBorder="1" applyAlignment="1">
      <alignment horizontal="center" vertical="top" wrapText="1"/>
    </xf>
    <xf numFmtId="4" fontId="23" fillId="0" borderId="3" xfId="0" applyNumberFormat="1" applyFont="1" applyFill="1" applyBorder="1" applyAlignment="1">
      <alignment horizontal="center" vertical="top" wrapText="1"/>
    </xf>
    <xf numFmtId="4" fontId="8" fillId="0" borderId="3" xfId="0" applyNumberFormat="1" applyFont="1" applyFill="1" applyBorder="1" applyAlignment="1">
      <alignment horizontal="center" vertical="top" wrapText="1"/>
    </xf>
    <xf numFmtId="0" fontId="15" fillId="3" borderId="12" xfId="0" applyFont="1" applyFill="1" applyBorder="1" applyAlignment="1">
      <alignment vertical="top" wrapText="1"/>
    </xf>
    <xf numFmtId="4"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165" fontId="13" fillId="3" borderId="7" xfId="0" applyNumberFormat="1" applyFont="1" applyFill="1" applyBorder="1" applyAlignment="1">
      <alignment vertical="top" wrapText="1"/>
    </xf>
    <xf numFmtId="0" fontId="18" fillId="0" borderId="14" xfId="0" applyFont="1" applyBorder="1" applyAlignment="1">
      <alignment vertical="top" wrapText="1"/>
    </xf>
    <xf numFmtId="4" fontId="15"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298"/>
  <sheetViews>
    <sheetView showGridLines="0" tabSelected="1" showRuler="0" view="pageLayout" topLeftCell="C287" zoomScale="50" zoomScaleNormal="75" zoomScaleSheetLayoutView="75" zoomScalePageLayoutView="50" workbookViewId="0">
      <selection activeCell="M295" sqref="M295"/>
    </sheetView>
  </sheetViews>
  <sheetFormatPr defaultRowHeight="15" x14ac:dyDescent="0.25"/>
  <cols>
    <col min="1" max="1" width="7.7109375" customWidth="1"/>
    <col min="2" max="2" width="82.7109375" customWidth="1"/>
    <col min="3" max="3" width="36.28515625" customWidth="1"/>
    <col min="4" max="4" width="19.5703125" customWidth="1"/>
    <col min="5" max="5" width="18.42578125" customWidth="1"/>
    <col min="6" max="6" width="17.42578125" customWidth="1"/>
    <col min="7" max="7" width="18.85546875" customWidth="1"/>
    <col min="8" max="8" width="17.140625" customWidth="1"/>
    <col min="9" max="9" width="19.28515625" style="199" customWidth="1"/>
    <col min="10" max="10" width="17.7109375" customWidth="1"/>
    <col min="11" max="11" width="17.5703125" customWidth="1"/>
    <col min="12" max="12" width="19.7109375" customWidth="1"/>
    <col min="13" max="13" width="59" customWidth="1"/>
    <col min="14" max="14" width="47.85546875" customWidth="1"/>
  </cols>
  <sheetData>
    <row r="1" spans="1:14" ht="324" customHeight="1" x14ac:dyDescent="0.25">
      <c r="M1" s="59" t="s">
        <v>383</v>
      </c>
    </row>
    <row r="2" spans="1:14" ht="40.5" customHeight="1" x14ac:dyDescent="0.3">
      <c r="A2" s="4"/>
      <c r="B2" s="4"/>
      <c r="C2" s="4"/>
      <c r="D2" s="4"/>
      <c r="E2" s="4"/>
      <c r="F2" s="4"/>
      <c r="G2" s="4"/>
      <c r="H2" s="4"/>
      <c r="I2" s="200"/>
      <c r="J2" s="4"/>
      <c r="K2" s="4"/>
      <c r="L2" s="4"/>
      <c r="M2" s="49"/>
    </row>
    <row r="3" spans="1:14" ht="30.75" customHeight="1" x14ac:dyDescent="0.25">
      <c r="A3" s="433" t="s">
        <v>359</v>
      </c>
      <c r="B3" s="434"/>
      <c r="C3" s="434"/>
      <c r="D3" s="434"/>
      <c r="E3" s="434"/>
      <c r="F3" s="434"/>
      <c r="G3" s="434"/>
      <c r="H3" s="434"/>
      <c r="I3" s="434"/>
      <c r="J3" s="434"/>
      <c r="K3" s="434"/>
      <c r="L3" s="434"/>
      <c r="M3" s="434"/>
    </row>
    <row r="4" spans="1:14" ht="15" customHeight="1" x14ac:dyDescent="0.25">
      <c r="A4" s="434"/>
      <c r="B4" s="434"/>
      <c r="C4" s="434"/>
      <c r="D4" s="434"/>
      <c r="E4" s="434"/>
      <c r="F4" s="434"/>
      <c r="G4" s="434"/>
      <c r="H4" s="434"/>
      <c r="I4" s="434"/>
      <c r="J4" s="434"/>
      <c r="K4" s="434"/>
      <c r="L4" s="434"/>
      <c r="M4" s="434"/>
    </row>
    <row r="5" spans="1:14" ht="57" customHeight="1" x14ac:dyDescent="0.25">
      <c r="A5" s="435"/>
      <c r="B5" s="435"/>
      <c r="C5" s="435"/>
      <c r="D5" s="435"/>
      <c r="E5" s="435"/>
      <c r="F5" s="435"/>
      <c r="G5" s="435"/>
      <c r="H5" s="435"/>
      <c r="I5" s="435"/>
      <c r="J5" s="435"/>
      <c r="K5" s="435"/>
      <c r="L5" s="435"/>
      <c r="M5" s="435"/>
    </row>
    <row r="6" spans="1:14" ht="20.25" customHeight="1" x14ac:dyDescent="0.25">
      <c r="A6" s="447" t="s">
        <v>0</v>
      </c>
      <c r="B6" s="444" t="s">
        <v>111</v>
      </c>
      <c r="C6" s="439" t="s">
        <v>366</v>
      </c>
      <c r="D6" s="261" t="s">
        <v>120</v>
      </c>
      <c r="E6" s="262"/>
      <c r="F6" s="262"/>
      <c r="G6" s="262"/>
      <c r="H6" s="263"/>
      <c r="I6" s="263"/>
      <c r="J6" s="263"/>
      <c r="K6" s="264"/>
      <c r="L6" s="265"/>
      <c r="M6" s="436" t="s">
        <v>360</v>
      </c>
      <c r="N6" s="1"/>
    </row>
    <row r="7" spans="1:14" ht="19.5" customHeight="1" x14ac:dyDescent="0.35">
      <c r="A7" s="448"/>
      <c r="B7" s="444"/>
      <c r="C7" s="439"/>
      <c r="D7" s="445" t="s">
        <v>115</v>
      </c>
      <c r="E7" s="266" t="s">
        <v>367</v>
      </c>
      <c r="F7" s="267"/>
      <c r="G7" s="267"/>
      <c r="H7" s="268"/>
      <c r="I7" s="268"/>
      <c r="J7" s="268"/>
      <c r="K7" s="269"/>
      <c r="L7" s="270"/>
      <c r="M7" s="437"/>
      <c r="N7" s="1"/>
    </row>
    <row r="8" spans="1:14" ht="63.75" customHeight="1" x14ac:dyDescent="0.25">
      <c r="A8" s="449"/>
      <c r="B8" s="444"/>
      <c r="C8" s="439"/>
      <c r="D8" s="446"/>
      <c r="E8" s="60" t="s">
        <v>139</v>
      </c>
      <c r="F8" s="60" t="s">
        <v>140</v>
      </c>
      <c r="G8" s="61" t="s">
        <v>141</v>
      </c>
      <c r="H8" s="61" t="s">
        <v>147</v>
      </c>
      <c r="I8" s="201" t="s">
        <v>146</v>
      </c>
      <c r="J8" s="62" t="s">
        <v>151</v>
      </c>
      <c r="K8" s="62" t="s">
        <v>161</v>
      </c>
      <c r="L8" s="62" t="s">
        <v>381</v>
      </c>
      <c r="M8" s="438"/>
      <c r="N8" s="1"/>
    </row>
    <row r="9" spans="1:14" ht="21.75" customHeight="1" x14ac:dyDescent="0.25">
      <c r="A9" s="63">
        <v>1</v>
      </c>
      <c r="B9" s="64">
        <v>2</v>
      </c>
      <c r="C9" s="65">
        <v>3</v>
      </c>
      <c r="D9" s="65">
        <v>4</v>
      </c>
      <c r="E9" s="65">
        <v>5</v>
      </c>
      <c r="F9" s="65">
        <v>6</v>
      </c>
      <c r="G9" s="65">
        <v>7</v>
      </c>
      <c r="H9" s="65">
        <v>8</v>
      </c>
      <c r="I9" s="202">
        <v>9</v>
      </c>
      <c r="J9" s="66">
        <v>10</v>
      </c>
      <c r="K9" s="66">
        <v>11</v>
      </c>
      <c r="L9" s="66">
        <v>12</v>
      </c>
      <c r="M9" s="65">
        <v>13</v>
      </c>
      <c r="N9" s="1"/>
    </row>
    <row r="10" spans="1:14" s="52" customFormat="1" ht="27" customHeight="1" x14ac:dyDescent="0.35">
      <c r="A10" s="67"/>
      <c r="B10" s="68"/>
      <c r="C10" s="274" t="s">
        <v>354</v>
      </c>
      <c r="D10" s="269"/>
      <c r="E10" s="269"/>
      <c r="F10" s="269"/>
      <c r="G10" s="269"/>
      <c r="H10" s="269"/>
      <c r="I10" s="269"/>
      <c r="J10" s="269"/>
      <c r="K10" s="269"/>
      <c r="L10" s="269"/>
      <c r="M10" s="269"/>
      <c r="N10" s="51"/>
    </row>
    <row r="11" spans="1:14" s="52" customFormat="1" ht="23.25" x14ac:dyDescent="0.35">
      <c r="A11" s="69">
        <v>1</v>
      </c>
      <c r="B11" s="70" t="s">
        <v>113</v>
      </c>
      <c r="C11" s="291" t="s">
        <v>119</v>
      </c>
      <c r="D11" s="291"/>
      <c r="E11" s="291"/>
      <c r="F11" s="291"/>
      <c r="G11" s="291"/>
      <c r="H11" s="291"/>
      <c r="I11" s="291"/>
      <c r="J11" s="291"/>
      <c r="K11" s="291"/>
      <c r="L11" s="291"/>
      <c r="M11" s="291"/>
      <c r="N11" s="51"/>
    </row>
    <row r="12" spans="1:14" s="52" customFormat="1" ht="23.25" x14ac:dyDescent="0.25">
      <c r="A12" s="71" t="s">
        <v>123</v>
      </c>
      <c r="B12" s="70" t="s">
        <v>112</v>
      </c>
      <c r="C12" s="291" t="s">
        <v>117</v>
      </c>
      <c r="D12" s="291"/>
      <c r="E12" s="291"/>
      <c r="F12" s="291"/>
      <c r="G12" s="291"/>
      <c r="H12" s="291"/>
      <c r="I12" s="291"/>
      <c r="J12" s="291"/>
      <c r="K12" s="291"/>
      <c r="L12" s="291"/>
      <c r="M12" s="291"/>
      <c r="N12" s="51"/>
    </row>
    <row r="13" spans="1:14" s="52" customFormat="1" ht="23.25" x14ac:dyDescent="0.25">
      <c r="A13" s="72">
        <v>1</v>
      </c>
      <c r="B13" s="70" t="s">
        <v>160</v>
      </c>
      <c r="C13" s="291" t="s">
        <v>117</v>
      </c>
      <c r="D13" s="291"/>
      <c r="E13" s="291"/>
      <c r="F13" s="291"/>
      <c r="G13" s="291"/>
      <c r="H13" s="291"/>
      <c r="I13" s="291"/>
      <c r="J13" s="291"/>
      <c r="K13" s="291"/>
      <c r="L13" s="291"/>
      <c r="M13" s="291"/>
      <c r="N13" s="51"/>
    </row>
    <row r="14" spans="1:14" s="52" customFormat="1" ht="18.75" hidden="1" customHeight="1" x14ac:dyDescent="0.25">
      <c r="A14" s="409" t="s">
        <v>123</v>
      </c>
      <c r="B14" s="407" t="s">
        <v>114</v>
      </c>
      <c r="C14" s="73" t="s">
        <v>121</v>
      </c>
      <c r="D14" s="74">
        <f t="shared" ref="D14:K14" si="0">D15+D16</f>
        <v>3071724.4</v>
      </c>
      <c r="E14" s="74">
        <f t="shared" si="0"/>
        <v>463125.5</v>
      </c>
      <c r="F14" s="74">
        <f t="shared" si="0"/>
        <v>474860.6</v>
      </c>
      <c r="G14" s="74">
        <f t="shared" si="0"/>
        <v>485853.2</v>
      </c>
      <c r="H14" s="74">
        <f t="shared" si="0"/>
        <v>501806.1</v>
      </c>
      <c r="I14" s="76">
        <f t="shared" si="0"/>
        <v>495231.1</v>
      </c>
      <c r="J14" s="74">
        <f t="shared" si="0"/>
        <v>483404.7</v>
      </c>
      <c r="K14" s="74">
        <f t="shared" si="0"/>
        <v>167443.20000000001</v>
      </c>
      <c r="L14" s="241"/>
      <c r="M14" s="320"/>
      <c r="N14" s="51"/>
    </row>
    <row r="15" spans="1:14" s="52" customFormat="1" ht="18.75" hidden="1" customHeight="1" x14ac:dyDescent="0.25">
      <c r="A15" s="440"/>
      <c r="B15" s="443"/>
      <c r="C15" s="73" t="s">
        <v>122</v>
      </c>
      <c r="D15" s="74">
        <f t="shared" ref="D15:D20" si="1">E15+F15+G15+H15+J15+I15+K15</f>
        <v>1203511</v>
      </c>
      <c r="E15" s="74">
        <f t="shared" ref="E15:K15" si="2">E17</f>
        <v>167920.6</v>
      </c>
      <c r="F15" s="74">
        <f t="shared" si="2"/>
        <v>169503.09999999998</v>
      </c>
      <c r="G15" s="74">
        <f t="shared" si="2"/>
        <v>165872.90000000002</v>
      </c>
      <c r="H15" s="74">
        <f t="shared" si="2"/>
        <v>185986</v>
      </c>
      <c r="I15" s="76">
        <f t="shared" si="2"/>
        <v>179342</v>
      </c>
      <c r="J15" s="74">
        <f t="shared" si="2"/>
        <v>167443.20000000001</v>
      </c>
      <c r="K15" s="74">
        <f t="shared" si="2"/>
        <v>167443.20000000001</v>
      </c>
      <c r="L15" s="82"/>
      <c r="M15" s="321"/>
      <c r="N15" s="51"/>
    </row>
    <row r="16" spans="1:14" s="52" customFormat="1" ht="18.75" hidden="1" customHeight="1" x14ac:dyDescent="0.25">
      <c r="A16" s="410"/>
      <c r="B16" s="408"/>
      <c r="C16" s="73" t="s">
        <v>353</v>
      </c>
      <c r="D16" s="74">
        <f t="shared" si="1"/>
        <v>1868213.4</v>
      </c>
      <c r="E16" s="74">
        <f t="shared" ref="E16:K16" si="3">E18+E19+E20</f>
        <v>295204.90000000002</v>
      </c>
      <c r="F16" s="74">
        <f t="shared" si="3"/>
        <v>305357.5</v>
      </c>
      <c r="G16" s="74">
        <f t="shared" si="3"/>
        <v>319980.3</v>
      </c>
      <c r="H16" s="74">
        <f t="shared" si="3"/>
        <v>315820.09999999998</v>
      </c>
      <c r="I16" s="76">
        <f t="shared" si="3"/>
        <v>315889.09999999998</v>
      </c>
      <c r="J16" s="74">
        <f t="shared" si="3"/>
        <v>315961.5</v>
      </c>
      <c r="K16" s="74">
        <f t="shared" si="3"/>
        <v>0</v>
      </c>
      <c r="L16" s="90"/>
      <c r="M16" s="450"/>
      <c r="N16" s="51"/>
    </row>
    <row r="17" spans="1:14" s="52" customFormat="1" ht="18.75" hidden="1" customHeight="1" x14ac:dyDescent="0.25">
      <c r="A17" s="409" t="s">
        <v>124</v>
      </c>
      <c r="B17" s="407" t="s">
        <v>125</v>
      </c>
      <c r="C17" s="75" t="s">
        <v>122</v>
      </c>
      <c r="D17" s="74">
        <f t="shared" si="1"/>
        <v>1203511</v>
      </c>
      <c r="E17" s="76">
        <f>171360.6+707.1-2723.1-2767.4+1056+68.6+99+112+462-54.2-400</f>
        <v>167920.6</v>
      </c>
      <c r="F17" s="76">
        <f>173012.8-618.2-482.3-2608.2+58+141</f>
        <v>169503.09999999998</v>
      </c>
      <c r="G17" s="76">
        <f>167443.2+4300-500-2700-3000-2022.4-75+2352.1+75</f>
        <v>165872.90000000002</v>
      </c>
      <c r="H17" s="74">
        <f>179956.8+2333.4+690.6+3005.2</f>
        <v>185986</v>
      </c>
      <c r="I17" s="76">
        <v>179342</v>
      </c>
      <c r="J17" s="76">
        <v>167443.20000000001</v>
      </c>
      <c r="K17" s="76">
        <v>167443.20000000001</v>
      </c>
      <c r="L17" s="242"/>
      <c r="M17" s="407" t="s">
        <v>164</v>
      </c>
      <c r="N17" s="51"/>
    </row>
    <row r="18" spans="1:14" s="52" customFormat="1" ht="37.5" hidden="1" customHeight="1" x14ac:dyDescent="0.25">
      <c r="A18" s="410"/>
      <c r="B18" s="408"/>
      <c r="C18" s="75" t="s">
        <v>135</v>
      </c>
      <c r="D18" s="76">
        <f t="shared" si="1"/>
        <v>1826607.8</v>
      </c>
      <c r="E18" s="76">
        <f>288306.2</f>
        <v>288306.2</v>
      </c>
      <c r="F18" s="76">
        <f>294619.1+3738</f>
        <v>298357.09999999998</v>
      </c>
      <c r="G18" s="76">
        <f>310291.4+2081</f>
        <v>312372.40000000002</v>
      </c>
      <c r="H18" s="76">
        <v>309190.7</v>
      </c>
      <c r="I18" s="76">
        <v>309190.7</v>
      </c>
      <c r="J18" s="76">
        <v>309190.7</v>
      </c>
      <c r="K18" s="76">
        <v>0</v>
      </c>
      <c r="L18" s="96"/>
      <c r="M18" s="408"/>
      <c r="N18" s="51"/>
    </row>
    <row r="19" spans="1:14" s="52" customFormat="1" ht="232.5" hidden="1" x14ac:dyDescent="0.25">
      <c r="A19" s="77" t="s">
        <v>127</v>
      </c>
      <c r="B19" s="78" t="s">
        <v>126</v>
      </c>
      <c r="C19" s="75" t="s">
        <v>136</v>
      </c>
      <c r="D19" s="76">
        <f t="shared" si="1"/>
        <v>28865.799999999996</v>
      </c>
      <c r="E19" s="76">
        <v>4437.3</v>
      </c>
      <c r="F19" s="76">
        <v>5017.3999999999996</v>
      </c>
      <c r="G19" s="76">
        <f>5528.3</f>
        <v>5528.3</v>
      </c>
      <c r="H19" s="76">
        <v>4627.6000000000004</v>
      </c>
      <c r="I19" s="76">
        <v>4627.6000000000004</v>
      </c>
      <c r="J19" s="76">
        <v>4627.6000000000004</v>
      </c>
      <c r="K19" s="76">
        <v>0</v>
      </c>
      <c r="L19" s="76"/>
      <c r="M19" s="78" t="s">
        <v>162</v>
      </c>
      <c r="N19" s="51"/>
    </row>
    <row r="20" spans="1:14" s="52" customFormat="1" ht="232.5" hidden="1" x14ac:dyDescent="0.25">
      <c r="A20" s="79" t="s">
        <v>128</v>
      </c>
      <c r="B20" s="78" t="s">
        <v>134</v>
      </c>
      <c r="C20" s="75" t="s">
        <v>137</v>
      </c>
      <c r="D20" s="76">
        <f t="shared" si="1"/>
        <v>12739.8</v>
      </c>
      <c r="E20" s="76">
        <f>1950.7+510.7</f>
        <v>2461.4</v>
      </c>
      <c r="F20" s="76">
        <f>2073-90</f>
        <v>1983</v>
      </c>
      <c r="G20" s="76">
        <v>2079.6</v>
      </c>
      <c r="H20" s="76">
        <v>2001.8</v>
      </c>
      <c r="I20" s="76">
        <v>2070.8000000000002</v>
      </c>
      <c r="J20" s="76">
        <v>2143.1999999999998</v>
      </c>
      <c r="K20" s="76">
        <v>0</v>
      </c>
      <c r="L20" s="76"/>
      <c r="M20" s="80" t="s">
        <v>163</v>
      </c>
      <c r="N20" s="51"/>
    </row>
    <row r="21" spans="1:14" s="54" customFormat="1" ht="18.75" hidden="1" customHeight="1" x14ac:dyDescent="0.25">
      <c r="A21" s="451" t="s">
        <v>129</v>
      </c>
      <c r="B21" s="441" t="s">
        <v>131</v>
      </c>
      <c r="C21" s="75" t="s">
        <v>121</v>
      </c>
      <c r="D21" s="76">
        <f t="shared" ref="D21:K21" si="4">D22</f>
        <v>75806.7</v>
      </c>
      <c r="E21" s="76">
        <f t="shared" si="4"/>
        <v>12175</v>
      </c>
      <c r="F21" s="76">
        <f t="shared" si="4"/>
        <v>12445.4</v>
      </c>
      <c r="G21" s="76">
        <f t="shared" si="4"/>
        <v>11717.099999999999</v>
      </c>
      <c r="H21" s="76">
        <f t="shared" si="4"/>
        <v>11164.599999999999</v>
      </c>
      <c r="I21" s="76">
        <f t="shared" si="4"/>
        <v>14152.3</v>
      </c>
      <c r="J21" s="76">
        <f t="shared" si="4"/>
        <v>14152.3</v>
      </c>
      <c r="K21" s="76">
        <f t="shared" si="4"/>
        <v>0</v>
      </c>
      <c r="L21" s="242"/>
      <c r="M21" s="407" t="s">
        <v>374</v>
      </c>
      <c r="N21" s="53"/>
    </row>
    <row r="22" spans="1:14" s="52" customFormat="1" ht="37.5" hidden="1" customHeight="1" x14ac:dyDescent="0.25">
      <c r="A22" s="452"/>
      <c r="B22" s="442"/>
      <c r="C22" s="81" t="s">
        <v>135</v>
      </c>
      <c r="D22" s="76">
        <f>E22+F22+G22+H22+J22+I22+K22</f>
        <v>75806.7</v>
      </c>
      <c r="E22" s="76">
        <f>11670+505</f>
        <v>12175</v>
      </c>
      <c r="F22" s="76">
        <v>12445.4</v>
      </c>
      <c r="G22" s="76">
        <f>14041.3-1326.1-998.1</f>
        <v>11717.099999999999</v>
      </c>
      <c r="H22" s="76">
        <f>14152.3-2987.7</f>
        <v>11164.599999999999</v>
      </c>
      <c r="I22" s="76">
        <v>14152.3</v>
      </c>
      <c r="J22" s="76">
        <v>14152.3</v>
      </c>
      <c r="K22" s="76">
        <v>0</v>
      </c>
      <c r="L22" s="96"/>
      <c r="M22" s="408"/>
      <c r="N22" s="51"/>
    </row>
    <row r="23" spans="1:14" s="52" customFormat="1" ht="18.75" hidden="1" customHeight="1" x14ac:dyDescent="0.25">
      <c r="A23" s="423" t="s">
        <v>130</v>
      </c>
      <c r="B23" s="326" t="s">
        <v>155</v>
      </c>
      <c r="C23" s="73" t="s">
        <v>121</v>
      </c>
      <c r="D23" s="74">
        <f>D24+D25</f>
        <v>18878</v>
      </c>
      <c r="E23" s="74">
        <f t="shared" ref="E23:K23" si="5">E24+E25</f>
        <v>2127</v>
      </c>
      <c r="F23" s="74">
        <f t="shared" si="5"/>
        <v>9355.2000000000007</v>
      </c>
      <c r="G23" s="74">
        <f t="shared" si="5"/>
        <v>4982.2</v>
      </c>
      <c r="H23" s="74">
        <f t="shared" si="5"/>
        <v>2413.6</v>
      </c>
      <c r="I23" s="76">
        <f>I24+I25</f>
        <v>0</v>
      </c>
      <c r="J23" s="74">
        <f t="shared" si="5"/>
        <v>0</v>
      </c>
      <c r="K23" s="74">
        <f t="shared" si="5"/>
        <v>0</v>
      </c>
      <c r="L23" s="241"/>
      <c r="M23" s="326" t="s">
        <v>375</v>
      </c>
      <c r="N23" s="51"/>
    </row>
    <row r="24" spans="1:14" s="52" customFormat="1" ht="18.75" hidden="1" customHeight="1" x14ac:dyDescent="0.25">
      <c r="A24" s="424"/>
      <c r="B24" s="378"/>
      <c r="C24" s="73" t="s">
        <v>122</v>
      </c>
      <c r="D24" s="74">
        <f>E24+F24+G24+H24+J24+I24+K24</f>
        <v>2428.1</v>
      </c>
      <c r="E24" s="74">
        <v>170</v>
      </c>
      <c r="F24" s="74">
        <f>F27+F30</f>
        <v>1046</v>
      </c>
      <c r="G24" s="74">
        <f>223.5+G33</f>
        <v>298.5</v>
      </c>
      <c r="H24" s="74">
        <f>747.2-410+65.5+510.9</f>
        <v>913.6</v>
      </c>
      <c r="I24" s="76">
        <v>0</v>
      </c>
      <c r="J24" s="74">
        <v>0</v>
      </c>
      <c r="K24" s="82">
        <v>0</v>
      </c>
      <c r="L24" s="82"/>
      <c r="M24" s="378"/>
      <c r="N24" s="51"/>
    </row>
    <row r="25" spans="1:14" s="52" customFormat="1" ht="37.5" hidden="1" customHeight="1" x14ac:dyDescent="0.25">
      <c r="A25" s="425"/>
      <c r="B25" s="327"/>
      <c r="C25" s="73" t="s">
        <v>138</v>
      </c>
      <c r="D25" s="74">
        <f>E25+F25+G25+H25+J25+I25+K25</f>
        <v>16449.900000000001</v>
      </c>
      <c r="E25" s="83">
        <f>980+287+690</f>
        <v>1957</v>
      </c>
      <c r="F25" s="74">
        <f>F28+690</f>
        <v>8309.2000000000007</v>
      </c>
      <c r="G25" s="84">
        <f>1638.7+G31+G34</f>
        <v>4683.7</v>
      </c>
      <c r="H25" s="74">
        <f>H28+H31+H34</f>
        <v>1500</v>
      </c>
      <c r="I25" s="76">
        <v>0</v>
      </c>
      <c r="J25" s="74">
        <v>0</v>
      </c>
      <c r="K25" s="74">
        <v>0</v>
      </c>
      <c r="L25" s="82"/>
      <c r="M25" s="378"/>
      <c r="N25" s="51"/>
    </row>
    <row r="26" spans="1:14" s="52" customFormat="1" ht="18.75" hidden="1" customHeight="1" x14ac:dyDescent="0.25">
      <c r="A26" s="414" t="s">
        <v>142</v>
      </c>
      <c r="B26" s="361" t="s">
        <v>144</v>
      </c>
      <c r="C26" s="73" t="s">
        <v>121</v>
      </c>
      <c r="D26" s="74">
        <f>D27+D28</f>
        <v>10520.500000000002</v>
      </c>
      <c r="E26" s="83">
        <f>E27+E28</f>
        <v>0</v>
      </c>
      <c r="F26" s="83">
        <f t="shared" ref="F26:K26" si="6">F27+F28</f>
        <v>8658.3000000000011</v>
      </c>
      <c r="G26" s="83">
        <f t="shared" si="6"/>
        <v>1862.2</v>
      </c>
      <c r="H26" s="83">
        <f>H27+H28</f>
        <v>0</v>
      </c>
      <c r="I26" s="91">
        <f>I27+I28</f>
        <v>0</v>
      </c>
      <c r="J26" s="83">
        <f t="shared" si="6"/>
        <v>0</v>
      </c>
      <c r="K26" s="83">
        <f t="shared" si="6"/>
        <v>0</v>
      </c>
      <c r="L26" s="249"/>
      <c r="M26" s="378"/>
      <c r="N26" s="51"/>
    </row>
    <row r="27" spans="1:14" s="52" customFormat="1" ht="18.75" hidden="1" customHeight="1" x14ac:dyDescent="0.25">
      <c r="A27" s="415"/>
      <c r="B27" s="362"/>
      <c r="C27" s="73" t="s">
        <v>122</v>
      </c>
      <c r="D27" s="74">
        <f>E27+F27+G27+H27+J27+I27+K27</f>
        <v>1262.5999999999999</v>
      </c>
      <c r="E27" s="83">
        <v>0</v>
      </c>
      <c r="F27" s="85">
        <f>618.2+482.3-61.4</f>
        <v>1039.0999999999999</v>
      </c>
      <c r="G27" s="84">
        <v>223.5</v>
      </c>
      <c r="H27" s="74">
        <v>0</v>
      </c>
      <c r="I27" s="76">
        <v>0</v>
      </c>
      <c r="J27" s="74">
        <v>0</v>
      </c>
      <c r="K27" s="74">
        <v>0</v>
      </c>
      <c r="L27" s="82"/>
      <c r="M27" s="378"/>
      <c r="N27" s="51"/>
    </row>
    <row r="28" spans="1:14" s="52" customFormat="1" ht="86.25" hidden="1" customHeight="1" x14ac:dyDescent="0.25">
      <c r="A28" s="416"/>
      <c r="B28" s="363"/>
      <c r="C28" s="73" t="s">
        <v>138</v>
      </c>
      <c r="D28" s="74">
        <f>E28+F28+G28+H28+J28+I28+K28</f>
        <v>9257.9000000000015</v>
      </c>
      <c r="E28" s="83">
        <v>0</v>
      </c>
      <c r="F28" s="86">
        <f>8069.6-450.4</f>
        <v>7619.2000000000007</v>
      </c>
      <c r="G28" s="84">
        <f>1638.7</f>
        <v>1638.7</v>
      </c>
      <c r="H28" s="74">
        <v>0</v>
      </c>
      <c r="I28" s="76">
        <v>0</v>
      </c>
      <c r="J28" s="74">
        <v>0</v>
      </c>
      <c r="K28" s="74">
        <v>0</v>
      </c>
      <c r="L28" s="82"/>
      <c r="M28" s="378"/>
      <c r="N28" s="51"/>
    </row>
    <row r="29" spans="1:14" s="52" customFormat="1" ht="18.75" hidden="1" customHeight="1" x14ac:dyDescent="0.25">
      <c r="A29" s="414" t="s">
        <v>143</v>
      </c>
      <c r="B29" s="361" t="s">
        <v>145</v>
      </c>
      <c r="C29" s="73" t="s">
        <v>121</v>
      </c>
      <c r="D29" s="74">
        <f>D30+D31</f>
        <v>4066.9</v>
      </c>
      <c r="E29" s="74">
        <f t="shared" ref="E29:K29" si="7">E30+E31</f>
        <v>0</v>
      </c>
      <c r="F29" s="74">
        <f t="shared" si="7"/>
        <v>696.9</v>
      </c>
      <c r="G29" s="74">
        <f>G30+G31</f>
        <v>1870</v>
      </c>
      <c r="H29" s="74">
        <f t="shared" si="7"/>
        <v>1500</v>
      </c>
      <c r="I29" s="76">
        <f>I30+I31</f>
        <v>0</v>
      </c>
      <c r="J29" s="74">
        <f t="shared" si="7"/>
        <v>0</v>
      </c>
      <c r="K29" s="74">
        <f t="shared" si="7"/>
        <v>0</v>
      </c>
      <c r="L29" s="82"/>
      <c r="M29" s="378"/>
      <c r="N29" s="51"/>
    </row>
    <row r="30" spans="1:14" s="52" customFormat="1" ht="18.75" hidden="1" customHeight="1" x14ac:dyDescent="0.25">
      <c r="A30" s="415"/>
      <c r="B30" s="362"/>
      <c r="C30" s="73" t="s">
        <v>122</v>
      </c>
      <c r="D30" s="74">
        <f>E30+F30+G30+H30+J30+I30+K30</f>
        <v>6.9</v>
      </c>
      <c r="E30" s="83">
        <v>0</v>
      </c>
      <c r="F30" s="87">
        <v>6.9</v>
      </c>
      <c r="G30" s="84">
        <v>0</v>
      </c>
      <c r="H30" s="74">
        <v>0</v>
      </c>
      <c r="I30" s="76">
        <v>0</v>
      </c>
      <c r="J30" s="74">
        <v>0</v>
      </c>
      <c r="K30" s="74">
        <v>0</v>
      </c>
      <c r="L30" s="82"/>
      <c r="M30" s="378"/>
      <c r="N30" s="51"/>
    </row>
    <row r="31" spans="1:14" s="52" customFormat="1" ht="44.25" hidden="1" customHeight="1" x14ac:dyDescent="0.25">
      <c r="A31" s="416"/>
      <c r="B31" s="363"/>
      <c r="C31" s="73" t="s">
        <v>138</v>
      </c>
      <c r="D31" s="74">
        <f>E31+F31+G31+H31+J31+I31+K31</f>
        <v>4060</v>
      </c>
      <c r="E31" s="83">
        <v>0</v>
      </c>
      <c r="F31" s="88">
        <v>690</v>
      </c>
      <c r="G31" s="84">
        <f>920+950</f>
        <v>1870</v>
      </c>
      <c r="H31" s="89">
        <v>1500</v>
      </c>
      <c r="I31" s="76">
        <v>0</v>
      </c>
      <c r="J31" s="74">
        <v>0</v>
      </c>
      <c r="K31" s="90">
        <v>0</v>
      </c>
      <c r="L31" s="90"/>
      <c r="M31" s="327"/>
      <c r="N31" s="51"/>
    </row>
    <row r="32" spans="1:14" s="52" customFormat="1" ht="18.75" hidden="1" customHeight="1" x14ac:dyDescent="0.25">
      <c r="A32" s="414" t="s">
        <v>148</v>
      </c>
      <c r="B32" s="419" t="s">
        <v>149</v>
      </c>
      <c r="C32" s="75" t="s">
        <v>121</v>
      </c>
      <c r="D32" s="76">
        <f>D33+D34</f>
        <v>1250</v>
      </c>
      <c r="E32" s="76">
        <f t="shared" ref="E32:K32" si="8">E33+E34</f>
        <v>0</v>
      </c>
      <c r="F32" s="76">
        <f t="shared" si="8"/>
        <v>0</v>
      </c>
      <c r="G32" s="76">
        <f t="shared" si="8"/>
        <v>1250</v>
      </c>
      <c r="H32" s="76">
        <f t="shared" si="8"/>
        <v>0</v>
      </c>
      <c r="I32" s="76">
        <f>I33+I34</f>
        <v>0</v>
      </c>
      <c r="J32" s="76">
        <f t="shared" si="8"/>
        <v>0</v>
      </c>
      <c r="K32" s="76">
        <f t="shared" si="8"/>
        <v>0</v>
      </c>
      <c r="L32" s="242"/>
      <c r="M32" s="419" t="s">
        <v>150</v>
      </c>
      <c r="N32" s="51"/>
    </row>
    <row r="33" spans="1:14" s="52" customFormat="1" ht="78.75" hidden="1" customHeight="1" x14ac:dyDescent="0.25">
      <c r="A33" s="415"/>
      <c r="B33" s="420"/>
      <c r="C33" s="75" t="s">
        <v>122</v>
      </c>
      <c r="D33" s="76">
        <f>E33+F33+G33+H33+J33+I33+K33</f>
        <v>75</v>
      </c>
      <c r="E33" s="91">
        <v>0</v>
      </c>
      <c r="F33" s="92">
        <v>0</v>
      </c>
      <c r="G33" s="93">
        <v>75</v>
      </c>
      <c r="H33" s="94">
        <v>0</v>
      </c>
      <c r="I33" s="76">
        <v>0</v>
      </c>
      <c r="J33" s="76">
        <v>0</v>
      </c>
      <c r="K33" s="76">
        <v>0</v>
      </c>
      <c r="L33" s="210"/>
      <c r="M33" s="420"/>
      <c r="N33" s="51"/>
    </row>
    <row r="34" spans="1:14" s="52" customFormat="1" ht="56.25" hidden="1" customHeight="1" x14ac:dyDescent="0.25">
      <c r="A34" s="416"/>
      <c r="B34" s="421"/>
      <c r="C34" s="75" t="s">
        <v>138</v>
      </c>
      <c r="D34" s="76">
        <f>E34+F34+G34+H34+J34+I34+K34</f>
        <v>1175</v>
      </c>
      <c r="E34" s="91">
        <v>0</v>
      </c>
      <c r="F34" s="95">
        <v>0</v>
      </c>
      <c r="G34" s="93">
        <v>1175</v>
      </c>
      <c r="H34" s="94">
        <v>0</v>
      </c>
      <c r="I34" s="76">
        <v>0</v>
      </c>
      <c r="J34" s="76">
        <v>0</v>
      </c>
      <c r="K34" s="96">
        <v>0</v>
      </c>
      <c r="L34" s="96"/>
      <c r="M34" s="421"/>
      <c r="N34" s="51"/>
    </row>
    <row r="35" spans="1:14" s="52" customFormat="1" ht="69.75" hidden="1" x14ac:dyDescent="0.25">
      <c r="A35" s="97" t="s">
        <v>156</v>
      </c>
      <c r="B35" s="98" t="s">
        <v>157</v>
      </c>
      <c r="C35" s="75" t="s">
        <v>122</v>
      </c>
      <c r="D35" s="76">
        <f>E35+F35+G35+H35+I35+J35+K35</f>
        <v>79.599999999999994</v>
      </c>
      <c r="E35" s="91">
        <v>0</v>
      </c>
      <c r="F35" s="92">
        <v>0</v>
      </c>
      <c r="G35" s="93">
        <v>0</v>
      </c>
      <c r="H35" s="94">
        <v>79.599999999999994</v>
      </c>
      <c r="I35" s="76">
        <v>0</v>
      </c>
      <c r="J35" s="76">
        <v>0</v>
      </c>
      <c r="K35" s="96">
        <v>0</v>
      </c>
      <c r="L35" s="96"/>
      <c r="M35" s="99" t="s">
        <v>158</v>
      </c>
      <c r="N35" s="51"/>
    </row>
    <row r="36" spans="1:14" s="52" customFormat="1" ht="52.5" hidden="1" customHeight="1" x14ac:dyDescent="0.25">
      <c r="A36" s="100" t="s">
        <v>159</v>
      </c>
      <c r="B36" s="101" t="s">
        <v>153</v>
      </c>
      <c r="C36" s="73" t="s">
        <v>122</v>
      </c>
      <c r="D36" s="74">
        <f>E36+F36+G36+H36+I36+J36+K36</f>
        <v>185</v>
      </c>
      <c r="E36" s="83">
        <v>0</v>
      </c>
      <c r="F36" s="88">
        <v>0</v>
      </c>
      <c r="G36" s="84">
        <v>0</v>
      </c>
      <c r="H36" s="89">
        <f>185+65.5-65.5</f>
        <v>185</v>
      </c>
      <c r="I36" s="76">
        <v>0</v>
      </c>
      <c r="J36" s="74">
        <v>0</v>
      </c>
      <c r="K36" s="90">
        <v>0</v>
      </c>
      <c r="L36" s="90"/>
      <c r="M36" s="101" t="s">
        <v>154</v>
      </c>
      <c r="N36" s="51"/>
    </row>
    <row r="37" spans="1:14" s="190" customFormat="1" ht="21.75" customHeight="1" x14ac:dyDescent="0.25">
      <c r="A37" s="191"/>
      <c r="B37" s="182"/>
      <c r="C37" s="182" t="s">
        <v>350</v>
      </c>
      <c r="D37" s="74">
        <f>D38+D39</f>
        <v>4338545.6999999993</v>
      </c>
      <c r="E37" s="74">
        <f t="shared" ref="E37:L37" si="9">E38+E39</f>
        <v>477427.5</v>
      </c>
      <c r="F37" s="74">
        <f t="shared" si="9"/>
        <v>496661.2</v>
      </c>
      <c r="G37" s="74">
        <f t="shared" si="9"/>
        <v>502552.5</v>
      </c>
      <c r="H37" s="74">
        <f t="shared" si="9"/>
        <v>519406.79999999993</v>
      </c>
      <c r="I37" s="76">
        <f t="shared" si="9"/>
        <v>565004.30000000005</v>
      </c>
      <c r="J37" s="74">
        <f t="shared" si="9"/>
        <v>603726.69999999995</v>
      </c>
      <c r="K37" s="74">
        <f t="shared" si="9"/>
        <v>584843.80000000005</v>
      </c>
      <c r="L37" s="74">
        <f t="shared" si="9"/>
        <v>588922.9</v>
      </c>
      <c r="M37" s="187"/>
      <c r="N37" s="192"/>
    </row>
    <row r="38" spans="1:14" s="52" customFormat="1" ht="23.25" customHeight="1" x14ac:dyDescent="0.35">
      <c r="A38" s="100"/>
      <c r="B38" s="103"/>
      <c r="C38" s="102" t="s">
        <v>122</v>
      </c>
      <c r="D38" s="74">
        <f>E38+F38+G38+H38+I38+J38+K38+L38</f>
        <v>1529333.4</v>
      </c>
      <c r="E38" s="74">
        <f t="shared" ref="E38:G38" si="10">E15+E24+E35+E36</f>
        <v>168090.6</v>
      </c>
      <c r="F38" s="74">
        <f t="shared" si="10"/>
        <v>170549.09999999998</v>
      </c>
      <c r="G38" s="74">
        <f t="shared" si="10"/>
        <v>166171.40000000002</v>
      </c>
      <c r="H38" s="74">
        <f>188451.1+201.5+364-185</f>
        <v>188831.6</v>
      </c>
      <c r="I38" s="76">
        <v>207179.6</v>
      </c>
      <c r="J38" s="74">
        <v>214442.1</v>
      </c>
      <c r="K38" s="74">
        <v>205035.9</v>
      </c>
      <c r="L38" s="90">
        <v>209033.1</v>
      </c>
      <c r="M38" s="101"/>
      <c r="N38" s="51"/>
    </row>
    <row r="39" spans="1:14" s="52" customFormat="1" ht="21.75" customHeight="1" x14ac:dyDescent="0.35">
      <c r="A39" s="100"/>
      <c r="B39" s="103"/>
      <c r="C39" s="102" t="s">
        <v>169</v>
      </c>
      <c r="D39" s="74">
        <f>E39+F39+G39+H39+I39+J39+K39+L39</f>
        <v>2809212.2999999993</v>
      </c>
      <c r="E39" s="74">
        <f t="shared" ref="E39:G39" si="11">E16+E22+E25</f>
        <v>309336.90000000002</v>
      </c>
      <c r="F39" s="74">
        <f t="shared" si="11"/>
        <v>326112.10000000003</v>
      </c>
      <c r="G39" s="74">
        <f t="shared" si="11"/>
        <v>336381.1</v>
      </c>
      <c r="H39" s="74">
        <f>H16+H22+H25+2562.3-471.8</f>
        <v>330575.19999999995</v>
      </c>
      <c r="I39" s="76">
        <v>357824.7</v>
      </c>
      <c r="J39" s="74">
        <v>389284.6</v>
      </c>
      <c r="K39" s="74">
        <v>379807.9</v>
      </c>
      <c r="L39" s="90">
        <v>379889.8</v>
      </c>
      <c r="M39" s="101"/>
      <c r="N39" s="51"/>
    </row>
    <row r="40" spans="1:14" s="52" customFormat="1" ht="19.5" customHeight="1" x14ac:dyDescent="0.35">
      <c r="A40" s="100"/>
      <c r="B40" s="103"/>
      <c r="C40" s="102" t="s">
        <v>194</v>
      </c>
      <c r="D40" s="74"/>
      <c r="E40" s="74"/>
      <c r="F40" s="74"/>
      <c r="G40" s="74"/>
      <c r="H40" s="74"/>
      <c r="I40" s="76"/>
      <c r="J40" s="74"/>
      <c r="K40" s="74"/>
      <c r="L40" s="90"/>
      <c r="M40" s="101"/>
      <c r="N40" s="51"/>
    </row>
    <row r="41" spans="1:14" s="52" customFormat="1" ht="45.75" customHeight="1" x14ac:dyDescent="0.35">
      <c r="A41" s="100"/>
      <c r="B41" s="103"/>
      <c r="C41" s="102" t="s">
        <v>352</v>
      </c>
      <c r="D41" s="104"/>
      <c r="E41" s="104"/>
      <c r="F41" s="104"/>
      <c r="G41" s="104"/>
      <c r="H41" s="104"/>
      <c r="I41" s="203"/>
      <c r="J41" s="104"/>
      <c r="K41" s="104"/>
      <c r="L41" s="250"/>
      <c r="M41" s="101"/>
      <c r="N41" s="51"/>
    </row>
    <row r="42" spans="1:14" s="52" customFormat="1" ht="23.25" x14ac:dyDescent="0.35">
      <c r="A42" s="79" t="s">
        <v>129</v>
      </c>
      <c r="B42" s="105" t="s">
        <v>112</v>
      </c>
      <c r="C42" s="411" t="s">
        <v>118</v>
      </c>
      <c r="D42" s="412"/>
      <c r="E42" s="412"/>
      <c r="F42" s="412"/>
      <c r="G42" s="412"/>
      <c r="H42" s="412"/>
      <c r="I42" s="412"/>
      <c r="J42" s="412"/>
      <c r="K42" s="412"/>
      <c r="L42" s="412"/>
      <c r="M42" s="413"/>
      <c r="N42" s="51"/>
    </row>
    <row r="43" spans="1:14" s="52" customFormat="1" ht="23.25" x14ac:dyDescent="0.35">
      <c r="A43" s="79" t="s">
        <v>132</v>
      </c>
      <c r="B43" s="105" t="s">
        <v>160</v>
      </c>
      <c r="C43" s="411" t="s">
        <v>118</v>
      </c>
      <c r="D43" s="411"/>
      <c r="E43" s="411"/>
      <c r="F43" s="412"/>
      <c r="G43" s="411"/>
      <c r="H43" s="411"/>
      <c r="I43" s="411"/>
      <c r="J43" s="411"/>
      <c r="K43" s="411"/>
      <c r="L43" s="411"/>
      <c r="M43" s="413"/>
      <c r="N43" s="51"/>
    </row>
    <row r="44" spans="1:14" s="52" customFormat="1" ht="18.75" hidden="1" customHeight="1" x14ac:dyDescent="0.25">
      <c r="A44" s="417" t="s">
        <v>133</v>
      </c>
      <c r="B44" s="418" t="s">
        <v>116</v>
      </c>
      <c r="C44" s="81" t="s">
        <v>121</v>
      </c>
      <c r="D44" s="76">
        <f>D45+D46</f>
        <v>0</v>
      </c>
      <c r="E44" s="76">
        <f>E45+E46</f>
        <v>0</v>
      </c>
      <c r="F44" s="76">
        <f>F45+F46</f>
        <v>0</v>
      </c>
      <c r="G44" s="76">
        <f>G45+G46</f>
        <v>0</v>
      </c>
      <c r="H44" s="76">
        <f t="shared" ref="H44:K44" si="12">H45+H46</f>
        <v>0</v>
      </c>
      <c r="I44" s="76">
        <f>I45+I46</f>
        <v>0</v>
      </c>
      <c r="J44" s="76">
        <f t="shared" si="12"/>
        <v>0</v>
      </c>
      <c r="K44" s="76">
        <f t="shared" si="12"/>
        <v>0</v>
      </c>
      <c r="L44" s="76"/>
      <c r="M44" s="418" t="s">
        <v>152</v>
      </c>
      <c r="N44" s="51"/>
    </row>
    <row r="45" spans="1:14" s="52" customFormat="1" ht="18.75" hidden="1" customHeight="1" x14ac:dyDescent="0.25">
      <c r="A45" s="417"/>
      <c r="B45" s="418"/>
      <c r="C45" s="81" t="s">
        <v>122</v>
      </c>
      <c r="D45" s="76">
        <f>E45+F45+G45</f>
        <v>0</v>
      </c>
      <c r="E45" s="76">
        <v>0</v>
      </c>
      <c r="F45" s="76">
        <v>0</v>
      </c>
      <c r="G45" s="76">
        <v>0</v>
      </c>
      <c r="H45" s="76">
        <v>0</v>
      </c>
      <c r="I45" s="76">
        <v>0</v>
      </c>
      <c r="J45" s="76">
        <v>0</v>
      </c>
      <c r="K45" s="76">
        <v>0</v>
      </c>
      <c r="L45" s="76"/>
      <c r="M45" s="418"/>
      <c r="N45" s="51"/>
    </row>
    <row r="46" spans="1:14" s="52" customFormat="1" ht="83.25" hidden="1" customHeight="1" x14ac:dyDescent="0.25">
      <c r="A46" s="417"/>
      <c r="B46" s="418"/>
      <c r="C46" s="75" t="s">
        <v>135</v>
      </c>
      <c r="D46" s="106">
        <f>E46+F46+G46</f>
        <v>0</v>
      </c>
      <c r="E46" s="76">
        <v>0</v>
      </c>
      <c r="F46" s="76">
        <v>0</v>
      </c>
      <c r="G46" s="76">
        <v>0</v>
      </c>
      <c r="H46" s="76">
        <v>0</v>
      </c>
      <c r="I46" s="76">
        <v>0</v>
      </c>
      <c r="J46" s="76">
        <v>0</v>
      </c>
      <c r="K46" s="76">
        <v>0</v>
      </c>
      <c r="L46" s="76"/>
      <c r="M46" s="422"/>
      <c r="N46" s="51"/>
    </row>
    <row r="47" spans="1:14" s="52" customFormat="1" ht="42.75" customHeight="1" x14ac:dyDescent="0.35">
      <c r="A47" s="79"/>
      <c r="B47" s="102"/>
      <c r="C47" s="102" t="s">
        <v>350</v>
      </c>
      <c r="D47" s="76">
        <f>D48+D51</f>
        <v>0</v>
      </c>
      <c r="E47" s="76">
        <f>E48+E51</f>
        <v>0</v>
      </c>
      <c r="F47" s="76">
        <f>F48+F51</f>
        <v>0</v>
      </c>
      <c r="G47" s="76">
        <f>G48+G51</f>
        <v>0</v>
      </c>
      <c r="H47" s="76">
        <f t="shared" ref="H47" si="13">H48+H51</f>
        <v>0</v>
      </c>
      <c r="I47" s="76">
        <f>I48+I51</f>
        <v>0</v>
      </c>
      <c r="J47" s="76">
        <f t="shared" ref="J47:L47" si="14">J48+J51</f>
        <v>0</v>
      </c>
      <c r="K47" s="76">
        <f t="shared" si="14"/>
        <v>0</v>
      </c>
      <c r="L47" s="76">
        <f t="shared" si="14"/>
        <v>0</v>
      </c>
      <c r="M47" s="107" t="s">
        <v>373</v>
      </c>
      <c r="N47" s="51"/>
    </row>
    <row r="48" spans="1:14" s="52" customFormat="1" ht="20.25" customHeight="1" x14ac:dyDescent="0.35">
      <c r="A48" s="79"/>
      <c r="B48" s="103"/>
      <c r="C48" s="102" t="s">
        <v>122</v>
      </c>
      <c r="D48" s="76">
        <f>E48+F48+G48</f>
        <v>0</v>
      </c>
      <c r="E48" s="76">
        <v>0</v>
      </c>
      <c r="F48" s="76">
        <v>0</v>
      </c>
      <c r="G48" s="76">
        <v>0</v>
      </c>
      <c r="H48" s="76">
        <v>0</v>
      </c>
      <c r="I48" s="76">
        <v>0</v>
      </c>
      <c r="J48" s="76">
        <v>0</v>
      </c>
      <c r="K48" s="76">
        <v>0</v>
      </c>
      <c r="L48" s="76">
        <v>0</v>
      </c>
      <c r="M48" s="107"/>
      <c r="N48" s="51"/>
    </row>
    <row r="49" spans="1:14" s="52" customFormat="1" ht="20.25" customHeight="1" x14ac:dyDescent="0.35">
      <c r="A49" s="79"/>
      <c r="B49" s="103"/>
      <c r="C49" s="102" t="s">
        <v>169</v>
      </c>
      <c r="D49" s="76"/>
      <c r="E49" s="76"/>
      <c r="F49" s="76"/>
      <c r="G49" s="76"/>
      <c r="H49" s="76"/>
      <c r="I49" s="76"/>
      <c r="J49" s="76"/>
      <c r="K49" s="76"/>
      <c r="L49" s="76"/>
      <c r="M49" s="107"/>
      <c r="N49" s="51"/>
    </row>
    <row r="50" spans="1:14" s="52" customFormat="1" ht="20.25" customHeight="1" x14ac:dyDescent="0.35">
      <c r="A50" s="79"/>
      <c r="B50" s="103"/>
      <c r="C50" s="102" t="s">
        <v>194</v>
      </c>
      <c r="D50" s="76"/>
      <c r="E50" s="76"/>
      <c r="F50" s="76"/>
      <c r="G50" s="76"/>
      <c r="H50" s="76"/>
      <c r="I50" s="76"/>
      <c r="J50" s="76"/>
      <c r="K50" s="76"/>
      <c r="L50" s="76"/>
      <c r="M50" s="107"/>
      <c r="N50" s="51"/>
    </row>
    <row r="51" spans="1:14" s="52" customFormat="1" ht="20.25" customHeight="1" x14ac:dyDescent="0.35">
      <c r="A51" s="79"/>
      <c r="B51" s="103"/>
      <c r="C51" s="102" t="s">
        <v>352</v>
      </c>
      <c r="D51" s="106"/>
      <c r="E51" s="76"/>
      <c r="F51" s="76"/>
      <c r="G51" s="76"/>
      <c r="H51" s="76"/>
      <c r="I51" s="76"/>
      <c r="J51" s="76"/>
      <c r="K51" s="76"/>
      <c r="L51" s="76"/>
      <c r="M51" s="107"/>
      <c r="N51" s="51"/>
    </row>
    <row r="52" spans="1:14" s="190" customFormat="1" ht="20.25" customHeight="1" x14ac:dyDescent="0.35">
      <c r="A52" s="194"/>
      <c r="B52" s="103"/>
      <c r="C52" s="271" t="s">
        <v>355</v>
      </c>
      <c r="D52" s="275"/>
      <c r="E52" s="275"/>
      <c r="F52" s="275"/>
      <c r="G52" s="275"/>
      <c r="H52" s="275"/>
      <c r="I52" s="275"/>
      <c r="J52" s="275"/>
      <c r="K52" s="275"/>
      <c r="L52" s="275"/>
      <c r="M52" s="276"/>
      <c r="N52" s="192"/>
    </row>
    <row r="53" spans="1:14" s="52" customFormat="1" ht="23.25" x14ac:dyDescent="0.35">
      <c r="A53" s="69">
        <v>2</v>
      </c>
      <c r="B53" s="108" t="s">
        <v>113</v>
      </c>
      <c r="C53" s="290" t="s">
        <v>165</v>
      </c>
      <c r="D53" s="290"/>
      <c r="E53" s="290"/>
      <c r="F53" s="290"/>
      <c r="G53" s="290"/>
      <c r="H53" s="290"/>
      <c r="I53" s="290"/>
      <c r="J53" s="290"/>
      <c r="K53" s="290"/>
      <c r="L53" s="290"/>
      <c r="M53" s="290"/>
    </row>
    <row r="54" spans="1:14" s="52" customFormat="1" ht="23.25" x14ac:dyDescent="0.35">
      <c r="A54" s="109" t="s">
        <v>133</v>
      </c>
      <c r="B54" s="108" t="s">
        <v>112</v>
      </c>
      <c r="C54" s="291" t="s">
        <v>166</v>
      </c>
      <c r="D54" s="291"/>
      <c r="E54" s="291"/>
      <c r="F54" s="291"/>
      <c r="G54" s="291"/>
      <c r="H54" s="291"/>
      <c r="I54" s="291"/>
      <c r="J54" s="291"/>
      <c r="K54" s="291"/>
      <c r="L54" s="291"/>
      <c r="M54" s="291"/>
    </row>
    <row r="55" spans="1:14" s="52" customFormat="1" ht="23.25" x14ac:dyDescent="0.25">
      <c r="A55" s="67">
        <v>1</v>
      </c>
      <c r="B55" s="108" t="s">
        <v>160</v>
      </c>
      <c r="C55" s="291" t="s">
        <v>166</v>
      </c>
      <c r="D55" s="291"/>
      <c r="E55" s="291"/>
      <c r="F55" s="291"/>
      <c r="G55" s="291"/>
      <c r="H55" s="291"/>
      <c r="I55" s="291"/>
      <c r="J55" s="291"/>
      <c r="K55" s="291"/>
      <c r="L55" s="291"/>
      <c r="M55" s="291"/>
    </row>
    <row r="56" spans="1:14" s="52" customFormat="1" ht="18.75" hidden="1" customHeight="1" x14ac:dyDescent="0.25">
      <c r="A56" s="330" t="s">
        <v>123</v>
      </c>
      <c r="B56" s="290" t="s">
        <v>167</v>
      </c>
      <c r="C56" s="108" t="s">
        <v>121</v>
      </c>
      <c r="D56" s="110">
        <f t="shared" ref="D56:K56" si="15">D57+D58</f>
        <v>413922.3</v>
      </c>
      <c r="E56" s="110">
        <f t="shared" si="15"/>
        <v>3917</v>
      </c>
      <c r="F56" s="110">
        <f t="shared" si="15"/>
        <v>31714.400000000001</v>
      </c>
      <c r="G56" s="110">
        <f>G57+G58</f>
        <v>360152.8</v>
      </c>
      <c r="H56" s="110">
        <f>H57+H58</f>
        <v>2599.4</v>
      </c>
      <c r="I56" s="204">
        <f>I57+I58</f>
        <v>15538.699999999999</v>
      </c>
      <c r="J56" s="110">
        <f t="shared" si="15"/>
        <v>0</v>
      </c>
      <c r="K56" s="110">
        <f t="shared" si="15"/>
        <v>0</v>
      </c>
      <c r="L56" s="110"/>
      <c r="M56" s="290" t="s">
        <v>168</v>
      </c>
    </row>
    <row r="57" spans="1:14" s="52" customFormat="1" ht="18.75" hidden="1" customHeight="1" x14ac:dyDescent="0.25">
      <c r="A57" s="330"/>
      <c r="B57" s="290"/>
      <c r="C57" s="108" t="s">
        <v>122</v>
      </c>
      <c r="D57" s="110">
        <f>E57+F57+G57+H57+J57+I57+K57</f>
        <v>47343.4</v>
      </c>
      <c r="E57" s="110">
        <f>2877.9+1001+38.1</f>
        <v>3917</v>
      </c>
      <c r="F57" s="110">
        <f>F60+F62+F64</f>
        <v>12914.4</v>
      </c>
      <c r="G57" s="110">
        <f>G60+G62+G64+G65</f>
        <v>29423.5</v>
      </c>
      <c r="H57" s="110">
        <f>H60+H62+H64+H65+H63+H67</f>
        <v>156.1</v>
      </c>
      <c r="I57" s="204">
        <v>932.4</v>
      </c>
      <c r="J57" s="110">
        <f>J60+J62+J64+J65</f>
        <v>0</v>
      </c>
      <c r="K57" s="110">
        <v>0</v>
      </c>
      <c r="L57" s="110"/>
      <c r="M57" s="290"/>
    </row>
    <row r="58" spans="1:14" s="52" customFormat="1" ht="42" hidden="1" customHeight="1" x14ac:dyDescent="0.25">
      <c r="A58" s="330"/>
      <c r="B58" s="290"/>
      <c r="C58" s="111" t="s">
        <v>169</v>
      </c>
      <c r="D58" s="110">
        <f>E58+F58+G58+H58+J58+I58+K58</f>
        <v>366578.89999999997</v>
      </c>
      <c r="E58" s="112">
        <v>0</v>
      </c>
      <c r="F58" s="112">
        <f>F61</f>
        <v>18800</v>
      </c>
      <c r="G58" s="112">
        <f>G61</f>
        <v>330729.3</v>
      </c>
      <c r="H58" s="112">
        <f>H61+H68</f>
        <v>2443.3000000000002</v>
      </c>
      <c r="I58" s="205">
        <v>14606.3</v>
      </c>
      <c r="J58" s="112">
        <v>0</v>
      </c>
      <c r="K58" s="112">
        <v>0</v>
      </c>
      <c r="L58" s="232"/>
      <c r="M58" s="290"/>
    </row>
    <row r="59" spans="1:14" s="52" customFormat="1" ht="18.75" hidden="1" customHeight="1" x14ac:dyDescent="0.25">
      <c r="A59" s="324" t="s">
        <v>124</v>
      </c>
      <c r="B59" s="290" t="s">
        <v>170</v>
      </c>
      <c r="C59" s="111" t="s">
        <v>121</v>
      </c>
      <c r="D59" s="110">
        <f t="shared" ref="D59:K59" si="16">D60+D61</f>
        <v>371839.7</v>
      </c>
      <c r="E59" s="110">
        <f t="shared" si="16"/>
        <v>0</v>
      </c>
      <c r="F59" s="110">
        <f t="shared" si="16"/>
        <v>20000</v>
      </c>
      <c r="G59" s="110">
        <f>G60+G61</f>
        <v>351839.7</v>
      </c>
      <c r="H59" s="110">
        <f>H60+H61</f>
        <v>0</v>
      </c>
      <c r="I59" s="204">
        <f>I60+I61</f>
        <v>0</v>
      </c>
      <c r="J59" s="110">
        <f t="shared" si="16"/>
        <v>0</v>
      </c>
      <c r="K59" s="110">
        <f t="shared" si="16"/>
        <v>0</v>
      </c>
      <c r="L59" s="110"/>
      <c r="M59" s="290" t="s">
        <v>171</v>
      </c>
      <c r="N59" s="43"/>
    </row>
    <row r="60" spans="1:14" s="52" customFormat="1" ht="18.75" hidden="1" customHeight="1" x14ac:dyDescent="0.25">
      <c r="A60" s="405"/>
      <c r="B60" s="290"/>
      <c r="C60" s="111" t="s">
        <v>122</v>
      </c>
      <c r="D60" s="110">
        <f t="shared" ref="D60:D65" si="17">E60+F60+G60+H60+J60+I60+K60</f>
        <v>22310.400000000001</v>
      </c>
      <c r="E60" s="110">
        <v>0</v>
      </c>
      <c r="F60" s="110">
        <v>1200</v>
      </c>
      <c r="G60" s="110">
        <f>21110.4+147.8-147.8</f>
        <v>21110.400000000001</v>
      </c>
      <c r="H60" s="110">
        <v>0</v>
      </c>
      <c r="I60" s="204">
        <v>0</v>
      </c>
      <c r="J60" s="110">
        <v>0</v>
      </c>
      <c r="K60" s="110">
        <v>0</v>
      </c>
      <c r="L60" s="110"/>
      <c r="M60" s="290"/>
    </row>
    <row r="61" spans="1:14" s="52" customFormat="1" ht="63" hidden="1" customHeight="1" x14ac:dyDescent="0.25">
      <c r="A61" s="325"/>
      <c r="B61" s="290"/>
      <c r="C61" s="111" t="s">
        <v>169</v>
      </c>
      <c r="D61" s="110">
        <f t="shared" si="17"/>
        <v>349529.3</v>
      </c>
      <c r="E61" s="110">
        <v>0</v>
      </c>
      <c r="F61" s="110">
        <v>18800</v>
      </c>
      <c r="G61" s="110">
        <v>330729.3</v>
      </c>
      <c r="H61" s="110">
        <v>0</v>
      </c>
      <c r="I61" s="204">
        <v>0</v>
      </c>
      <c r="J61" s="110">
        <v>0</v>
      </c>
      <c r="K61" s="110">
        <v>0</v>
      </c>
      <c r="L61" s="110"/>
      <c r="M61" s="290"/>
    </row>
    <row r="62" spans="1:14" s="52" customFormat="1" ht="99.75" hidden="1" customHeight="1" x14ac:dyDescent="0.25">
      <c r="A62" s="113" t="s">
        <v>172</v>
      </c>
      <c r="B62" s="111" t="s">
        <v>173</v>
      </c>
      <c r="C62" s="111" t="s">
        <v>122</v>
      </c>
      <c r="D62" s="112">
        <f t="shared" si="17"/>
        <v>3109.4</v>
      </c>
      <c r="E62" s="112">
        <v>0</v>
      </c>
      <c r="F62" s="112">
        <v>2787.9</v>
      </c>
      <c r="G62" s="114">
        <f>295+26.5</f>
        <v>321.5</v>
      </c>
      <c r="H62" s="112">
        <v>0</v>
      </c>
      <c r="I62" s="205">
        <v>0</v>
      </c>
      <c r="J62" s="112">
        <v>0</v>
      </c>
      <c r="K62" s="112">
        <v>0</v>
      </c>
      <c r="L62" s="251"/>
      <c r="M62" s="402" t="s">
        <v>174</v>
      </c>
    </row>
    <row r="63" spans="1:14" s="52" customFormat="1" ht="39" hidden="1" customHeight="1" x14ac:dyDescent="0.25">
      <c r="A63" s="113" t="s">
        <v>175</v>
      </c>
      <c r="B63" s="111" t="s">
        <v>176</v>
      </c>
      <c r="C63" s="111" t="s">
        <v>122</v>
      </c>
      <c r="D63" s="112">
        <f t="shared" si="17"/>
        <v>0</v>
      </c>
      <c r="E63" s="112">
        <v>0</v>
      </c>
      <c r="F63" s="112">
        <v>0</v>
      </c>
      <c r="G63" s="114">
        <v>0</v>
      </c>
      <c r="H63" s="112">
        <v>0</v>
      </c>
      <c r="I63" s="205">
        <v>0</v>
      </c>
      <c r="J63" s="112">
        <v>0</v>
      </c>
      <c r="K63" s="115">
        <v>0</v>
      </c>
      <c r="L63" s="115"/>
      <c r="M63" s="406"/>
    </row>
    <row r="64" spans="1:14" s="52" customFormat="1" ht="102.75" hidden="1" customHeight="1" x14ac:dyDescent="0.25">
      <c r="A64" s="113" t="s">
        <v>128</v>
      </c>
      <c r="B64" s="111" t="s">
        <v>177</v>
      </c>
      <c r="C64" s="111" t="s">
        <v>122</v>
      </c>
      <c r="D64" s="112">
        <f t="shared" si="17"/>
        <v>16318.1</v>
      </c>
      <c r="E64" s="112">
        <v>0</v>
      </c>
      <c r="F64" s="112">
        <v>8926.5</v>
      </c>
      <c r="G64" s="112">
        <f>5953.5+1913+318.5+79.6-1196.1+323.1</f>
        <v>7391.6</v>
      </c>
      <c r="H64" s="112">
        <v>0</v>
      </c>
      <c r="I64" s="205">
        <v>0</v>
      </c>
      <c r="J64" s="112">
        <v>0</v>
      </c>
      <c r="K64" s="112">
        <v>0</v>
      </c>
      <c r="L64" s="232"/>
      <c r="M64" s="116" t="s">
        <v>178</v>
      </c>
    </row>
    <row r="65" spans="1:14" s="52" customFormat="1" ht="46.5" hidden="1" x14ac:dyDescent="0.25">
      <c r="A65" s="113" t="s">
        <v>179</v>
      </c>
      <c r="B65" s="111" t="s">
        <v>180</v>
      </c>
      <c r="C65" s="111" t="s">
        <v>122</v>
      </c>
      <c r="D65" s="112">
        <f t="shared" si="17"/>
        <v>600</v>
      </c>
      <c r="E65" s="112">
        <v>0</v>
      </c>
      <c r="F65" s="112">
        <v>0</v>
      </c>
      <c r="G65" s="112">
        <f>706.1-79.6-26.5</f>
        <v>600</v>
      </c>
      <c r="H65" s="112">
        <v>0</v>
      </c>
      <c r="I65" s="205">
        <v>0</v>
      </c>
      <c r="J65" s="112">
        <v>0</v>
      </c>
      <c r="K65" s="112">
        <v>0</v>
      </c>
      <c r="L65" s="232"/>
      <c r="M65" s="116" t="s">
        <v>181</v>
      </c>
      <c r="N65" s="44">
        <v>2</v>
      </c>
    </row>
    <row r="66" spans="1:14" s="52" customFormat="1" ht="18.75" hidden="1" customHeight="1" x14ac:dyDescent="0.25">
      <c r="A66" s="324" t="s">
        <v>182</v>
      </c>
      <c r="B66" s="402" t="s">
        <v>183</v>
      </c>
      <c r="C66" s="117" t="s">
        <v>121</v>
      </c>
      <c r="D66" s="112">
        <f>D67+D68</f>
        <v>17205.7</v>
      </c>
      <c r="E66" s="112">
        <f t="shared" ref="E66:K66" si="18">E67+E68</f>
        <v>0</v>
      </c>
      <c r="F66" s="112">
        <f t="shared" si="18"/>
        <v>0</v>
      </c>
      <c r="G66" s="112">
        <f t="shared" si="18"/>
        <v>0</v>
      </c>
      <c r="H66" s="112">
        <f t="shared" si="18"/>
        <v>2599.4</v>
      </c>
      <c r="I66" s="205">
        <f t="shared" si="18"/>
        <v>14606.3</v>
      </c>
      <c r="J66" s="112">
        <f t="shared" si="18"/>
        <v>0</v>
      </c>
      <c r="K66" s="112">
        <f t="shared" si="18"/>
        <v>0</v>
      </c>
      <c r="L66" s="251"/>
      <c r="M66" s="293" t="s">
        <v>184</v>
      </c>
      <c r="N66" s="44"/>
    </row>
    <row r="67" spans="1:14" s="52" customFormat="1" ht="18.75" hidden="1" customHeight="1" x14ac:dyDescent="0.25">
      <c r="A67" s="341"/>
      <c r="B67" s="403"/>
      <c r="C67" s="73" t="s">
        <v>122</v>
      </c>
      <c r="D67" s="112">
        <f>E67+F67+G67+H67+I67+J67+K67</f>
        <v>14762.4</v>
      </c>
      <c r="E67" s="112">
        <v>0</v>
      </c>
      <c r="F67" s="112">
        <v>0</v>
      </c>
      <c r="G67" s="112">
        <v>0</v>
      </c>
      <c r="H67" s="112">
        <v>156.1</v>
      </c>
      <c r="I67" s="205">
        <v>14606.3</v>
      </c>
      <c r="J67" s="112">
        <v>0</v>
      </c>
      <c r="K67" s="112">
        <v>0</v>
      </c>
      <c r="L67" s="252"/>
      <c r="M67" s="403"/>
      <c r="N67" s="44"/>
    </row>
    <row r="68" spans="1:14" s="52" customFormat="1" ht="18.75" hidden="1" customHeight="1" x14ac:dyDescent="0.25">
      <c r="A68" s="312"/>
      <c r="B68" s="404"/>
      <c r="C68" s="73" t="s">
        <v>169</v>
      </c>
      <c r="D68" s="112">
        <f>E68+F68+G68+H68+I68+J68+K68</f>
        <v>2443.3000000000002</v>
      </c>
      <c r="E68" s="112">
        <v>0</v>
      </c>
      <c r="F68" s="112">
        <v>0</v>
      </c>
      <c r="G68" s="112">
        <v>0</v>
      </c>
      <c r="H68" s="112">
        <v>2443.3000000000002</v>
      </c>
      <c r="I68" s="205">
        <v>0</v>
      </c>
      <c r="J68" s="115">
        <v>0</v>
      </c>
      <c r="K68" s="115">
        <v>0</v>
      </c>
      <c r="L68" s="115"/>
      <c r="M68" s="404"/>
    </row>
    <row r="69" spans="1:14" s="52" customFormat="1" ht="18.75" hidden="1" customHeight="1" x14ac:dyDescent="0.25">
      <c r="A69" s="330" t="s">
        <v>129</v>
      </c>
      <c r="B69" s="303" t="s">
        <v>185</v>
      </c>
      <c r="C69" s="117" t="s">
        <v>121</v>
      </c>
      <c r="D69" s="118">
        <f t="shared" ref="D69:K69" si="19">D70+D71</f>
        <v>3450038.4000000004</v>
      </c>
      <c r="E69" s="118">
        <f t="shared" si="19"/>
        <v>518540.79999999999</v>
      </c>
      <c r="F69" s="118">
        <f t="shared" si="19"/>
        <v>546595.69999999995</v>
      </c>
      <c r="G69" s="118">
        <f t="shared" si="19"/>
        <v>576520.6</v>
      </c>
      <c r="H69" s="118">
        <f>H70+H71</f>
        <v>576411.79999999993</v>
      </c>
      <c r="I69" s="206">
        <f>I70+I71</f>
        <v>566531.69999999995</v>
      </c>
      <c r="J69" s="118">
        <f t="shared" si="19"/>
        <v>565115.5</v>
      </c>
      <c r="K69" s="118">
        <f t="shared" si="19"/>
        <v>100322.3</v>
      </c>
      <c r="L69" s="238"/>
      <c r="M69" s="356"/>
    </row>
    <row r="70" spans="1:14" s="52" customFormat="1" ht="18.75" hidden="1" customHeight="1" x14ac:dyDescent="0.25">
      <c r="A70" s="330"/>
      <c r="B70" s="303"/>
      <c r="C70" s="73" t="s">
        <v>122</v>
      </c>
      <c r="D70" s="74">
        <f>E70+F70+G70+H70+J70+I70+K70</f>
        <v>720754.8</v>
      </c>
      <c r="E70" s="74">
        <f>E72</f>
        <v>101958.40000000001</v>
      </c>
      <c r="F70" s="74">
        <f>F72</f>
        <v>103663.7</v>
      </c>
      <c r="G70" s="74">
        <v>100519.6</v>
      </c>
      <c r="H70" s="74">
        <f>H72</f>
        <v>112100.90000000001</v>
      </c>
      <c r="I70" s="76">
        <v>101867.6</v>
      </c>
      <c r="J70" s="74">
        <f>J72</f>
        <v>100322.3</v>
      </c>
      <c r="K70" s="74">
        <f>K72</f>
        <v>100322.3</v>
      </c>
      <c r="L70" s="74"/>
      <c r="M70" s="356"/>
    </row>
    <row r="71" spans="1:14" s="52" customFormat="1" ht="124.5" hidden="1" customHeight="1" x14ac:dyDescent="0.25">
      <c r="A71" s="330"/>
      <c r="B71" s="303"/>
      <c r="C71" s="73" t="s">
        <v>169</v>
      </c>
      <c r="D71" s="74">
        <f>E71+F71+G71+H71+I71+J71+K71</f>
        <v>2729283.6</v>
      </c>
      <c r="E71" s="74">
        <f>E73+E74+E75</f>
        <v>416582.39999999997</v>
      </c>
      <c r="F71" s="74">
        <f>F73+F74+F75</f>
        <v>442932</v>
      </c>
      <c r="G71" s="74">
        <f>G73+G74+G78</f>
        <v>476001</v>
      </c>
      <c r="H71" s="74">
        <f>H73+H74+H78</f>
        <v>464310.89999999997</v>
      </c>
      <c r="I71" s="76">
        <f>I73+I74+I78</f>
        <v>464664.1</v>
      </c>
      <c r="J71" s="74">
        <f>J73+J74+J78</f>
        <v>464793.2</v>
      </c>
      <c r="K71" s="74">
        <f>K73+K74+K78</f>
        <v>0</v>
      </c>
      <c r="L71" s="74"/>
      <c r="M71" s="356"/>
    </row>
    <row r="72" spans="1:14" s="52" customFormat="1" ht="18.75" hidden="1" customHeight="1" x14ac:dyDescent="0.25">
      <c r="A72" s="330" t="s">
        <v>186</v>
      </c>
      <c r="B72" s="303" t="s">
        <v>187</v>
      </c>
      <c r="C72" s="73" t="s">
        <v>122</v>
      </c>
      <c r="D72" s="74">
        <f>E72+F72+G72+H72+J72+I72+K72</f>
        <v>720754.8</v>
      </c>
      <c r="E72" s="74">
        <f>100523.3+561+608+129.2+39.6+200-60-42.7</f>
        <v>101958.40000000001</v>
      </c>
      <c r="F72" s="74">
        <f>106410.4-408.8-600.9-1187.3-673.5-1075.6-328.2+129.8+160-1686+89.5+959.3+1686+189</f>
        <v>103663.7</v>
      </c>
      <c r="G72" s="74">
        <v>100519.6</v>
      </c>
      <c r="H72" s="74">
        <f>102002.7+206.3+3894.7+96+300+338.6+315.5-300+130+5117.1</f>
        <v>112100.90000000001</v>
      </c>
      <c r="I72" s="76">
        <v>101867.6</v>
      </c>
      <c r="J72" s="74">
        <v>100322.3</v>
      </c>
      <c r="K72" s="74">
        <v>100322.3</v>
      </c>
      <c r="L72" s="74"/>
      <c r="M72" s="365" t="s">
        <v>188</v>
      </c>
    </row>
    <row r="73" spans="1:14" s="52" customFormat="1" ht="154.5" hidden="1" customHeight="1" x14ac:dyDescent="0.25">
      <c r="A73" s="330"/>
      <c r="B73" s="303"/>
      <c r="C73" s="73" t="s">
        <v>169</v>
      </c>
      <c r="D73" s="74">
        <f>E73+F73+G73+H73+J73+I73+K73</f>
        <v>2694099.3</v>
      </c>
      <c r="E73" s="74">
        <v>412627.1</v>
      </c>
      <c r="F73" s="74">
        <f>427060.9+6416.1+5597.7</f>
        <v>439074.7</v>
      </c>
      <c r="G73" s="74">
        <f>456584+846+2103.1</f>
        <v>459533.1</v>
      </c>
      <c r="H73" s="74">
        <v>460954.8</v>
      </c>
      <c r="I73" s="76">
        <v>460954.8</v>
      </c>
      <c r="J73" s="74">
        <v>460954.8</v>
      </c>
      <c r="K73" s="74">
        <v>0</v>
      </c>
      <c r="L73" s="74"/>
      <c r="M73" s="365"/>
    </row>
    <row r="74" spans="1:14" s="52" customFormat="1" ht="209.25" hidden="1" x14ac:dyDescent="0.25">
      <c r="A74" s="113" t="s">
        <v>189</v>
      </c>
      <c r="B74" s="102" t="s">
        <v>190</v>
      </c>
      <c r="C74" s="73" t="s">
        <v>169</v>
      </c>
      <c r="D74" s="74">
        <f>E74+F74+G74+H74+J74+I74+K74</f>
        <v>22138.3</v>
      </c>
      <c r="E74" s="74">
        <f>2715.2+1240.1</f>
        <v>3955.2999999999997</v>
      </c>
      <c r="F74" s="74">
        <f>3722.3+135</f>
        <v>3857.3</v>
      </c>
      <c r="G74" s="74">
        <f>3721.9-300</f>
        <v>3421.9</v>
      </c>
      <c r="H74" s="74">
        <f>3586.1-230</f>
        <v>3356.1</v>
      </c>
      <c r="I74" s="76">
        <v>3709.3</v>
      </c>
      <c r="J74" s="74">
        <v>3838.4</v>
      </c>
      <c r="K74" s="74">
        <v>0</v>
      </c>
      <c r="L74" s="74"/>
      <c r="M74" s="73" t="s">
        <v>191</v>
      </c>
    </row>
    <row r="75" spans="1:14" s="52" customFormat="1" ht="18.75" hidden="1" customHeight="1" x14ac:dyDescent="0.25">
      <c r="A75" s="310" t="s">
        <v>192</v>
      </c>
      <c r="B75" s="326" t="s">
        <v>193</v>
      </c>
      <c r="C75" s="343" t="s">
        <v>194</v>
      </c>
      <c r="D75" s="398">
        <f>E75+F75+G75+H75+J75+I75+K76</f>
        <v>117414.29999999999</v>
      </c>
      <c r="E75" s="398">
        <v>0</v>
      </c>
      <c r="F75" s="398">
        <v>0</v>
      </c>
      <c r="G75" s="398">
        <v>0</v>
      </c>
      <c r="H75" s="398">
        <v>39138.1</v>
      </c>
      <c r="I75" s="399">
        <v>39138.1</v>
      </c>
      <c r="J75" s="398">
        <v>39138.1</v>
      </c>
      <c r="K75" s="119">
        <v>0</v>
      </c>
      <c r="L75" s="241"/>
      <c r="M75" s="343" t="s">
        <v>195</v>
      </c>
    </row>
    <row r="76" spans="1:14" s="52" customFormat="1" ht="18.75" hidden="1" customHeight="1" x14ac:dyDescent="0.25">
      <c r="A76" s="396"/>
      <c r="B76" s="342"/>
      <c r="C76" s="342"/>
      <c r="D76" s="359"/>
      <c r="E76" s="359"/>
      <c r="F76" s="359"/>
      <c r="G76" s="359"/>
      <c r="H76" s="359"/>
      <c r="I76" s="400"/>
      <c r="J76" s="359"/>
      <c r="K76" s="120"/>
      <c r="L76" s="239"/>
      <c r="M76" s="342"/>
    </row>
    <row r="77" spans="1:14" s="52" customFormat="1" ht="18.75" hidden="1" customHeight="1" x14ac:dyDescent="0.25">
      <c r="A77" s="396"/>
      <c r="B77" s="342"/>
      <c r="C77" s="322"/>
      <c r="D77" s="360"/>
      <c r="E77" s="360"/>
      <c r="F77" s="360"/>
      <c r="G77" s="360"/>
      <c r="H77" s="360"/>
      <c r="I77" s="401"/>
      <c r="J77" s="360"/>
      <c r="K77" s="121"/>
      <c r="L77" s="239"/>
      <c r="M77" s="342"/>
    </row>
    <row r="78" spans="1:14" s="52" customFormat="1" ht="76.5" hidden="1" customHeight="1" x14ac:dyDescent="0.25">
      <c r="A78" s="312"/>
      <c r="B78" s="397"/>
      <c r="C78" s="122" t="s">
        <v>169</v>
      </c>
      <c r="D78" s="86">
        <f>E78+F78+G78+H78+I78+J78+K78</f>
        <v>13046</v>
      </c>
      <c r="E78" s="86">
        <v>0</v>
      </c>
      <c r="F78" s="86">
        <v>0</v>
      </c>
      <c r="G78" s="86">
        <v>13046</v>
      </c>
      <c r="H78" s="86">
        <v>0</v>
      </c>
      <c r="I78" s="207">
        <v>0</v>
      </c>
      <c r="J78" s="86">
        <v>0</v>
      </c>
      <c r="K78" s="86">
        <v>0</v>
      </c>
      <c r="L78" s="87"/>
      <c r="M78" s="397"/>
    </row>
    <row r="79" spans="1:14" s="52" customFormat="1" ht="18.75" hidden="1" customHeight="1" x14ac:dyDescent="0.25">
      <c r="A79" s="390" t="s">
        <v>130</v>
      </c>
      <c r="B79" s="305" t="s">
        <v>196</v>
      </c>
      <c r="C79" s="123" t="s">
        <v>121</v>
      </c>
      <c r="D79" s="124">
        <f t="shared" ref="D79:K79" si="20">D80+D81</f>
        <v>2477.9</v>
      </c>
      <c r="E79" s="124">
        <f t="shared" si="20"/>
        <v>661.9</v>
      </c>
      <c r="F79" s="124">
        <f t="shared" si="20"/>
        <v>1421</v>
      </c>
      <c r="G79" s="124">
        <f t="shared" si="20"/>
        <v>395</v>
      </c>
      <c r="H79" s="124">
        <f>H80+H81</f>
        <v>0</v>
      </c>
      <c r="I79" s="208">
        <f>I80+I81</f>
        <v>0</v>
      </c>
      <c r="J79" s="124">
        <f t="shared" si="20"/>
        <v>0</v>
      </c>
      <c r="K79" s="124">
        <f t="shared" si="20"/>
        <v>0</v>
      </c>
      <c r="L79" s="233"/>
      <c r="M79" s="346" t="s">
        <v>197</v>
      </c>
    </row>
    <row r="80" spans="1:14" s="52" customFormat="1" ht="18.75" hidden="1" customHeight="1" x14ac:dyDescent="0.25">
      <c r="A80" s="391"/>
      <c r="B80" s="308"/>
      <c r="C80" s="73" t="s">
        <v>122</v>
      </c>
      <c r="D80" s="74">
        <f>E80+F80+G80+H80+J80+I80+K80</f>
        <v>2037.9</v>
      </c>
      <c r="E80" s="74">
        <f>700-38.1</f>
        <v>661.9</v>
      </c>
      <c r="F80" s="74">
        <f>921+F86+F88</f>
        <v>981</v>
      </c>
      <c r="G80" s="74">
        <f>G83+G86+G88+G89</f>
        <v>395</v>
      </c>
      <c r="H80" s="74">
        <v>0</v>
      </c>
      <c r="I80" s="76">
        <f>I83+I86+I88+I89</f>
        <v>0</v>
      </c>
      <c r="J80" s="74">
        <f>J83+J86+J88+J89</f>
        <v>0</v>
      </c>
      <c r="K80" s="74">
        <v>0</v>
      </c>
      <c r="L80" s="74"/>
      <c r="M80" s="357"/>
      <c r="N80" s="45">
        <v>3</v>
      </c>
    </row>
    <row r="81" spans="1:13" s="52" customFormat="1" ht="40.5" hidden="1" customHeight="1" x14ac:dyDescent="0.25">
      <c r="A81" s="391"/>
      <c r="B81" s="308"/>
      <c r="C81" s="125" t="s">
        <v>169</v>
      </c>
      <c r="D81" s="124">
        <f>E81+F81+G81+H81+J81+I81+K81</f>
        <v>440</v>
      </c>
      <c r="E81" s="124">
        <v>0</v>
      </c>
      <c r="F81" s="124">
        <f>0+F87</f>
        <v>440</v>
      </c>
      <c r="G81" s="124">
        <f>0+G84+G87</f>
        <v>0</v>
      </c>
      <c r="H81" s="124">
        <v>0</v>
      </c>
      <c r="I81" s="208">
        <v>0</v>
      </c>
      <c r="J81" s="124">
        <v>0</v>
      </c>
      <c r="K81" s="124">
        <v>0</v>
      </c>
      <c r="L81" s="233"/>
      <c r="M81" s="357"/>
    </row>
    <row r="82" spans="1:13" s="52" customFormat="1" ht="18.75" hidden="1" customHeight="1" x14ac:dyDescent="0.25">
      <c r="A82" s="392" t="s">
        <v>142</v>
      </c>
      <c r="B82" s="361" t="s">
        <v>198</v>
      </c>
      <c r="C82" s="123" t="s">
        <v>121</v>
      </c>
      <c r="D82" s="124">
        <f t="shared" ref="D82:K82" si="21">D83+D84</f>
        <v>395</v>
      </c>
      <c r="E82" s="124">
        <f t="shared" si="21"/>
        <v>0</v>
      </c>
      <c r="F82" s="124">
        <f t="shared" si="21"/>
        <v>0</v>
      </c>
      <c r="G82" s="124">
        <f t="shared" si="21"/>
        <v>395</v>
      </c>
      <c r="H82" s="124">
        <f>H83+H84</f>
        <v>0</v>
      </c>
      <c r="I82" s="208">
        <f>I83+I84</f>
        <v>0</v>
      </c>
      <c r="J82" s="124">
        <f t="shared" si="21"/>
        <v>0</v>
      </c>
      <c r="K82" s="124">
        <f t="shared" si="21"/>
        <v>0</v>
      </c>
      <c r="L82" s="233"/>
      <c r="M82" s="357"/>
    </row>
    <row r="83" spans="1:13" s="52" customFormat="1" ht="18.75" hidden="1" customHeight="1" x14ac:dyDescent="0.25">
      <c r="A83" s="393"/>
      <c r="B83" s="342"/>
      <c r="C83" s="73" t="s">
        <v>122</v>
      </c>
      <c r="D83" s="124">
        <f>E83+F83+G83+H83+J83+I83+K83</f>
        <v>395</v>
      </c>
      <c r="E83" s="124">
        <v>0</v>
      </c>
      <c r="F83" s="124">
        <v>0</v>
      </c>
      <c r="G83" s="124">
        <f>1547.5+64.9+395+2-1614.4</f>
        <v>395</v>
      </c>
      <c r="H83" s="124">
        <v>0</v>
      </c>
      <c r="I83" s="208">
        <v>0</v>
      </c>
      <c r="J83" s="124">
        <v>0</v>
      </c>
      <c r="K83" s="124">
        <v>0</v>
      </c>
      <c r="L83" s="233"/>
      <c r="M83" s="357"/>
    </row>
    <row r="84" spans="1:13" s="52" customFormat="1" ht="80.25" hidden="1" customHeight="1" x14ac:dyDescent="0.25">
      <c r="A84" s="394"/>
      <c r="B84" s="322"/>
      <c r="C84" s="125" t="s">
        <v>169</v>
      </c>
      <c r="D84" s="124">
        <f>E84+F84+G84+H84+I84+J84+K84</f>
        <v>0</v>
      </c>
      <c r="E84" s="124">
        <v>0</v>
      </c>
      <c r="F84" s="124">
        <v>0</v>
      </c>
      <c r="G84" s="124">
        <v>0</v>
      </c>
      <c r="H84" s="124">
        <v>0</v>
      </c>
      <c r="I84" s="208">
        <v>0</v>
      </c>
      <c r="J84" s="124">
        <v>0</v>
      </c>
      <c r="K84" s="124">
        <v>0</v>
      </c>
      <c r="L84" s="233"/>
      <c r="M84" s="357"/>
    </row>
    <row r="85" spans="1:13" s="52" customFormat="1" ht="18.75" hidden="1" customHeight="1" x14ac:dyDescent="0.25">
      <c r="A85" s="395" t="s">
        <v>143</v>
      </c>
      <c r="B85" s="305" t="s">
        <v>199</v>
      </c>
      <c r="C85" s="123" t="s">
        <v>121</v>
      </c>
      <c r="D85" s="124">
        <f t="shared" ref="D85:K85" si="22">D86+D87</f>
        <v>500</v>
      </c>
      <c r="E85" s="124">
        <f t="shared" si="22"/>
        <v>0</v>
      </c>
      <c r="F85" s="124">
        <f t="shared" si="22"/>
        <v>500</v>
      </c>
      <c r="G85" s="124">
        <f t="shared" si="22"/>
        <v>0</v>
      </c>
      <c r="H85" s="124">
        <f t="shared" si="22"/>
        <v>0</v>
      </c>
      <c r="I85" s="208">
        <f t="shared" si="22"/>
        <v>0</v>
      </c>
      <c r="J85" s="124">
        <f t="shared" si="22"/>
        <v>0</v>
      </c>
      <c r="K85" s="124">
        <f t="shared" si="22"/>
        <v>0</v>
      </c>
      <c r="L85" s="233"/>
      <c r="M85" s="357"/>
    </row>
    <row r="86" spans="1:13" s="52" customFormat="1" ht="18.75" hidden="1" customHeight="1" x14ac:dyDescent="0.25">
      <c r="A86" s="395"/>
      <c r="B86" s="305"/>
      <c r="C86" s="73" t="s">
        <v>122</v>
      </c>
      <c r="D86" s="124">
        <f>E86+F86+G86+H86+J86+I86+K86</f>
        <v>60</v>
      </c>
      <c r="E86" s="124">
        <v>0</v>
      </c>
      <c r="F86" s="124">
        <v>60</v>
      </c>
      <c r="G86" s="124">
        <f>3459-3459</f>
        <v>0</v>
      </c>
      <c r="H86" s="124">
        <v>0</v>
      </c>
      <c r="I86" s="208">
        <v>0</v>
      </c>
      <c r="J86" s="124">
        <v>0</v>
      </c>
      <c r="K86" s="124">
        <v>0</v>
      </c>
      <c r="L86" s="233"/>
      <c r="M86" s="357"/>
    </row>
    <row r="87" spans="1:13" s="52" customFormat="1" ht="348.75" hidden="1" customHeight="1" x14ac:dyDescent="0.25">
      <c r="A87" s="395"/>
      <c r="B87" s="305"/>
      <c r="C87" s="125" t="s">
        <v>169</v>
      </c>
      <c r="D87" s="124">
        <f>E87+F87+G87+H87+J87+I87+K87</f>
        <v>440</v>
      </c>
      <c r="E87" s="124">
        <v>0</v>
      </c>
      <c r="F87" s="124">
        <v>440</v>
      </c>
      <c r="G87" s="124">
        <f>25365.3-25365.3</f>
        <v>0</v>
      </c>
      <c r="H87" s="124">
        <v>0</v>
      </c>
      <c r="I87" s="208">
        <v>0</v>
      </c>
      <c r="J87" s="124">
        <v>0</v>
      </c>
      <c r="K87" s="124">
        <v>0</v>
      </c>
      <c r="L87" s="233"/>
      <c r="M87" s="357"/>
    </row>
    <row r="88" spans="1:13" s="52" customFormat="1" ht="116.25" hidden="1" customHeight="1" x14ac:dyDescent="0.25">
      <c r="A88" s="126" t="s">
        <v>148</v>
      </c>
      <c r="B88" s="122" t="s">
        <v>200</v>
      </c>
      <c r="C88" s="125" t="s">
        <v>122</v>
      </c>
      <c r="D88" s="124">
        <f>E88+F88+G88+H88+J88+I88+K88</f>
        <v>0</v>
      </c>
      <c r="E88" s="124">
        <v>0</v>
      </c>
      <c r="F88" s="124">
        <f>31.5-31.5</f>
        <v>0</v>
      </c>
      <c r="G88" s="124">
        <f>38.5+31.5-70</f>
        <v>0</v>
      </c>
      <c r="H88" s="127">
        <v>0</v>
      </c>
      <c r="I88" s="209">
        <v>0</v>
      </c>
      <c r="J88" s="127">
        <v>0</v>
      </c>
      <c r="K88" s="127">
        <v>0</v>
      </c>
      <c r="L88" s="234"/>
      <c r="M88" s="353" t="s">
        <v>201</v>
      </c>
    </row>
    <row r="89" spans="1:13" s="52" customFormat="1" ht="37.5" hidden="1" customHeight="1" x14ac:dyDescent="0.25">
      <c r="A89" s="126" t="s">
        <v>202</v>
      </c>
      <c r="B89" s="122" t="s">
        <v>203</v>
      </c>
      <c r="C89" s="125" t="s">
        <v>122</v>
      </c>
      <c r="D89" s="124">
        <f>E89+F89+G89+H89+J89+I89+K89</f>
        <v>921</v>
      </c>
      <c r="E89" s="124">
        <v>0</v>
      </c>
      <c r="F89" s="124">
        <v>921</v>
      </c>
      <c r="G89" s="124">
        <v>0</v>
      </c>
      <c r="H89" s="124">
        <v>0</v>
      </c>
      <c r="I89" s="208">
        <v>0</v>
      </c>
      <c r="J89" s="124">
        <v>0</v>
      </c>
      <c r="K89" s="128">
        <v>0</v>
      </c>
      <c r="L89" s="235"/>
      <c r="M89" s="369"/>
    </row>
    <row r="90" spans="1:13" s="52" customFormat="1" ht="23.25" x14ac:dyDescent="0.25">
      <c r="A90" s="126"/>
      <c r="B90" s="102"/>
      <c r="C90" s="102" t="s">
        <v>350</v>
      </c>
      <c r="D90" s="124">
        <f>E90+F90+G90+H90+I90+J90+K90+L90</f>
        <v>5574667.4999999991</v>
      </c>
      <c r="E90" s="124">
        <v>523119.69999999995</v>
      </c>
      <c r="F90" s="124">
        <v>579731.1</v>
      </c>
      <c r="G90" s="124">
        <v>937068.4</v>
      </c>
      <c r="H90" s="124">
        <v>630721.99999999988</v>
      </c>
      <c r="I90" s="209">
        <f>I91+I92+I93+I94</f>
        <v>735180.2</v>
      </c>
      <c r="J90" s="259">
        <f>J91+J92+J93+J94</f>
        <v>744951.9</v>
      </c>
      <c r="K90" s="259">
        <f t="shared" ref="K90:L90" si="23">K91+K92+K93+K94</f>
        <v>697740.4</v>
      </c>
      <c r="L90" s="259">
        <f t="shared" si="23"/>
        <v>726153.8</v>
      </c>
      <c r="M90" s="129" t="s">
        <v>372</v>
      </c>
    </row>
    <row r="91" spans="1:13" s="52" customFormat="1" ht="23.25" x14ac:dyDescent="0.35">
      <c r="A91" s="126"/>
      <c r="B91" s="103"/>
      <c r="C91" s="102" t="s">
        <v>122</v>
      </c>
      <c r="D91" s="195">
        <f>E91+F91+G91+H91+I91+J91+K91+L91</f>
        <v>1076787.9000000001</v>
      </c>
      <c r="E91" s="124">
        <v>106537.3</v>
      </c>
      <c r="F91" s="124">
        <v>117559.09999999999</v>
      </c>
      <c r="G91" s="124">
        <v>130338.1</v>
      </c>
      <c r="H91" s="516">
        <v>127166</v>
      </c>
      <c r="I91" s="519">
        <v>140433.9</v>
      </c>
      <c r="J91" s="519">
        <v>133068.20000000001</v>
      </c>
      <c r="K91" s="520">
        <v>146520.9</v>
      </c>
      <c r="L91" s="519">
        <v>175164.4</v>
      </c>
      <c r="M91" s="517"/>
    </row>
    <row r="92" spans="1:13" s="52" customFormat="1" ht="23.25" x14ac:dyDescent="0.35">
      <c r="A92" s="126"/>
      <c r="B92" s="103"/>
      <c r="C92" s="102" t="s">
        <v>169</v>
      </c>
      <c r="D92" s="195">
        <f>E92+F92+G92+H92+I92+J92+K92+L92</f>
        <v>4288132.1000000006</v>
      </c>
      <c r="E92" s="124">
        <v>416582.39999999997</v>
      </c>
      <c r="F92" s="124">
        <v>462172</v>
      </c>
      <c r="G92" s="124">
        <v>806730.3</v>
      </c>
      <c r="H92" s="516">
        <v>464417.89999999997</v>
      </c>
      <c r="I92" s="519">
        <v>553709.6</v>
      </c>
      <c r="J92" s="519">
        <v>568892.6</v>
      </c>
      <c r="K92" s="520">
        <v>507928.7</v>
      </c>
      <c r="L92" s="519">
        <v>507698.6</v>
      </c>
      <c r="M92" s="517"/>
    </row>
    <row r="93" spans="1:13" s="52" customFormat="1" ht="23.25" x14ac:dyDescent="0.35">
      <c r="A93" s="126"/>
      <c r="B93" s="103"/>
      <c r="C93" s="102" t="s">
        <v>194</v>
      </c>
      <c r="D93" s="195">
        <f>E93+F93+G93+H93+I93+J93+K93+L93</f>
        <v>209747.5</v>
      </c>
      <c r="E93" s="124">
        <v>0</v>
      </c>
      <c r="F93" s="124">
        <v>0</v>
      </c>
      <c r="G93" s="124">
        <v>0</v>
      </c>
      <c r="H93" s="516">
        <v>39138.1</v>
      </c>
      <c r="I93" s="521">
        <v>41036.699999999997</v>
      </c>
      <c r="J93" s="521">
        <v>42991.1</v>
      </c>
      <c r="K93" s="522">
        <v>43290.8</v>
      </c>
      <c r="L93" s="521">
        <v>43290.8</v>
      </c>
      <c r="M93" s="517"/>
    </row>
    <row r="94" spans="1:13" s="52" customFormat="1" ht="46.5" x14ac:dyDescent="0.35">
      <c r="A94" s="126"/>
      <c r="B94" s="103"/>
      <c r="C94" s="102" t="s">
        <v>352</v>
      </c>
      <c r="D94" s="124">
        <v>0</v>
      </c>
      <c r="E94" s="124">
        <v>0</v>
      </c>
      <c r="F94" s="124">
        <v>0</v>
      </c>
      <c r="G94" s="124">
        <v>0</v>
      </c>
      <c r="H94" s="124">
        <v>0</v>
      </c>
      <c r="I94" s="518">
        <v>0</v>
      </c>
      <c r="J94" s="260">
        <v>0</v>
      </c>
      <c r="K94" s="260">
        <v>0</v>
      </c>
      <c r="L94" s="235">
        <v>0</v>
      </c>
      <c r="M94" s="129"/>
    </row>
    <row r="95" spans="1:13" s="52" customFormat="1" ht="23.25" x14ac:dyDescent="0.25">
      <c r="A95" s="71" t="s">
        <v>207</v>
      </c>
      <c r="B95" s="108" t="s">
        <v>112</v>
      </c>
      <c r="C95" s="356" t="s">
        <v>204</v>
      </c>
      <c r="D95" s="356"/>
      <c r="E95" s="356"/>
      <c r="F95" s="356"/>
      <c r="G95" s="356"/>
      <c r="H95" s="356"/>
      <c r="I95" s="356"/>
      <c r="J95" s="356"/>
      <c r="K95" s="356"/>
      <c r="L95" s="356"/>
      <c r="M95" s="356"/>
    </row>
    <row r="96" spans="1:13" s="52" customFormat="1" ht="23.25" x14ac:dyDescent="0.25">
      <c r="A96" s="113" t="s">
        <v>132</v>
      </c>
      <c r="B96" s="108" t="s">
        <v>160</v>
      </c>
      <c r="C96" s="356" t="s">
        <v>204</v>
      </c>
      <c r="D96" s="356"/>
      <c r="E96" s="356"/>
      <c r="F96" s="356"/>
      <c r="G96" s="356"/>
      <c r="H96" s="356"/>
      <c r="I96" s="356"/>
      <c r="J96" s="356"/>
      <c r="K96" s="356"/>
      <c r="L96" s="356"/>
      <c r="M96" s="356"/>
    </row>
    <row r="97" spans="1:14" s="52" customFormat="1" ht="18.75" hidden="1" customHeight="1" x14ac:dyDescent="0.25">
      <c r="A97" s="330" t="s">
        <v>133</v>
      </c>
      <c r="B97" s="290" t="s">
        <v>205</v>
      </c>
      <c r="C97" s="73" t="s">
        <v>121</v>
      </c>
      <c r="D97" s="74">
        <f t="shared" ref="D97:K97" si="24">D98+D99</f>
        <v>6296.5</v>
      </c>
      <c r="E97" s="74">
        <f t="shared" si="24"/>
        <v>0</v>
      </c>
      <c r="F97" s="74">
        <f t="shared" si="24"/>
        <v>6296.5</v>
      </c>
      <c r="G97" s="74">
        <f t="shared" si="24"/>
        <v>0</v>
      </c>
      <c r="H97" s="74">
        <f t="shared" si="24"/>
        <v>0</v>
      </c>
      <c r="I97" s="76">
        <f t="shared" si="24"/>
        <v>0</v>
      </c>
      <c r="J97" s="74">
        <f t="shared" si="24"/>
        <v>0</v>
      </c>
      <c r="K97" s="74">
        <f t="shared" si="24"/>
        <v>0</v>
      </c>
      <c r="L97" s="241"/>
      <c r="M97" s="388" t="s">
        <v>206</v>
      </c>
    </row>
    <row r="98" spans="1:14" s="52" customFormat="1" ht="18.75" hidden="1" customHeight="1" x14ac:dyDescent="0.25">
      <c r="A98" s="330"/>
      <c r="B98" s="290"/>
      <c r="C98" s="73" t="s">
        <v>122</v>
      </c>
      <c r="D98" s="74">
        <f>E98+F98+G98+H98+J98+I98+K98</f>
        <v>3463.1</v>
      </c>
      <c r="E98" s="74">
        <v>0</v>
      </c>
      <c r="F98" s="74">
        <f>3463.1-147.5+147.5</f>
        <v>3463.1</v>
      </c>
      <c r="G98" s="74">
        <v>0</v>
      </c>
      <c r="H98" s="82">
        <v>0</v>
      </c>
      <c r="I98" s="210">
        <v>0</v>
      </c>
      <c r="J98" s="74">
        <v>0</v>
      </c>
      <c r="K98" s="74">
        <v>0</v>
      </c>
      <c r="L98" s="82"/>
      <c r="M98" s="389"/>
    </row>
    <row r="99" spans="1:14" s="52" customFormat="1" ht="195.75" hidden="1" customHeight="1" x14ac:dyDescent="0.25">
      <c r="A99" s="330"/>
      <c r="B99" s="290"/>
      <c r="C99" s="73" t="s">
        <v>169</v>
      </c>
      <c r="D99" s="74">
        <f>E99+F99+G99+H99+J99+I99+K99</f>
        <v>2833.4</v>
      </c>
      <c r="E99" s="74">
        <v>0</v>
      </c>
      <c r="F99" s="74">
        <f>2833.4-120.5+120.5</f>
        <v>2833.4</v>
      </c>
      <c r="G99" s="74">
        <v>0</v>
      </c>
      <c r="H99" s="74">
        <v>0</v>
      </c>
      <c r="I99" s="76">
        <v>0</v>
      </c>
      <c r="J99" s="90">
        <v>0</v>
      </c>
      <c r="K99" s="82">
        <v>0</v>
      </c>
      <c r="L99" s="82"/>
      <c r="M99" s="389"/>
    </row>
    <row r="100" spans="1:14" s="52" customFormat="1" ht="18.75" hidden="1" customHeight="1" x14ac:dyDescent="0.25">
      <c r="A100" s="330" t="s">
        <v>207</v>
      </c>
      <c r="B100" s="303" t="s">
        <v>208</v>
      </c>
      <c r="C100" s="73" t="s">
        <v>121</v>
      </c>
      <c r="D100" s="74">
        <f t="shared" ref="D100:K100" si="25">D101+D102</f>
        <v>0</v>
      </c>
      <c r="E100" s="74">
        <f t="shared" si="25"/>
        <v>0</v>
      </c>
      <c r="F100" s="74">
        <f t="shared" si="25"/>
        <v>0</v>
      </c>
      <c r="G100" s="74">
        <f t="shared" si="25"/>
        <v>0</v>
      </c>
      <c r="H100" s="74">
        <f t="shared" si="25"/>
        <v>0</v>
      </c>
      <c r="I100" s="76">
        <f t="shared" si="25"/>
        <v>0</v>
      </c>
      <c r="J100" s="74">
        <f t="shared" si="25"/>
        <v>0</v>
      </c>
      <c r="K100" s="74">
        <f t="shared" si="25"/>
        <v>0</v>
      </c>
      <c r="L100" s="74"/>
      <c r="M100" s="387" t="s">
        <v>209</v>
      </c>
    </row>
    <row r="101" spans="1:14" s="52" customFormat="1" ht="18.75" hidden="1" customHeight="1" x14ac:dyDescent="0.25">
      <c r="A101" s="364"/>
      <c r="B101" s="308"/>
      <c r="C101" s="73" t="s">
        <v>122</v>
      </c>
      <c r="D101" s="74">
        <f>E101+F101+G101</f>
        <v>0</v>
      </c>
      <c r="E101" s="74">
        <v>0</v>
      </c>
      <c r="F101" s="74">
        <v>0</v>
      </c>
      <c r="G101" s="74">
        <v>0</v>
      </c>
      <c r="H101" s="74">
        <v>0</v>
      </c>
      <c r="I101" s="76">
        <v>0</v>
      </c>
      <c r="J101" s="74">
        <v>0</v>
      </c>
      <c r="K101" s="74">
        <v>0</v>
      </c>
      <c r="L101" s="74"/>
      <c r="M101" s="357"/>
    </row>
    <row r="102" spans="1:14" s="52" customFormat="1" ht="129.75" hidden="1" customHeight="1" x14ac:dyDescent="0.25">
      <c r="A102" s="364"/>
      <c r="B102" s="308"/>
      <c r="C102" s="73" t="s">
        <v>169</v>
      </c>
      <c r="D102" s="74">
        <f>E102+F102+G102</f>
        <v>0</v>
      </c>
      <c r="E102" s="74">
        <v>0</v>
      </c>
      <c r="F102" s="74">
        <v>0</v>
      </c>
      <c r="G102" s="74">
        <v>0</v>
      </c>
      <c r="H102" s="74">
        <v>0</v>
      </c>
      <c r="I102" s="76">
        <v>0</v>
      </c>
      <c r="J102" s="74">
        <v>0</v>
      </c>
      <c r="K102" s="74">
        <v>0</v>
      </c>
      <c r="L102" s="74"/>
      <c r="M102" s="357"/>
      <c r="N102" s="46">
        <v>4</v>
      </c>
    </row>
    <row r="103" spans="1:14" s="52" customFormat="1" ht="18.75" hidden="1" customHeight="1" x14ac:dyDescent="0.25">
      <c r="A103" s="330" t="s">
        <v>210</v>
      </c>
      <c r="B103" s="303" t="s">
        <v>211</v>
      </c>
      <c r="C103" s="73" t="s">
        <v>121</v>
      </c>
      <c r="D103" s="74">
        <f>D104+D105</f>
        <v>22001</v>
      </c>
      <c r="E103" s="74">
        <f>E104+E105</f>
        <v>1668.4</v>
      </c>
      <c r="F103" s="74">
        <f>F105</f>
        <v>3148.1</v>
      </c>
      <c r="G103" s="74">
        <f>G104+G105</f>
        <v>6227.9</v>
      </c>
      <c r="H103" s="74">
        <f>H104+H105</f>
        <v>3652.2</v>
      </c>
      <c r="I103" s="76">
        <f>I104+I105</f>
        <v>3652.2</v>
      </c>
      <c r="J103" s="74">
        <f>J104+J105</f>
        <v>3652.2</v>
      </c>
      <c r="K103" s="74">
        <f>K104+K105</f>
        <v>0</v>
      </c>
      <c r="L103" s="74"/>
      <c r="M103" s="365" t="s">
        <v>212</v>
      </c>
    </row>
    <row r="104" spans="1:14" s="52" customFormat="1" ht="18.75" hidden="1" customHeight="1" x14ac:dyDescent="0.25">
      <c r="A104" s="330"/>
      <c r="B104" s="303"/>
      <c r="C104" s="73" t="s">
        <v>122</v>
      </c>
      <c r="D104" s="74">
        <f>E104+F104+G104+H104+J104+I104+K104</f>
        <v>0</v>
      </c>
      <c r="E104" s="74">
        <v>0</v>
      </c>
      <c r="F104" s="74">
        <v>0</v>
      </c>
      <c r="G104" s="74">
        <v>0</v>
      </c>
      <c r="H104" s="74">
        <v>0</v>
      </c>
      <c r="I104" s="76">
        <v>0</v>
      </c>
      <c r="J104" s="74">
        <v>0</v>
      </c>
      <c r="K104" s="74">
        <v>0</v>
      </c>
      <c r="L104" s="74"/>
      <c r="M104" s="365"/>
    </row>
    <row r="105" spans="1:14" s="52" customFormat="1" ht="139.5" hidden="1" customHeight="1" x14ac:dyDescent="0.25">
      <c r="A105" s="330"/>
      <c r="B105" s="303"/>
      <c r="C105" s="73" t="s">
        <v>169</v>
      </c>
      <c r="D105" s="74">
        <f>E105+F105+G105+H105+J105+I105+K105</f>
        <v>22001</v>
      </c>
      <c r="E105" s="74">
        <v>1668.4</v>
      </c>
      <c r="F105" s="74">
        <f>3041.7+106.4</f>
        <v>3148.1</v>
      </c>
      <c r="G105" s="74">
        <f>5979.4+248.5</f>
        <v>6227.9</v>
      </c>
      <c r="H105" s="74">
        <v>3652.2</v>
      </c>
      <c r="I105" s="76">
        <v>3652.2</v>
      </c>
      <c r="J105" s="74">
        <v>3652.2</v>
      </c>
      <c r="K105" s="74">
        <v>0</v>
      </c>
      <c r="L105" s="74"/>
      <c r="M105" s="365"/>
    </row>
    <row r="106" spans="1:14" s="52" customFormat="1" ht="18.75" hidden="1" customHeight="1" x14ac:dyDescent="0.25">
      <c r="A106" s="330" t="s">
        <v>213</v>
      </c>
      <c r="B106" s="303" t="s">
        <v>214</v>
      </c>
      <c r="C106" s="73" t="s">
        <v>121</v>
      </c>
      <c r="D106" s="74">
        <f>D107+D108+D112</f>
        <v>38564</v>
      </c>
      <c r="E106" s="74">
        <f>E107+E108</f>
        <v>12000</v>
      </c>
      <c r="F106" s="74">
        <f>F107+F108+F112</f>
        <v>15914</v>
      </c>
      <c r="G106" s="74">
        <f>G107+G108</f>
        <v>7100</v>
      </c>
      <c r="H106" s="74">
        <f>H107+H108</f>
        <v>3550</v>
      </c>
      <c r="I106" s="76">
        <f>I107+I108</f>
        <v>0</v>
      </c>
      <c r="J106" s="74">
        <f>J107+J108</f>
        <v>0</v>
      </c>
      <c r="K106" s="74">
        <f>K107+K108</f>
        <v>0</v>
      </c>
      <c r="L106" s="74"/>
      <c r="M106" s="365" t="s">
        <v>215</v>
      </c>
    </row>
    <row r="107" spans="1:14" s="52" customFormat="1" ht="18.75" hidden="1" customHeight="1" x14ac:dyDescent="0.25">
      <c r="A107" s="364"/>
      <c r="B107" s="308"/>
      <c r="C107" s="73" t="s">
        <v>122</v>
      </c>
      <c r="D107" s="74">
        <f t="shared" ref="D107:D115" si="26">E107+F107+G107+H107+J107+I107+K107</f>
        <v>15681.5</v>
      </c>
      <c r="E107" s="130">
        <v>6600</v>
      </c>
      <c r="F107" s="130">
        <f>6545+1897.5</f>
        <v>8442.5</v>
      </c>
      <c r="G107" s="130">
        <v>426</v>
      </c>
      <c r="H107" s="130">
        <f>H112+H114</f>
        <v>213</v>
      </c>
      <c r="I107" s="211">
        <f>I112+I114</f>
        <v>0</v>
      </c>
      <c r="J107" s="130">
        <f>J112+J114</f>
        <v>0</v>
      </c>
      <c r="K107" s="130">
        <v>0</v>
      </c>
      <c r="L107" s="130"/>
      <c r="M107" s="379"/>
    </row>
    <row r="108" spans="1:14" s="52" customFormat="1" ht="84" hidden="1" customHeight="1" x14ac:dyDescent="0.25">
      <c r="A108" s="364"/>
      <c r="B108" s="308"/>
      <c r="C108" s="73" t="s">
        <v>169</v>
      </c>
      <c r="D108" s="74">
        <f t="shared" si="26"/>
        <v>22318.5</v>
      </c>
      <c r="E108" s="130">
        <v>5400</v>
      </c>
      <c r="F108" s="130">
        <f>5355+1552.5</f>
        <v>6907.5</v>
      </c>
      <c r="G108" s="130">
        <v>6674</v>
      </c>
      <c r="H108" s="130">
        <f>H115</f>
        <v>3337</v>
      </c>
      <c r="I108" s="211">
        <v>0</v>
      </c>
      <c r="J108" s="130">
        <f>J115</f>
        <v>0</v>
      </c>
      <c r="K108" s="130">
        <v>0</v>
      </c>
      <c r="L108" s="130"/>
      <c r="M108" s="379"/>
    </row>
    <row r="109" spans="1:14" s="52" customFormat="1" ht="18.75" hidden="1" customHeight="1" x14ac:dyDescent="0.25">
      <c r="A109" s="380" t="s">
        <v>216</v>
      </c>
      <c r="B109" s="361" t="s">
        <v>217</v>
      </c>
      <c r="C109" s="73" t="s">
        <v>121</v>
      </c>
      <c r="D109" s="74">
        <f t="shared" si="26"/>
        <v>27350</v>
      </c>
      <c r="E109" s="130">
        <f t="shared" ref="E109:K109" si="27">E110+E111</f>
        <v>12000</v>
      </c>
      <c r="F109" s="130">
        <f t="shared" si="27"/>
        <v>15350</v>
      </c>
      <c r="G109" s="130">
        <f t="shared" si="27"/>
        <v>0</v>
      </c>
      <c r="H109" s="130">
        <f t="shared" si="27"/>
        <v>0</v>
      </c>
      <c r="I109" s="211">
        <f t="shared" si="27"/>
        <v>0</v>
      </c>
      <c r="J109" s="130">
        <f t="shared" si="27"/>
        <v>0</v>
      </c>
      <c r="K109" s="130">
        <f t="shared" si="27"/>
        <v>0</v>
      </c>
      <c r="L109" s="130"/>
      <c r="M109" s="379"/>
    </row>
    <row r="110" spans="1:14" s="52" customFormat="1" ht="18.75" hidden="1" customHeight="1" x14ac:dyDescent="0.25">
      <c r="A110" s="341"/>
      <c r="B110" s="362"/>
      <c r="C110" s="73" t="s">
        <v>122</v>
      </c>
      <c r="D110" s="74">
        <f t="shared" si="26"/>
        <v>15042.5</v>
      </c>
      <c r="E110" s="130">
        <v>6600</v>
      </c>
      <c r="F110" s="130">
        <v>8442.5</v>
      </c>
      <c r="G110" s="130">
        <v>0</v>
      </c>
      <c r="H110" s="130">
        <v>0</v>
      </c>
      <c r="I110" s="211">
        <v>0</v>
      </c>
      <c r="J110" s="130">
        <v>0</v>
      </c>
      <c r="K110" s="130">
        <v>0</v>
      </c>
      <c r="L110" s="130"/>
      <c r="M110" s="379"/>
    </row>
    <row r="111" spans="1:14" s="52" customFormat="1" ht="49.5" hidden="1" customHeight="1" x14ac:dyDescent="0.25">
      <c r="A111" s="341"/>
      <c r="B111" s="362"/>
      <c r="C111" s="73" t="s">
        <v>169</v>
      </c>
      <c r="D111" s="74">
        <f t="shared" si="26"/>
        <v>12307.5</v>
      </c>
      <c r="E111" s="130">
        <v>5400</v>
      </c>
      <c r="F111" s="130">
        <v>6907.5</v>
      </c>
      <c r="G111" s="130">
        <v>0</v>
      </c>
      <c r="H111" s="130">
        <v>0</v>
      </c>
      <c r="I111" s="211">
        <v>0</v>
      </c>
      <c r="J111" s="130">
        <v>0</v>
      </c>
      <c r="K111" s="130">
        <v>0</v>
      </c>
      <c r="L111" s="130"/>
      <c r="M111" s="379"/>
    </row>
    <row r="112" spans="1:14" s="52" customFormat="1" ht="117.75" hidden="1" customHeight="1" x14ac:dyDescent="0.25">
      <c r="A112" s="131" t="s">
        <v>218</v>
      </c>
      <c r="B112" s="122" t="s">
        <v>219</v>
      </c>
      <c r="C112" s="73" t="s">
        <v>122</v>
      </c>
      <c r="D112" s="74">
        <f t="shared" si="26"/>
        <v>564</v>
      </c>
      <c r="E112" s="130">
        <v>0</v>
      </c>
      <c r="F112" s="130">
        <v>564</v>
      </c>
      <c r="G112" s="130">
        <v>0</v>
      </c>
      <c r="H112" s="130">
        <v>0</v>
      </c>
      <c r="I112" s="211">
        <v>0</v>
      </c>
      <c r="J112" s="130">
        <v>0</v>
      </c>
      <c r="K112" s="130">
        <v>0</v>
      </c>
      <c r="L112" s="130"/>
      <c r="M112" s="379"/>
    </row>
    <row r="113" spans="1:14" s="52" customFormat="1" ht="18.75" hidden="1" customHeight="1" x14ac:dyDescent="0.25">
      <c r="A113" s="381" t="s">
        <v>220</v>
      </c>
      <c r="B113" s="361" t="s">
        <v>221</v>
      </c>
      <c r="C113" s="73" t="s">
        <v>121</v>
      </c>
      <c r="D113" s="74">
        <f t="shared" si="26"/>
        <v>10650</v>
      </c>
      <c r="E113" s="74">
        <f t="shared" ref="E113:K113" si="28">E114+E115</f>
        <v>0</v>
      </c>
      <c r="F113" s="74">
        <f t="shared" si="28"/>
        <v>0</v>
      </c>
      <c r="G113" s="74">
        <f t="shared" si="28"/>
        <v>7100</v>
      </c>
      <c r="H113" s="74">
        <f t="shared" si="28"/>
        <v>3550</v>
      </c>
      <c r="I113" s="76">
        <f t="shared" si="28"/>
        <v>0</v>
      </c>
      <c r="J113" s="74">
        <f t="shared" si="28"/>
        <v>0</v>
      </c>
      <c r="K113" s="74">
        <f t="shared" si="28"/>
        <v>0</v>
      </c>
      <c r="L113" s="241"/>
      <c r="M113" s="384" t="s">
        <v>222</v>
      </c>
    </row>
    <row r="114" spans="1:14" s="52" customFormat="1" ht="18.75" hidden="1" customHeight="1" x14ac:dyDescent="0.25">
      <c r="A114" s="382"/>
      <c r="B114" s="362"/>
      <c r="C114" s="73" t="s">
        <v>122</v>
      </c>
      <c r="D114" s="74">
        <f t="shared" si="26"/>
        <v>639</v>
      </c>
      <c r="E114" s="130">
        <v>0</v>
      </c>
      <c r="F114" s="130">
        <v>0</v>
      </c>
      <c r="G114" s="130">
        <v>426</v>
      </c>
      <c r="H114" s="130">
        <v>213</v>
      </c>
      <c r="I114" s="211">
        <v>0</v>
      </c>
      <c r="J114" s="130">
        <v>0</v>
      </c>
      <c r="K114" s="130">
        <v>0</v>
      </c>
      <c r="L114" s="253"/>
      <c r="M114" s="385"/>
    </row>
    <row r="115" spans="1:14" s="52" customFormat="1" ht="250.5" hidden="1" customHeight="1" x14ac:dyDescent="0.25">
      <c r="A115" s="383"/>
      <c r="B115" s="363"/>
      <c r="C115" s="73" t="s">
        <v>169</v>
      </c>
      <c r="D115" s="74">
        <f t="shared" si="26"/>
        <v>10011</v>
      </c>
      <c r="E115" s="130">
        <v>0</v>
      </c>
      <c r="F115" s="130">
        <v>0</v>
      </c>
      <c r="G115" s="130">
        <v>6674</v>
      </c>
      <c r="H115" s="132">
        <v>3337</v>
      </c>
      <c r="I115" s="212">
        <v>0</v>
      </c>
      <c r="J115" s="132">
        <v>0</v>
      </c>
      <c r="K115" s="132">
        <v>0</v>
      </c>
      <c r="L115" s="132"/>
      <c r="M115" s="386"/>
    </row>
    <row r="116" spans="1:14" s="52" customFormat="1" ht="18.75" hidden="1" customHeight="1" x14ac:dyDescent="0.25">
      <c r="A116" s="331" t="s">
        <v>223</v>
      </c>
      <c r="B116" s="303" t="s">
        <v>224</v>
      </c>
      <c r="C116" s="73" t="s">
        <v>121</v>
      </c>
      <c r="D116" s="74">
        <f>D117+D118</f>
        <v>77250.899999999994</v>
      </c>
      <c r="E116" s="74">
        <f t="shared" ref="E116:K116" si="29">E117+E118</f>
        <v>4511.6000000000004</v>
      </c>
      <c r="F116" s="74">
        <f t="shared" si="29"/>
        <v>15933.3</v>
      </c>
      <c r="G116" s="74">
        <f>G117+G118</f>
        <v>28685.199999999997</v>
      </c>
      <c r="H116" s="74">
        <f t="shared" si="29"/>
        <v>28120.800000000003</v>
      </c>
      <c r="I116" s="76">
        <f t="shared" si="29"/>
        <v>0</v>
      </c>
      <c r="J116" s="74">
        <f t="shared" si="29"/>
        <v>0</v>
      </c>
      <c r="K116" s="74">
        <f t="shared" si="29"/>
        <v>0</v>
      </c>
      <c r="L116" s="241"/>
      <c r="M116" s="343" t="s">
        <v>225</v>
      </c>
      <c r="N116" s="46">
        <v>5</v>
      </c>
    </row>
    <row r="117" spans="1:14" s="52" customFormat="1" ht="18.75" hidden="1" customHeight="1" x14ac:dyDescent="0.25">
      <c r="A117" s="331"/>
      <c r="B117" s="303"/>
      <c r="C117" s="73" t="s">
        <v>122</v>
      </c>
      <c r="D117" s="74">
        <f>E117+F117+G117+H117+J117+I117+K117</f>
        <v>15278.4</v>
      </c>
      <c r="E117" s="74">
        <f>1848.2+373.4</f>
        <v>2221.6</v>
      </c>
      <c r="F117" s="74">
        <f>2000+F120-2000+18.6+439.3+21</f>
        <v>2111.8000000000002</v>
      </c>
      <c r="G117" s="74">
        <f>G120+G126+G128</f>
        <v>6006.6</v>
      </c>
      <c r="H117" s="74">
        <f>H120+H126+H128+H123</f>
        <v>4938.3999999999996</v>
      </c>
      <c r="I117" s="76">
        <f>I120+I126+I128</f>
        <v>0</v>
      </c>
      <c r="J117" s="74">
        <f>J120+J126+J128</f>
        <v>0</v>
      </c>
      <c r="K117" s="74">
        <v>0</v>
      </c>
      <c r="L117" s="82"/>
      <c r="M117" s="367"/>
    </row>
    <row r="118" spans="1:14" s="52" customFormat="1" ht="18.75" hidden="1" customHeight="1" x14ac:dyDescent="0.25">
      <c r="A118" s="331"/>
      <c r="B118" s="303"/>
      <c r="C118" s="73" t="s">
        <v>169</v>
      </c>
      <c r="D118" s="74">
        <f>E118+F118+G118+H118+J118+I118+K118</f>
        <v>61972.5</v>
      </c>
      <c r="E118" s="74">
        <f>300+370+130+1490</f>
        <v>2290</v>
      </c>
      <c r="F118" s="74">
        <f>360+F121+1500</f>
        <v>13821.5</v>
      </c>
      <c r="G118" s="74">
        <f>G121+G127</f>
        <v>22678.6</v>
      </c>
      <c r="H118" s="74">
        <f>H121+H127+H124</f>
        <v>23182.400000000001</v>
      </c>
      <c r="I118" s="76">
        <f>I121+I127</f>
        <v>0</v>
      </c>
      <c r="J118" s="74">
        <f>J121+J127</f>
        <v>0</v>
      </c>
      <c r="K118" s="74">
        <v>0</v>
      </c>
      <c r="L118" s="82"/>
      <c r="M118" s="367"/>
    </row>
    <row r="119" spans="1:14" s="52" customFormat="1" ht="18.75" hidden="1" customHeight="1" x14ac:dyDescent="0.25">
      <c r="A119" s="370" t="s">
        <v>226</v>
      </c>
      <c r="B119" s="303" t="s">
        <v>144</v>
      </c>
      <c r="C119" s="73" t="s">
        <v>121</v>
      </c>
      <c r="D119" s="74">
        <f>D120+D121</f>
        <v>46525.700000000004</v>
      </c>
      <c r="E119" s="74">
        <v>0</v>
      </c>
      <c r="F119" s="74">
        <f t="shared" ref="F119:K119" si="30">F120+F121</f>
        <v>13594.4</v>
      </c>
      <c r="G119" s="74">
        <f t="shared" si="30"/>
        <v>24464.399999999998</v>
      </c>
      <c r="H119" s="74">
        <f t="shared" si="30"/>
        <v>8466.9</v>
      </c>
      <c r="I119" s="76">
        <f t="shared" si="30"/>
        <v>0</v>
      </c>
      <c r="J119" s="74">
        <f t="shared" si="30"/>
        <v>0</v>
      </c>
      <c r="K119" s="74">
        <f t="shared" si="30"/>
        <v>0</v>
      </c>
      <c r="L119" s="82"/>
      <c r="M119" s="368"/>
    </row>
    <row r="120" spans="1:14" s="52" customFormat="1" ht="18.75" hidden="1" customHeight="1" x14ac:dyDescent="0.25">
      <c r="A120" s="371"/>
      <c r="B120" s="303"/>
      <c r="C120" s="73" t="s">
        <v>122</v>
      </c>
      <c r="D120" s="74">
        <f>E120+F120+G120+H120+J120+I120+K120</f>
        <v>5584.8000000000011</v>
      </c>
      <c r="E120" s="74">
        <v>0</v>
      </c>
      <c r="F120" s="74">
        <f>1187.3+212+328.2-21-73.6</f>
        <v>1632.9</v>
      </c>
      <c r="G120" s="74">
        <f>2769-397.4+564.2</f>
        <v>2935.8</v>
      </c>
      <c r="H120" s="74">
        <v>1016.1</v>
      </c>
      <c r="I120" s="76">
        <v>0</v>
      </c>
      <c r="J120" s="74">
        <v>0</v>
      </c>
      <c r="K120" s="74">
        <v>0</v>
      </c>
      <c r="L120" s="82"/>
      <c r="M120" s="368"/>
    </row>
    <row r="121" spans="1:14" s="52" customFormat="1" ht="217.5" hidden="1" customHeight="1" x14ac:dyDescent="0.25">
      <c r="A121" s="372"/>
      <c r="B121" s="303"/>
      <c r="C121" s="73" t="s">
        <v>169</v>
      </c>
      <c r="D121" s="74">
        <f>E121+F121+G121+H121+J121+I121+K121</f>
        <v>40940.9</v>
      </c>
      <c r="E121" s="74">
        <v>0</v>
      </c>
      <c r="F121" s="74">
        <f>8707.3+1554.7+2238.9-539.4</f>
        <v>11961.5</v>
      </c>
      <c r="G121" s="74">
        <f>20305.8-2914.4+4137.2</f>
        <v>21528.6</v>
      </c>
      <c r="H121" s="74">
        <v>7450.8</v>
      </c>
      <c r="I121" s="76">
        <v>0</v>
      </c>
      <c r="J121" s="74">
        <v>0</v>
      </c>
      <c r="K121" s="74">
        <v>0</v>
      </c>
      <c r="L121" s="82"/>
      <c r="M121" s="368"/>
    </row>
    <row r="122" spans="1:14" s="52" customFormat="1" ht="18.75" hidden="1" customHeight="1" x14ac:dyDescent="0.25">
      <c r="A122" s="370" t="s">
        <v>227</v>
      </c>
      <c r="B122" s="303" t="s">
        <v>228</v>
      </c>
      <c r="C122" s="73" t="s">
        <v>121</v>
      </c>
      <c r="D122" s="74">
        <f>D123+D124</f>
        <v>14354.1</v>
      </c>
      <c r="E122" s="74">
        <f t="shared" ref="E122:K122" si="31">E123+E124</f>
        <v>0</v>
      </c>
      <c r="F122" s="74">
        <f t="shared" si="31"/>
        <v>0</v>
      </c>
      <c r="G122" s="74">
        <f t="shared" si="31"/>
        <v>0</v>
      </c>
      <c r="H122" s="74">
        <f t="shared" si="31"/>
        <v>14354.1</v>
      </c>
      <c r="I122" s="76">
        <f t="shared" si="31"/>
        <v>0</v>
      </c>
      <c r="J122" s="74">
        <f t="shared" si="31"/>
        <v>0</v>
      </c>
      <c r="K122" s="74">
        <f t="shared" si="31"/>
        <v>0</v>
      </c>
      <c r="L122" s="82"/>
      <c r="M122" s="368"/>
    </row>
    <row r="123" spans="1:14" s="52" customFormat="1" ht="18.75" hidden="1" customHeight="1" x14ac:dyDescent="0.25">
      <c r="A123" s="373"/>
      <c r="B123" s="303"/>
      <c r="C123" s="73" t="s">
        <v>122</v>
      </c>
      <c r="D123" s="74">
        <f>E123+F123+G123+H123+I123+J123+K123</f>
        <v>1722.5</v>
      </c>
      <c r="E123" s="74">
        <v>0</v>
      </c>
      <c r="F123" s="74">
        <v>0</v>
      </c>
      <c r="G123" s="74">
        <v>0</v>
      </c>
      <c r="H123" s="74">
        <v>1722.5</v>
      </c>
      <c r="I123" s="76">
        <v>0</v>
      </c>
      <c r="J123" s="74">
        <v>0</v>
      </c>
      <c r="K123" s="74">
        <v>0</v>
      </c>
      <c r="L123" s="82"/>
      <c r="M123" s="368"/>
    </row>
    <row r="124" spans="1:14" s="52" customFormat="1" ht="190.5" hidden="1" customHeight="1" x14ac:dyDescent="0.25">
      <c r="A124" s="374"/>
      <c r="B124" s="303"/>
      <c r="C124" s="73" t="s">
        <v>169</v>
      </c>
      <c r="D124" s="74">
        <f>E124+F124+G124+H124+I124+J124+K124</f>
        <v>12631.6</v>
      </c>
      <c r="E124" s="74">
        <v>0</v>
      </c>
      <c r="F124" s="74">
        <v>0</v>
      </c>
      <c r="G124" s="74">
        <v>0</v>
      </c>
      <c r="H124" s="74">
        <v>12631.6</v>
      </c>
      <c r="I124" s="76">
        <v>0</v>
      </c>
      <c r="J124" s="74">
        <v>0</v>
      </c>
      <c r="K124" s="74">
        <v>0</v>
      </c>
      <c r="L124" s="82"/>
      <c r="M124" s="368"/>
    </row>
    <row r="125" spans="1:14" s="52" customFormat="1" ht="18.75" hidden="1" customHeight="1" x14ac:dyDescent="0.25">
      <c r="A125" s="375" t="s">
        <v>229</v>
      </c>
      <c r="B125" s="326" t="s">
        <v>230</v>
      </c>
      <c r="C125" s="73" t="s">
        <v>121</v>
      </c>
      <c r="D125" s="74">
        <f t="shared" ref="D125:K125" si="32">D126+D127</f>
        <v>6128.6</v>
      </c>
      <c r="E125" s="74">
        <f t="shared" si="32"/>
        <v>0</v>
      </c>
      <c r="F125" s="74">
        <f t="shared" si="32"/>
        <v>1878.6</v>
      </c>
      <c r="G125" s="74">
        <f t="shared" si="32"/>
        <v>1150</v>
      </c>
      <c r="H125" s="74">
        <f t="shared" si="32"/>
        <v>3100</v>
      </c>
      <c r="I125" s="76">
        <f t="shared" si="32"/>
        <v>0</v>
      </c>
      <c r="J125" s="74">
        <f t="shared" si="32"/>
        <v>0</v>
      </c>
      <c r="K125" s="74">
        <f t="shared" si="32"/>
        <v>0</v>
      </c>
      <c r="L125" s="82"/>
      <c r="M125" s="368"/>
    </row>
    <row r="126" spans="1:14" s="52" customFormat="1" ht="18.75" hidden="1" customHeight="1" x14ac:dyDescent="0.25">
      <c r="A126" s="376"/>
      <c r="B126" s="378"/>
      <c r="C126" s="73" t="s">
        <v>122</v>
      </c>
      <c r="D126" s="74">
        <f>E126+F126+G126+H126+J126+I126+K126</f>
        <v>18.600000000000001</v>
      </c>
      <c r="E126" s="74">
        <v>0</v>
      </c>
      <c r="F126" s="74">
        <v>18.600000000000001</v>
      </c>
      <c r="G126" s="74">
        <v>0</v>
      </c>
      <c r="H126" s="74">
        <v>0</v>
      </c>
      <c r="I126" s="76">
        <v>0</v>
      </c>
      <c r="J126" s="82">
        <v>0</v>
      </c>
      <c r="K126" s="82">
        <v>0</v>
      </c>
      <c r="L126" s="82"/>
      <c r="M126" s="368"/>
    </row>
    <row r="127" spans="1:14" s="52" customFormat="1" ht="135.75" hidden="1" customHeight="1" x14ac:dyDescent="0.25">
      <c r="A127" s="377"/>
      <c r="B127" s="327"/>
      <c r="C127" s="73" t="s">
        <v>169</v>
      </c>
      <c r="D127" s="74">
        <f>E127+F127+G127+H127+I127+J127+K127</f>
        <v>6110</v>
      </c>
      <c r="E127" s="74">
        <v>0</v>
      </c>
      <c r="F127" s="74">
        <v>1860</v>
      </c>
      <c r="G127" s="74">
        <f>400+750</f>
        <v>1150</v>
      </c>
      <c r="H127" s="74">
        <v>3100</v>
      </c>
      <c r="I127" s="76">
        <v>0</v>
      </c>
      <c r="J127" s="74">
        <v>0</v>
      </c>
      <c r="K127" s="74">
        <v>0</v>
      </c>
      <c r="L127" s="82"/>
      <c r="M127" s="368"/>
    </row>
    <row r="128" spans="1:14" s="52" customFormat="1" ht="75" hidden="1" customHeight="1" x14ac:dyDescent="0.25">
      <c r="A128" s="133" t="s">
        <v>231</v>
      </c>
      <c r="B128" s="134" t="s">
        <v>232</v>
      </c>
      <c r="C128" s="73" t="s">
        <v>122</v>
      </c>
      <c r="D128" s="74">
        <f>E128+F128+G128+H128+J128+I128+K128</f>
        <v>5730.9000000000005</v>
      </c>
      <c r="E128" s="74">
        <v>0</v>
      </c>
      <c r="F128" s="74">
        <v>460.3</v>
      </c>
      <c r="G128" s="74">
        <f>170+1800+541.5+559.3</f>
        <v>3070.8</v>
      </c>
      <c r="H128" s="74">
        <f>567.8+130+596-130+348+770-82</f>
        <v>2199.8000000000002</v>
      </c>
      <c r="I128" s="76">
        <v>0</v>
      </c>
      <c r="J128" s="90">
        <v>0</v>
      </c>
      <c r="K128" s="90">
        <v>0</v>
      </c>
      <c r="L128" s="90"/>
      <c r="M128" s="369"/>
    </row>
    <row r="129" spans="1:14" s="52" customFormat="1" ht="18.75" hidden="1" customHeight="1" x14ac:dyDescent="0.25">
      <c r="A129" s="330" t="s">
        <v>233</v>
      </c>
      <c r="B129" s="290" t="s">
        <v>234</v>
      </c>
      <c r="C129" s="135" t="s">
        <v>121</v>
      </c>
      <c r="D129" s="74">
        <f t="shared" ref="D129:K129" si="33">D130+D131</f>
        <v>120</v>
      </c>
      <c r="E129" s="74">
        <f t="shared" si="33"/>
        <v>20.399999999999999</v>
      </c>
      <c r="F129" s="74">
        <f t="shared" si="33"/>
        <v>0</v>
      </c>
      <c r="G129" s="74">
        <f t="shared" si="33"/>
        <v>99.6</v>
      </c>
      <c r="H129" s="74">
        <f>H130+H131</f>
        <v>0</v>
      </c>
      <c r="I129" s="76">
        <f t="shared" si="33"/>
        <v>0</v>
      </c>
      <c r="J129" s="74">
        <f t="shared" si="33"/>
        <v>0</v>
      </c>
      <c r="K129" s="74">
        <f t="shared" si="33"/>
        <v>0</v>
      </c>
      <c r="L129" s="74"/>
      <c r="M129" s="365" t="s">
        <v>235</v>
      </c>
    </row>
    <row r="130" spans="1:14" s="52" customFormat="1" ht="18.75" hidden="1" customHeight="1" x14ac:dyDescent="0.25">
      <c r="A130" s="364"/>
      <c r="B130" s="290"/>
      <c r="C130" s="135" t="s">
        <v>122</v>
      </c>
      <c r="D130" s="74">
        <f>E130+F130+G130+H130+J130+I130+K130</f>
        <v>120</v>
      </c>
      <c r="E130" s="74">
        <f>10.2+10.2</f>
        <v>20.399999999999999</v>
      </c>
      <c r="F130" s="74">
        <v>0</v>
      </c>
      <c r="G130" s="74">
        <v>99.6</v>
      </c>
      <c r="H130" s="74">
        <v>0</v>
      </c>
      <c r="I130" s="76">
        <v>0</v>
      </c>
      <c r="J130" s="74">
        <v>0</v>
      </c>
      <c r="K130" s="74">
        <v>0</v>
      </c>
      <c r="L130" s="74"/>
      <c r="M130" s="365"/>
    </row>
    <row r="131" spans="1:14" s="52" customFormat="1" ht="18.75" hidden="1" customHeight="1" x14ac:dyDescent="0.25">
      <c r="A131" s="364"/>
      <c r="B131" s="290"/>
      <c r="C131" s="135" t="s">
        <v>169</v>
      </c>
      <c r="D131" s="74">
        <f>E131+F131+G131+H131+J131+I131+K131</f>
        <v>0</v>
      </c>
      <c r="E131" s="74">
        <v>0</v>
      </c>
      <c r="F131" s="74">
        <v>0</v>
      </c>
      <c r="G131" s="74">
        <v>0</v>
      </c>
      <c r="H131" s="74">
        <v>0</v>
      </c>
      <c r="I131" s="76">
        <v>0</v>
      </c>
      <c r="J131" s="74">
        <v>0</v>
      </c>
      <c r="K131" s="74">
        <v>0</v>
      </c>
      <c r="L131" s="74"/>
      <c r="M131" s="365"/>
    </row>
    <row r="132" spans="1:14" s="52" customFormat="1" ht="18.75" hidden="1" customHeight="1" x14ac:dyDescent="0.25">
      <c r="A132" s="331" t="s">
        <v>236</v>
      </c>
      <c r="B132" s="303" t="s">
        <v>237</v>
      </c>
      <c r="C132" s="73" t="s">
        <v>121</v>
      </c>
      <c r="D132" s="74">
        <f t="shared" ref="D132:K132" si="34">D133+D134</f>
        <v>2102.1</v>
      </c>
      <c r="E132" s="74">
        <f t="shared" si="34"/>
        <v>1196.0999999999999</v>
      </c>
      <c r="F132" s="74">
        <f t="shared" si="34"/>
        <v>0</v>
      </c>
      <c r="G132" s="74">
        <f t="shared" si="34"/>
        <v>906</v>
      </c>
      <c r="H132" s="74">
        <f t="shared" si="34"/>
        <v>0</v>
      </c>
      <c r="I132" s="76">
        <f t="shared" si="34"/>
        <v>0</v>
      </c>
      <c r="J132" s="74">
        <f t="shared" si="34"/>
        <v>0</v>
      </c>
      <c r="K132" s="74">
        <f t="shared" si="34"/>
        <v>0</v>
      </c>
      <c r="L132" s="74"/>
      <c r="M132" s="346" t="s">
        <v>238</v>
      </c>
    </row>
    <row r="133" spans="1:14" s="52" customFormat="1" ht="18.75" hidden="1" customHeight="1" x14ac:dyDescent="0.25">
      <c r="A133" s="366"/>
      <c r="B133" s="308"/>
      <c r="C133" s="73" t="s">
        <v>122</v>
      </c>
      <c r="D133" s="74">
        <f>E133+F133+G133+H133+J133+I133+K133</f>
        <v>252.4</v>
      </c>
      <c r="E133" s="74">
        <v>143.6</v>
      </c>
      <c r="F133" s="74">
        <v>0</v>
      </c>
      <c r="G133" s="74">
        <f>137.3-28.5</f>
        <v>108.80000000000001</v>
      </c>
      <c r="H133" s="74">
        <v>0</v>
      </c>
      <c r="I133" s="76">
        <v>0</v>
      </c>
      <c r="J133" s="74">
        <v>0</v>
      </c>
      <c r="K133" s="74">
        <v>0</v>
      </c>
      <c r="L133" s="74"/>
      <c r="M133" s="357"/>
    </row>
    <row r="134" spans="1:14" s="52" customFormat="1" ht="195.75" hidden="1" customHeight="1" x14ac:dyDescent="0.25">
      <c r="A134" s="366"/>
      <c r="B134" s="308"/>
      <c r="C134" s="73" t="s">
        <v>169</v>
      </c>
      <c r="D134" s="74">
        <f>E134+F134+G134+H134+J134+I134+K134</f>
        <v>1849.7</v>
      </c>
      <c r="E134" s="74">
        <v>1052.5</v>
      </c>
      <c r="F134" s="74">
        <v>0</v>
      </c>
      <c r="G134" s="74">
        <f>1006.5-209.3</f>
        <v>797.2</v>
      </c>
      <c r="H134" s="74">
        <v>0</v>
      </c>
      <c r="I134" s="76">
        <v>0</v>
      </c>
      <c r="J134" s="74">
        <v>0</v>
      </c>
      <c r="K134" s="74">
        <v>0</v>
      </c>
      <c r="L134" s="74"/>
      <c r="M134" s="357"/>
      <c r="N134" s="46">
        <v>6</v>
      </c>
    </row>
    <row r="135" spans="1:14" s="52" customFormat="1" ht="18.75" hidden="1" customHeight="1" x14ac:dyDescent="0.25">
      <c r="A135" s="358" t="s">
        <v>239</v>
      </c>
      <c r="B135" s="361" t="s">
        <v>240</v>
      </c>
      <c r="C135" s="73" t="s">
        <v>121</v>
      </c>
      <c r="D135" s="74">
        <f>D136+D137</f>
        <v>2780</v>
      </c>
      <c r="E135" s="74">
        <v>0</v>
      </c>
      <c r="F135" s="74">
        <v>0</v>
      </c>
      <c r="G135" s="74">
        <f>G136+G137</f>
        <v>2780</v>
      </c>
      <c r="H135" s="74">
        <f>H136+H137</f>
        <v>0</v>
      </c>
      <c r="I135" s="76">
        <f>I136+I137</f>
        <v>0</v>
      </c>
      <c r="J135" s="119">
        <v>0</v>
      </c>
      <c r="K135" s="119">
        <v>0</v>
      </c>
      <c r="L135" s="241"/>
      <c r="M135" s="353" t="s">
        <v>241</v>
      </c>
    </row>
    <row r="136" spans="1:14" s="52" customFormat="1" ht="18.75" hidden="1" customHeight="1" x14ac:dyDescent="0.25">
      <c r="A136" s="359"/>
      <c r="B136" s="362"/>
      <c r="C136" s="73" t="s">
        <v>122</v>
      </c>
      <c r="D136" s="74">
        <f>E136+F136+G136+H136+J136+I136+K136</f>
        <v>5.0999999999999996</v>
      </c>
      <c r="E136" s="74">
        <v>0</v>
      </c>
      <c r="F136" s="74">
        <v>0</v>
      </c>
      <c r="G136" s="74">
        <v>5.0999999999999996</v>
      </c>
      <c r="H136" s="74">
        <v>0</v>
      </c>
      <c r="I136" s="76">
        <v>0</v>
      </c>
      <c r="J136" s="74">
        <v>0</v>
      </c>
      <c r="K136" s="74">
        <v>0</v>
      </c>
      <c r="L136" s="82"/>
      <c r="M136" s="362"/>
    </row>
    <row r="137" spans="1:14" s="52" customFormat="1" ht="146.25" hidden="1" customHeight="1" x14ac:dyDescent="0.25">
      <c r="A137" s="360"/>
      <c r="B137" s="363"/>
      <c r="C137" s="73" t="s">
        <v>169</v>
      </c>
      <c r="D137" s="74">
        <f>E137+F137+G137+H137+J137+I137+K137</f>
        <v>2774.9</v>
      </c>
      <c r="E137" s="74">
        <v>0</v>
      </c>
      <c r="F137" s="74">
        <v>0</v>
      </c>
      <c r="G137" s="74">
        <v>2774.9</v>
      </c>
      <c r="H137" s="74">
        <v>0</v>
      </c>
      <c r="I137" s="76">
        <v>0</v>
      </c>
      <c r="J137" s="90">
        <v>0</v>
      </c>
      <c r="K137" s="90">
        <v>0</v>
      </c>
      <c r="L137" s="90"/>
      <c r="M137" s="363"/>
    </row>
    <row r="138" spans="1:14" s="52" customFormat="1" ht="21.75" customHeight="1" x14ac:dyDescent="0.25">
      <c r="A138" s="126"/>
      <c r="B138" s="102"/>
      <c r="C138" s="102" t="s">
        <v>350</v>
      </c>
      <c r="D138" s="74">
        <f>E138+F138+G138+H138+I138+J138+K138+L138</f>
        <v>214909.59999999998</v>
      </c>
      <c r="E138" s="74">
        <v>19396.5</v>
      </c>
      <c r="F138" s="74">
        <v>41291.9</v>
      </c>
      <c r="G138" s="74">
        <v>45798.7</v>
      </c>
      <c r="H138" s="74">
        <v>36073.9</v>
      </c>
      <c r="I138" s="258">
        <f>I139+I140</f>
        <v>54902.3</v>
      </c>
      <c r="J138" s="257">
        <f t="shared" ref="J138:L138" si="35">J139+J140</f>
        <v>6634</v>
      </c>
      <c r="K138" s="257">
        <f t="shared" si="35"/>
        <v>3288.9</v>
      </c>
      <c r="L138" s="257">
        <f t="shared" si="35"/>
        <v>7523.4000000000005</v>
      </c>
      <c r="M138" s="101"/>
    </row>
    <row r="139" spans="1:14" s="52" customFormat="1" ht="21.75" customHeight="1" x14ac:dyDescent="0.35">
      <c r="A139" s="126"/>
      <c r="B139" s="103"/>
      <c r="C139" s="102" t="s">
        <v>122</v>
      </c>
      <c r="D139" s="74">
        <f>E139+F139+G139+H139+I139+J139+K139+L139</f>
        <v>56779.100000000006</v>
      </c>
      <c r="E139" s="74">
        <v>8985.6</v>
      </c>
      <c r="F139" s="74">
        <v>14581.400000000001</v>
      </c>
      <c r="G139" s="74">
        <v>6646.1000000000013</v>
      </c>
      <c r="H139" s="83">
        <v>5902.2999999999993</v>
      </c>
      <c r="I139" s="528">
        <v>19755</v>
      </c>
      <c r="J139" s="529">
        <v>403.9</v>
      </c>
      <c r="K139" s="529">
        <v>0</v>
      </c>
      <c r="L139" s="529">
        <v>504.8</v>
      </c>
      <c r="M139" s="523"/>
    </row>
    <row r="140" spans="1:14" s="52" customFormat="1" ht="21.75" customHeight="1" x14ac:dyDescent="0.35">
      <c r="A140" s="126"/>
      <c r="B140" s="103"/>
      <c r="C140" s="102" t="s">
        <v>169</v>
      </c>
      <c r="D140" s="74">
        <f>E140+F140+G140+H140+I140+J140+K140+L140</f>
        <v>158130.50000000003</v>
      </c>
      <c r="E140" s="74">
        <v>10410.9</v>
      </c>
      <c r="F140" s="74">
        <v>26710.5</v>
      </c>
      <c r="G140" s="74">
        <v>39152.6</v>
      </c>
      <c r="H140" s="83">
        <v>30171.600000000002</v>
      </c>
      <c r="I140" s="528">
        <v>35147.300000000003</v>
      </c>
      <c r="J140" s="528">
        <v>6230.1</v>
      </c>
      <c r="K140" s="528">
        <v>3288.9</v>
      </c>
      <c r="L140" s="528">
        <v>7018.6</v>
      </c>
      <c r="M140" s="523"/>
    </row>
    <row r="141" spans="1:14" s="52" customFormat="1" ht="21.75" customHeight="1" x14ac:dyDescent="0.35">
      <c r="A141" s="126"/>
      <c r="B141" s="103"/>
      <c r="C141" s="102" t="s">
        <v>194</v>
      </c>
      <c r="D141" s="74">
        <f t="shared" ref="D141:D142" si="36">E141+F141+G141+H141+I141+J141+K141</f>
        <v>0</v>
      </c>
      <c r="E141" s="74">
        <v>0</v>
      </c>
      <c r="F141" s="74">
        <v>0</v>
      </c>
      <c r="G141" s="74">
        <v>0</v>
      </c>
      <c r="H141" s="74">
        <v>0</v>
      </c>
      <c r="I141" s="96">
        <v>0</v>
      </c>
      <c r="J141" s="90">
        <v>0</v>
      </c>
      <c r="K141" s="90">
        <v>0</v>
      </c>
      <c r="L141" s="90">
        <v>0</v>
      </c>
      <c r="M141" s="101"/>
    </row>
    <row r="142" spans="1:14" s="52" customFormat="1" ht="21" customHeight="1" x14ac:dyDescent="0.35">
      <c r="A142" s="126"/>
      <c r="B142" s="103"/>
      <c r="C142" s="102" t="s">
        <v>352</v>
      </c>
      <c r="D142" s="74">
        <f t="shared" si="36"/>
        <v>0</v>
      </c>
      <c r="E142" s="74">
        <v>0</v>
      </c>
      <c r="F142" s="74">
        <v>0</v>
      </c>
      <c r="G142" s="74">
        <v>0</v>
      </c>
      <c r="H142" s="74">
        <v>0</v>
      </c>
      <c r="I142" s="76">
        <v>0</v>
      </c>
      <c r="J142" s="90">
        <v>0</v>
      </c>
      <c r="K142" s="90">
        <v>0</v>
      </c>
      <c r="L142" s="90">
        <v>0</v>
      </c>
      <c r="M142" s="101"/>
    </row>
    <row r="143" spans="1:14" s="52" customFormat="1" ht="23.25" x14ac:dyDescent="0.25">
      <c r="A143" s="113" t="s">
        <v>210</v>
      </c>
      <c r="B143" s="108" t="s">
        <v>112</v>
      </c>
      <c r="C143" s="356" t="s">
        <v>243</v>
      </c>
      <c r="D143" s="356"/>
      <c r="E143" s="356"/>
      <c r="F143" s="356"/>
      <c r="G143" s="356"/>
      <c r="H143" s="356"/>
      <c r="I143" s="356"/>
      <c r="J143" s="356"/>
      <c r="K143" s="356"/>
      <c r="L143" s="356"/>
      <c r="M143" s="356"/>
    </row>
    <row r="144" spans="1:14" s="52" customFormat="1" ht="23.25" x14ac:dyDescent="0.25">
      <c r="A144" s="113" t="s">
        <v>242</v>
      </c>
      <c r="B144" s="108" t="s">
        <v>160</v>
      </c>
      <c r="C144" s="356" t="s">
        <v>243</v>
      </c>
      <c r="D144" s="356"/>
      <c r="E144" s="356"/>
      <c r="F144" s="356"/>
      <c r="G144" s="356"/>
      <c r="H144" s="356"/>
      <c r="I144" s="356"/>
      <c r="J144" s="356"/>
      <c r="K144" s="356"/>
      <c r="L144" s="356"/>
      <c r="M144" s="356"/>
    </row>
    <row r="145" spans="1:14" s="52" customFormat="1" ht="18.75" hidden="1" customHeight="1" x14ac:dyDescent="0.25">
      <c r="A145" s="331" t="s">
        <v>244</v>
      </c>
      <c r="B145" s="290" t="s">
        <v>245</v>
      </c>
      <c r="C145" s="73" t="s">
        <v>121</v>
      </c>
      <c r="D145" s="118">
        <f t="shared" ref="D145:K145" si="37">D146+D147</f>
        <v>5811.7</v>
      </c>
      <c r="E145" s="118">
        <f t="shared" si="37"/>
        <v>3000</v>
      </c>
      <c r="F145" s="118">
        <f t="shared" si="37"/>
        <v>0</v>
      </c>
      <c r="G145" s="118">
        <f t="shared" si="37"/>
        <v>2811.7000000000003</v>
      </c>
      <c r="H145" s="118">
        <f t="shared" si="37"/>
        <v>0</v>
      </c>
      <c r="I145" s="206">
        <f t="shared" si="37"/>
        <v>0</v>
      </c>
      <c r="J145" s="118">
        <f t="shared" si="37"/>
        <v>0</v>
      </c>
      <c r="K145" s="118">
        <f t="shared" si="37"/>
        <v>0</v>
      </c>
      <c r="L145" s="238"/>
      <c r="M145" s="346" t="s">
        <v>246</v>
      </c>
    </row>
    <row r="146" spans="1:14" s="52" customFormat="1" ht="18.75" hidden="1" customHeight="1" x14ac:dyDescent="0.25">
      <c r="A146" s="331"/>
      <c r="B146" s="290"/>
      <c r="C146" s="73" t="s">
        <v>122</v>
      </c>
      <c r="D146" s="118">
        <f>E146+F146+G146+H146+J146+I146+K146</f>
        <v>348.8</v>
      </c>
      <c r="E146" s="118">
        <v>180</v>
      </c>
      <c r="F146" s="118">
        <v>0</v>
      </c>
      <c r="G146" s="118">
        <v>168.8</v>
      </c>
      <c r="H146" s="118">
        <v>0</v>
      </c>
      <c r="I146" s="206">
        <v>0</v>
      </c>
      <c r="J146" s="118">
        <v>0</v>
      </c>
      <c r="K146" s="118">
        <v>0</v>
      </c>
      <c r="L146" s="238"/>
      <c r="M146" s="357"/>
    </row>
    <row r="147" spans="1:14" s="52" customFormat="1" ht="246.75" hidden="1" customHeight="1" x14ac:dyDescent="0.25">
      <c r="A147" s="331"/>
      <c r="B147" s="290"/>
      <c r="C147" s="73" t="s">
        <v>169</v>
      </c>
      <c r="D147" s="74">
        <f>E147+F147+G147+H147+J147+I147+K147</f>
        <v>5462.9</v>
      </c>
      <c r="E147" s="74">
        <v>2820</v>
      </c>
      <c r="F147" s="74">
        <v>0</v>
      </c>
      <c r="G147" s="74">
        <v>2642.9</v>
      </c>
      <c r="H147" s="74">
        <v>0</v>
      </c>
      <c r="I147" s="76">
        <v>0</v>
      </c>
      <c r="J147" s="74">
        <v>0</v>
      </c>
      <c r="K147" s="74">
        <v>0</v>
      </c>
      <c r="L147" s="74"/>
      <c r="M147" s="357"/>
    </row>
    <row r="148" spans="1:14" s="52" customFormat="1" ht="209.25" hidden="1" x14ac:dyDescent="0.25">
      <c r="A148" s="136" t="s">
        <v>247</v>
      </c>
      <c r="B148" s="111" t="s">
        <v>248</v>
      </c>
      <c r="C148" s="73" t="s">
        <v>122</v>
      </c>
      <c r="D148" s="74">
        <f>E148+F148+G148+H148+I148+J148+K148</f>
        <v>1742.5</v>
      </c>
      <c r="E148" s="74">
        <v>0</v>
      </c>
      <c r="F148" s="74">
        <v>0</v>
      </c>
      <c r="G148" s="74">
        <v>500.1</v>
      </c>
      <c r="H148" s="74">
        <f>420+300+522.4</f>
        <v>1242.4000000000001</v>
      </c>
      <c r="I148" s="76">
        <v>0</v>
      </c>
      <c r="J148" s="74">
        <v>0</v>
      </c>
      <c r="K148" s="74">
        <v>0</v>
      </c>
      <c r="L148" s="74"/>
      <c r="M148" s="125" t="s">
        <v>249</v>
      </c>
    </row>
    <row r="149" spans="1:14" s="52" customFormat="1" ht="18.75" hidden="1" customHeight="1" x14ac:dyDescent="0.25">
      <c r="A149" s="331" t="s">
        <v>250</v>
      </c>
      <c r="B149" s="290" t="s">
        <v>251</v>
      </c>
      <c r="C149" s="73" t="s">
        <v>121</v>
      </c>
      <c r="D149" s="74">
        <f>E149+F149+G149+H149+J149+I149+K149</f>
        <v>499.4</v>
      </c>
      <c r="E149" s="74">
        <f t="shared" ref="E149:K149" si="38">E150+E151</f>
        <v>499.4</v>
      </c>
      <c r="F149" s="74">
        <f t="shared" si="38"/>
        <v>0</v>
      </c>
      <c r="G149" s="74">
        <f t="shared" si="38"/>
        <v>0</v>
      </c>
      <c r="H149" s="74">
        <f t="shared" si="38"/>
        <v>0</v>
      </c>
      <c r="I149" s="76">
        <f t="shared" si="38"/>
        <v>0</v>
      </c>
      <c r="J149" s="74">
        <f t="shared" si="38"/>
        <v>0</v>
      </c>
      <c r="K149" s="74">
        <f t="shared" si="38"/>
        <v>0</v>
      </c>
      <c r="L149" s="74"/>
      <c r="M149" s="346" t="s">
        <v>252</v>
      </c>
    </row>
    <row r="150" spans="1:14" s="52" customFormat="1" ht="18.75" hidden="1" customHeight="1" x14ac:dyDescent="0.25">
      <c r="A150" s="332"/>
      <c r="B150" s="306"/>
      <c r="C150" s="73" t="s">
        <v>122</v>
      </c>
      <c r="D150" s="74">
        <f>E150+F150+G150+H150+J150+I150+K150</f>
        <v>60</v>
      </c>
      <c r="E150" s="74">
        <v>60</v>
      </c>
      <c r="F150" s="74">
        <v>0</v>
      </c>
      <c r="G150" s="74">
        <v>0</v>
      </c>
      <c r="H150" s="74">
        <v>0</v>
      </c>
      <c r="I150" s="76">
        <v>0</v>
      </c>
      <c r="J150" s="74">
        <v>0</v>
      </c>
      <c r="K150" s="74">
        <v>0</v>
      </c>
      <c r="L150" s="74"/>
      <c r="M150" s="346"/>
    </row>
    <row r="151" spans="1:14" s="52" customFormat="1" ht="135.75" hidden="1" customHeight="1" x14ac:dyDescent="0.25">
      <c r="A151" s="332"/>
      <c r="B151" s="306"/>
      <c r="C151" s="73" t="s">
        <v>169</v>
      </c>
      <c r="D151" s="74">
        <f>E151+F151+G151+H151+J151+I151+K151</f>
        <v>439.4</v>
      </c>
      <c r="E151" s="137">
        <v>439.4</v>
      </c>
      <c r="F151" s="74">
        <v>0</v>
      </c>
      <c r="G151" s="74">
        <v>0</v>
      </c>
      <c r="H151" s="74">
        <v>0</v>
      </c>
      <c r="I151" s="76">
        <v>0</v>
      </c>
      <c r="J151" s="74">
        <v>0</v>
      </c>
      <c r="K151" s="74">
        <v>0</v>
      </c>
      <c r="L151" s="74"/>
      <c r="M151" s="346"/>
      <c r="N151" s="46">
        <v>7</v>
      </c>
    </row>
    <row r="152" spans="1:14" s="52" customFormat="1" ht="18.75" hidden="1" customHeight="1" x14ac:dyDescent="0.25">
      <c r="A152" s="347" t="s">
        <v>253</v>
      </c>
      <c r="B152" s="350" t="s">
        <v>254</v>
      </c>
      <c r="C152" s="73" t="s">
        <v>121</v>
      </c>
      <c r="D152" s="114">
        <f>D153+D154</f>
        <v>32303.200000000001</v>
      </c>
      <c r="E152" s="124">
        <v>0</v>
      </c>
      <c r="F152" s="114">
        <f t="shared" ref="F152:K152" si="39">F153+F154</f>
        <v>24739.4</v>
      </c>
      <c r="G152" s="114">
        <f t="shared" si="39"/>
        <v>7563.7999999999993</v>
      </c>
      <c r="H152" s="114">
        <f t="shared" si="39"/>
        <v>0</v>
      </c>
      <c r="I152" s="213">
        <f t="shared" si="39"/>
        <v>0</v>
      </c>
      <c r="J152" s="138">
        <f t="shared" si="39"/>
        <v>0</v>
      </c>
      <c r="K152" s="138">
        <f t="shared" si="39"/>
        <v>0</v>
      </c>
      <c r="L152" s="138"/>
      <c r="M152" s="353"/>
    </row>
    <row r="153" spans="1:14" s="52" customFormat="1" ht="18.75" hidden="1" customHeight="1" x14ac:dyDescent="0.25">
      <c r="A153" s="348"/>
      <c r="B153" s="351"/>
      <c r="C153" s="73" t="s">
        <v>122</v>
      </c>
      <c r="D153" s="114">
        <f>E153+F153+G153+H153+J153+I153+K153</f>
        <v>1938.2999999999997</v>
      </c>
      <c r="E153" s="124">
        <v>0</v>
      </c>
      <c r="F153" s="114">
        <f>F159+F156</f>
        <v>1484.3999999999999</v>
      </c>
      <c r="G153" s="114">
        <v>453.9</v>
      </c>
      <c r="H153" s="114">
        <v>0</v>
      </c>
      <c r="I153" s="213">
        <v>0</v>
      </c>
      <c r="J153" s="114">
        <f>J156+J159</f>
        <v>0</v>
      </c>
      <c r="K153" s="114">
        <v>0</v>
      </c>
      <c r="L153" s="254"/>
      <c r="M153" s="354"/>
    </row>
    <row r="154" spans="1:14" s="52" customFormat="1" ht="192" hidden="1" customHeight="1" x14ac:dyDescent="0.25">
      <c r="A154" s="349"/>
      <c r="B154" s="352"/>
      <c r="C154" s="73" t="s">
        <v>169</v>
      </c>
      <c r="D154" s="114">
        <f>E154+F154+G154+H154+J154+I154+K154</f>
        <v>30364.9</v>
      </c>
      <c r="E154" s="124">
        <v>0</v>
      </c>
      <c r="F154" s="114">
        <f>F160+F157</f>
        <v>23255</v>
      </c>
      <c r="G154" s="114">
        <v>7109.9</v>
      </c>
      <c r="H154" s="114">
        <v>0</v>
      </c>
      <c r="I154" s="213">
        <v>0</v>
      </c>
      <c r="J154" s="139">
        <f>J157+J160</f>
        <v>0</v>
      </c>
      <c r="K154" s="139">
        <v>0</v>
      </c>
      <c r="L154" s="139"/>
      <c r="M154" s="355"/>
    </row>
    <row r="155" spans="1:14" s="52" customFormat="1" ht="18.75" hidden="1" customHeight="1" x14ac:dyDescent="0.25">
      <c r="A155" s="344" t="s">
        <v>255</v>
      </c>
      <c r="B155" s="345" t="s">
        <v>256</v>
      </c>
      <c r="C155" s="73" t="s">
        <v>121</v>
      </c>
      <c r="D155" s="114">
        <f t="shared" ref="D155:K155" si="40">D156+D157</f>
        <v>6813.2</v>
      </c>
      <c r="E155" s="124">
        <f t="shared" si="40"/>
        <v>0</v>
      </c>
      <c r="F155" s="124">
        <f t="shared" si="40"/>
        <v>6813.2</v>
      </c>
      <c r="G155" s="124">
        <f t="shared" si="40"/>
        <v>0</v>
      </c>
      <c r="H155" s="124">
        <f t="shared" si="40"/>
        <v>0</v>
      </c>
      <c r="I155" s="208">
        <f t="shared" si="40"/>
        <v>0</v>
      </c>
      <c r="J155" s="124">
        <f t="shared" si="40"/>
        <v>0</v>
      </c>
      <c r="K155" s="124">
        <f t="shared" si="40"/>
        <v>0</v>
      </c>
      <c r="L155" s="233"/>
      <c r="M155" s="346" t="s">
        <v>257</v>
      </c>
    </row>
    <row r="156" spans="1:14" s="52" customFormat="1" ht="18.75" hidden="1" customHeight="1" x14ac:dyDescent="0.25">
      <c r="A156" s="344"/>
      <c r="B156" s="345"/>
      <c r="C156" s="73" t="s">
        <v>122</v>
      </c>
      <c r="D156" s="114">
        <f>E156+F156+G156+H156+J156+I156+K156</f>
        <v>408.8</v>
      </c>
      <c r="E156" s="124">
        <v>0</v>
      </c>
      <c r="F156" s="114">
        <v>408.8</v>
      </c>
      <c r="G156" s="114">
        <v>0</v>
      </c>
      <c r="H156" s="114">
        <v>0</v>
      </c>
      <c r="I156" s="213">
        <v>0</v>
      </c>
      <c r="J156" s="114">
        <v>0</v>
      </c>
      <c r="K156" s="114">
        <v>0</v>
      </c>
      <c r="L156" s="114"/>
      <c r="M156" s="346"/>
    </row>
    <row r="157" spans="1:14" s="52" customFormat="1" ht="383.25" hidden="1" customHeight="1" x14ac:dyDescent="0.25">
      <c r="A157" s="344"/>
      <c r="B157" s="345"/>
      <c r="C157" s="73" t="s">
        <v>169</v>
      </c>
      <c r="D157" s="114">
        <f>E157+F157+G157+H157+J157+I157+K157</f>
        <v>6404.4</v>
      </c>
      <c r="E157" s="124">
        <v>0</v>
      </c>
      <c r="F157" s="114">
        <v>6404.4</v>
      </c>
      <c r="G157" s="114">
        <v>0</v>
      </c>
      <c r="H157" s="114">
        <v>0</v>
      </c>
      <c r="I157" s="213">
        <v>0</v>
      </c>
      <c r="J157" s="114">
        <v>0</v>
      </c>
      <c r="K157" s="114">
        <v>0</v>
      </c>
      <c r="L157" s="114"/>
      <c r="M157" s="346"/>
    </row>
    <row r="158" spans="1:14" s="52" customFormat="1" ht="18.75" hidden="1" customHeight="1" x14ac:dyDescent="0.25">
      <c r="A158" s="347" t="s">
        <v>258</v>
      </c>
      <c r="B158" s="345" t="s">
        <v>259</v>
      </c>
      <c r="C158" s="73" t="s">
        <v>121</v>
      </c>
      <c r="D158" s="114">
        <f t="shared" ref="D158:K158" si="41">D159+D160</f>
        <v>25490</v>
      </c>
      <c r="E158" s="124">
        <f t="shared" si="41"/>
        <v>0</v>
      </c>
      <c r="F158" s="114">
        <f t="shared" si="41"/>
        <v>17926.199999999997</v>
      </c>
      <c r="G158" s="114">
        <f t="shared" si="41"/>
        <v>7563.7999999999993</v>
      </c>
      <c r="H158" s="114">
        <f t="shared" si="41"/>
        <v>0</v>
      </c>
      <c r="I158" s="213">
        <f t="shared" si="41"/>
        <v>0</v>
      </c>
      <c r="J158" s="114">
        <f t="shared" si="41"/>
        <v>0</v>
      </c>
      <c r="K158" s="114">
        <f t="shared" si="41"/>
        <v>0</v>
      </c>
      <c r="L158" s="114"/>
      <c r="M158" s="346" t="s">
        <v>260</v>
      </c>
    </row>
    <row r="159" spans="1:14" s="52" customFormat="1" ht="18.75" hidden="1" customHeight="1" x14ac:dyDescent="0.25">
      <c r="A159" s="348"/>
      <c r="B159" s="345"/>
      <c r="C159" s="73" t="s">
        <v>122</v>
      </c>
      <c r="D159" s="114">
        <f>E159+F159+G159+H159+I159+J159+K159</f>
        <v>1529.5</v>
      </c>
      <c r="E159" s="124">
        <v>0</v>
      </c>
      <c r="F159" s="114">
        <v>1075.5999999999999</v>
      </c>
      <c r="G159" s="114">
        <v>453.9</v>
      </c>
      <c r="H159" s="114">
        <v>0</v>
      </c>
      <c r="I159" s="213">
        <v>0</v>
      </c>
      <c r="J159" s="114">
        <v>0</v>
      </c>
      <c r="K159" s="114">
        <v>0</v>
      </c>
      <c r="L159" s="114"/>
      <c r="M159" s="346"/>
    </row>
    <row r="160" spans="1:14" s="52" customFormat="1" ht="289.5" hidden="1" customHeight="1" x14ac:dyDescent="0.25">
      <c r="A160" s="349"/>
      <c r="B160" s="345"/>
      <c r="C160" s="73" t="s">
        <v>169</v>
      </c>
      <c r="D160" s="114">
        <f>E160+F160+G160+H160+I160+J160+K160</f>
        <v>23960.5</v>
      </c>
      <c r="E160" s="124">
        <v>0</v>
      </c>
      <c r="F160" s="114">
        <v>16850.599999999999</v>
      </c>
      <c r="G160" s="114">
        <v>7109.9</v>
      </c>
      <c r="H160" s="114">
        <v>0</v>
      </c>
      <c r="I160" s="213">
        <v>0</v>
      </c>
      <c r="J160" s="114">
        <v>0</v>
      </c>
      <c r="K160" s="114">
        <v>0</v>
      </c>
      <c r="L160" s="114"/>
      <c r="M160" s="346"/>
    </row>
    <row r="161" spans="1:18" s="52" customFormat="1" ht="116.25" hidden="1" x14ac:dyDescent="0.25">
      <c r="A161" s="140" t="s">
        <v>261</v>
      </c>
      <c r="B161" s="141" t="s">
        <v>262</v>
      </c>
      <c r="C161" s="73" t="s">
        <v>263</v>
      </c>
      <c r="D161" s="114">
        <f>E161+F161+G161+H161+J161+I161+K161</f>
        <v>11295.9</v>
      </c>
      <c r="E161" s="124">
        <v>0</v>
      </c>
      <c r="F161" s="114">
        <v>0</v>
      </c>
      <c r="G161" s="114">
        <v>11295.9</v>
      </c>
      <c r="H161" s="114">
        <v>0</v>
      </c>
      <c r="I161" s="213">
        <v>0</v>
      </c>
      <c r="J161" s="114">
        <v>0</v>
      </c>
      <c r="K161" s="114">
        <v>0</v>
      </c>
      <c r="L161" s="114"/>
      <c r="M161" s="125" t="s">
        <v>264</v>
      </c>
    </row>
    <row r="162" spans="1:18" s="52" customFormat="1" ht="209.25" hidden="1" x14ac:dyDescent="0.25">
      <c r="A162" s="113" t="s">
        <v>265</v>
      </c>
      <c r="B162" s="102" t="s">
        <v>266</v>
      </c>
      <c r="C162" s="73" t="s">
        <v>122</v>
      </c>
      <c r="D162" s="114">
        <f>E162+F162+G162+H162+J162+I162+K162</f>
        <v>30562.300000000003</v>
      </c>
      <c r="E162" s="130">
        <f>6900+1000</f>
        <v>7900</v>
      </c>
      <c r="F162" s="130">
        <f>6900+1100</f>
        <v>8000</v>
      </c>
      <c r="G162" s="130">
        <f>6900-1988.5+250-1572.9+396.7-68.2</f>
        <v>3917.1</v>
      </c>
      <c r="H162" s="130">
        <f>3748.4-500</f>
        <v>3248.4</v>
      </c>
      <c r="I162" s="211">
        <v>0</v>
      </c>
      <c r="J162" s="130">
        <v>3748.4</v>
      </c>
      <c r="K162" s="130">
        <v>3748.4</v>
      </c>
      <c r="L162" s="130"/>
      <c r="M162" s="73" t="s">
        <v>267</v>
      </c>
    </row>
    <row r="163" spans="1:18" s="52" customFormat="1" ht="116.25" hidden="1" x14ac:dyDescent="0.25">
      <c r="A163" s="113" t="s">
        <v>268</v>
      </c>
      <c r="B163" s="102" t="s">
        <v>269</v>
      </c>
      <c r="C163" s="73" t="s">
        <v>169</v>
      </c>
      <c r="D163" s="74">
        <f>E163+F163+G163+H163+J163+I163+K163</f>
        <v>11579.6</v>
      </c>
      <c r="E163" s="130">
        <f>3074.8-280</f>
        <v>2794.8</v>
      </c>
      <c r="F163" s="130">
        <f>2936.7-150</f>
        <v>2786.7</v>
      </c>
      <c r="G163" s="130">
        <f>2512.5-387.7</f>
        <v>2124.8000000000002</v>
      </c>
      <c r="H163" s="130">
        <f>1391.1-300</f>
        <v>1091.0999999999999</v>
      </c>
      <c r="I163" s="211">
        <v>1391.1</v>
      </c>
      <c r="J163" s="130">
        <v>1391.1</v>
      </c>
      <c r="K163" s="130">
        <v>0</v>
      </c>
      <c r="L163" s="130"/>
      <c r="M163" s="73" t="s">
        <v>270</v>
      </c>
    </row>
    <row r="164" spans="1:18" s="52" customFormat="1" ht="209.25" hidden="1" x14ac:dyDescent="0.25">
      <c r="A164" s="113" t="s">
        <v>271</v>
      </c>
      <c r="B164" s="102" t="s">
        <v>272</v>
      </c>
      <c r="C164" s="73" t="s">
        <v>122</v>
      </c>
      <c r="D164" s="74">
        <f>E164+F164+G164+H164+J164+I164+K164</f>
        <v>14793.199999999999</v>
      </c>
      <c r="E164" s="130">
        <f>4362+400</f>
        <v>4762</v>
      </c>
      <c r="F164" s="130">
        <f>4362+586+126.4</f>
        <v>5074.3999999999996</v>
      </c>
      <c r="G164" s="130">
        <f>4362+1838-800-250-2249.8-16.6</f>
        <v>2883.6</v>
      </c>
      <c r="H164" s="130">
        <f>704.4-40</f>
        <v>664.4</v>
      </c>
      <c r="I164" s="211">
        <v>0</v>
      </c>
      <c r="J164" s="130">
        <v>704.4</v>
      </c>
      <c r="K164" s="130">
        <v>704.4</v>
      </c>
      <c r="L164" s="130"/>
      <c r="M164" s="73" t="s">
        <v>273</v>
      </c>
    </row>
    <row r="165" spans="1:18" s="52" customFormat="1" ht="93" hidden="1" x14ac:dyDescent="0.25">
      <c r="A165" s="113" t="s">
        <v>274</v>
      </c>
      <c r="B165" s="102" t="s">
        <v>275</v>
      </c>
      <c r="C165" s="73" t="s">
        <v>122</v>
      </c>
      <c r="D165" s="74">
        <f>E165+F165+G165+H165+I165+J165+K165</f>
        <v>9441.7000000000007</v>
      </c>
      <c r="E165" s="130">
        <v>0</v>
      </c>
      <c r="F165" s="130">
        <v>0</v>
      </c>
      <c r="G165" s="130">
        <f>1526.1-1226.1+568.1+81.8</f>
        <v>949.9</v>
      </c>
      <c r="H165" s="130">
        <v>2830.6</v>
      </c>
      <c r="I165" s="211">
        <v>0</v>
      </c>
      <c r="J165" s="130">
        <v>2830.6</v>
      </c>
      <c r="K165" s="130">
        <v>2830.6</v>
      </c>
      <c r="L165" s="130"/>
      <c r="M165" s="73" t="s">
        <v>276</v>
      </c>
    </row>
    <row r="166" spans="1:18" s="52" customFormat="1" ht="18.75" hidden="1" customHeight="1" x14ac:dyDescent="0.25">
      <c r="A166" s="324" t="s">
        <v>277</v>
      </c>
      <c r="B166" s="326" t="s">
        <v>278</v>
      </c>
      <c r="C166" s="73" t="s">
        <v>121</v>
      </c>
      <c r="D166" s="74">
        <f>D167+D169+D170+D168</f>
        <v>270528.90000000002</v>
      </c>
      <c r="E166" s="74">
        <f t="shared" ref="E166:F166" si="42">E167+E169+E170</f>
        <v>0</v>
      </c>
      <c r="F166" s="74">
        <f t="shared" si="42"/>
        <v>0</v>
      </c>
      <c r="G166" s="74">
        <f>G167+G169+G170+G168</f>
        <v>32459.200000000001</v>
      </c>
      <c r="H166" s="74">
        <f>H167+H169+H170+H168</f>
        <v>82001.200000000012</v>
      </c>
      <c r="I166" s="76">
        <f>I167+I169+I170+I168</f>
        <v>74413.3</v>
      </c>
      <c r="J166" s="74">
        <f>J167+J169+J170+J168</f>
        <v>73505</v>
      </c>
      <c r="K166" s="74">
        <f>K167+K169+K170+K168</f>
        <v>8150.2000000000007</v>
      </c>
      <c r="L166" s="241"/>
      <c r="M166" s="343" t="s">
        <v>279</v>
      </c>
      <c r="N166" s="46">
        <v>9</v>
      </c>
    </row>
    <row r="167" spans="1:18" s="52" customFormat="1" ht="18.75" hidden="1" customHeight="1" x14ac:dyDescent="0.25">
      <c r="A167" s="341"/>
      <c r="B167" s="342"/>
      <c r="C167" s="73" t="s">
        <v>122</v>
      </c>
      <c r="D167" s="74">
        <f>E167+F167+G167+H167+J167+I167+K167</f>
        <v>18377.599999999999</v>
      </c>
      <c r="E167" s="130">
        <v>0</v>
      </c>
      <c r="F167" s="130">
        <v>0</v>
      </c>
      <c r="G167" s="130">
        <f>1572.9</f>
        <v>1572.9</v>
      </c>
      <c r="H167" s="130">
        <v>4056.5</v>
      </c>
      <c r="I167" s="211">
        <v>4405</v>
      </c>
      <c r="J167" s="130">
        <v>4171.6000000000004</v>
      </c>
      <c r="K167" s="130">
        <v>4171.6000000000004</v>
      </c>
      <c r="L167" s="253"/>
      <c r="M167" s="342"/>
    </row>
    <row r="168" spans="1:18" s="52" customFormat="1" ht="18.75" hidden="1" customHeight="1" x14ac:dyDescent="0.25">
      <c r="A168" s="341"/>
      <c r="B168" s="342"/>
      <c r="C168" s="142" t="s">
        <v>194</v>
      </c>
      <c r="D168" s="143">
        <f>E168+F168+G168+H168+J168+I168+K168</f>
        <v>153103.6</v>
      </c>
      <c r="E168" s="144">
        <v>0</v>
      </c>
      <c r="F168" s="144">
        <v>0</v>
      </c>
      <c r="G168" s="144">
        <v>0</v>
      </c>
      <c r="H168" s="144">
        <v>48298.400000000001</v>
      </c>
      <c r="I168" s="214">
        <v>53828.5</v>
      </c>
      <c r="J168" s="145">
        <v>50976.7</v>
      </c>
      <c r="K168" s="145">
        <v>0</v>
      </c>
      <c r="L168" s="255"/>
      <c r="M168" s="342"/>
    </row>
    <row r="169" spans="1:18" s="52" customFormat="1" ht="36.75" hidden="1" customHeight="1" x14ac:dyDescent="0.25">
      <c r="A169" s="312"/>
      <c r="B169" s="322"/>
      <c r="C169" s="146" t="s">
        <v>169</v>
      </c>
      <c r="D169" s="74">
        <f>E169+F169+G169+H169+J169+I169+K169</f>
        <v>69454.2</v>
      </c>
      <c r="E169" s="147">
        <v>0</v>
      </c>
      <c r="F169" s="147">
        <v>0</v>
      </c>
      <c r="G169" s="147">
        <v>24641.599999999999</v>
      </c>
      <c r="H169" s="147">
        <v>15252.1</v>
      </c>
      <c r="I169" s="214">
        <v>15182.4</v>
      </c>
      <c r="J169" s="130">
        <v>14378.1</v>
      </c>
      <c r="K169" s="130">
        <v>0</v>
      </c>
      <c r="L169" s="253"/>
      <c r="M169" s="342"/>
    </row>
    <row r="170" spans="1:18" s="55" customFormat="1" ht="144" hidden="1" customHeight="1" x14ac:dyDescent="0.25">
      <c r="A170" s="148" t="s">
        <v>280</v>
      </c>
      <c r="B170" s="122" t="s">
        <v>281</v>
      </c>
      <c r="C170" s="73" t="s">
        <v>122</v>
      </c>
      <c r="D170" s="74">
        <f>E170+F170+G170+H170+I170+J170+K170</f>
        <v>29593.5</v>
      </c>
      <c r="E170" s="130">
        <v>0</v>
      </c>
      <c r="F170" s="130">
        <v>0</v>
      </c>
      <c r="G170" s="130">
        <f>2923.3+1285+2036.4</f>
        <v>6244.7000000000007</v>
      </c>
      <c r="H170" s="130">
        <f>6253+8497.5-356.3</f>
        <v>14394.2</v>
      </c>
      <c r="I170" s="211">
        <f>1644.8+285-932.4</f>
        <v>997.4</v>
      </c>
      <c r="J170" s="132">
        <v>3978.6</v>
      </c>
      <c r="K170" s="132">
        <v>3978.6</v>
      </c>
      <c r="L170" s="132"/>
      <c r="M170" s="322"/>
      <c r="N170" s="52"/>
      <c r="O170" s="52"/>
      <c r="P170" s="52"/>
      <c r="Q170" s="52"/>
      <c r="R170" s="52"/>
    </row>
    <row r="171" spans="1:18" s="52" customFormat="1" ht="46.5" hidden="1" x14ac:dyDescent="0.35">
      <c r="A171" s="113" t="s">
        <v>282</v>
      </c>
      <c r="B171" s="134" t="s">
        <v>283</v>
      </c>
      <c r="C171" s="149" t="s">
        <v>122</v>
      </c>
      <c r="D171" s="90">
        <f>E171+F171+G171+H171+J171+I171+K171</f>
        <v>6855.8</v>
      </c>
      <c r="E171" s="90">
        <f>E172+E173+E174+E175+E176</f>
        <v>1677.7</v>
      </c>
      <c r="F171" s="90">
        <f t="shared" ref="F171:K171" si="43">F172+F173+F174+F175+F176</f>
        <v>1578.1</v>
      </c>
      <c r="G171" s="90">
        <f t="shared" si="43"/>
        <v>350</v>
      </c>
      <c r="H171" s="90">
        <f t="shared" si="43"/>
        <v>700</v>
      </c>
      <c r="I171" s="96">
        <f t="shared" si="43"/>
        <v>1150</v>
      </c>
      <c r="J171" s="90">
        <f t="shared" si="43"/>
        <v>700</v>
      </c>
      <c r="K171" s="90">
        <f t="shared" si="43"/>
        <v>700</v>
      </c>
      <c r="L171" s="90"/>
      <c r="M171" s="150"/>
      <c r="N171" s="47"/>
    </row>
    <row r="172" spans="1:18" s="52" customFormat="1" ht="116.25" hidden="1" x14ac:dyDescent="0.25">
      <c r="A172" s="113" t="s">
        <v>284</v>
      </c>
      <c r="B172" s="102" t="s">
        <v>42</v>
      </c>
      <c r="C172" s="73" t="s">
        <v>122</v>
      </c>
      <c r="D172" s="90">
        <f>E172+F172+G172+H172+J172+I172+K172</f>
        <v>400</v>
      </c>
      <c r="E172" s="130">
        <v>0</v>
      </c>
      <c r="F172" s="130">
        <v>100</v>
      </c>
      <c r="G172" s="130">
        <v>50</v>
      </c>
      <c r="H172" s="130">
        <v>0</v>
      </c>
      <c r="I172" s="211">
        <v>250</v>
      </c>
      <c r="J172" s="130">
        <v>0</v>
      </c>
      <c r="K172" s="130">
        <v>0</v>
      </c>
      <c r="L172" s="130"/>
      <c r="M172" s="73" t="s">
        <v>285</v>
      </c>
    </row>
    <row r="173" spans="1:18" s="52" customFormat="1" ht="198" hidden="1" customHeight="1" x14ac:dyDescent="0.25">
      <c r="A173" s="113" t="s">
        <v>286</v>
      </c>
      <c r="B173" s="102" t="s">
        <v>287</v>
      </c>
      <c r="C173" s="73" t="s">
        <v>122</v>
      </c>
      <c r="D173" s="74">
        <f>E173+F173+G173+H173+J173+I173+K173</f>
        <v>2576.3000000000002</v>
      </c>
      <c r="E173" s="130">
        <f>440+207.5+60+100+108</f>
        <v>915.5</v>
      </c>
      <c r="F173" s="130">
        <f>647.5+99.5+63.8</f>
        <v>810.8</v>
      </c>
      <c r="G173" s="130">
        <f>200-50-100</f>
        <v>50</v>
      </c>
      <c r="H173" s="130">
        <v>200</v>
      </c>
      <c r="I173" s="211">
        <v>200</v>
      </c>
      <c r="J173" s="130">
        <v>200</v>
      </c>
      <c r="K173" s="130">
        <v>200</v>
      </c>
      <c r="L173" s="130"/>
      <c r="M173" s="73" t="s">
        <v>288</v>
      </c>
      <c r="N173" s="46">
        <v>10</v>
      </c>
    </row>
    <row r="174" spans="1:18" s="52" customFormat="1" ht="139.5" hidden="1" x14ac:dyDescent="0.25">
      <c r="A174" s="113" t="s">
        <v>289</v>
      </c>
      <c r="B174" s="102" t="s">
        <v>48</v>
      </c>
      <c r="C174" s="73" t="s">
        <v>122</v>
      </c>
      <c r="D174" s="74">
        <f>E174+F174+G174+H174+J174+I174+K174</f>
        <v>1500</v>
      </c>
      <c r="E174" s="130">
        <v>250</v>
      </c>
      <c r="F174" s="130">
        <f>167.9+82.1</f>
        <v>250</v>
      </c>
      <c r="G174" s="130">
        <f>250-250</f>
        <v>0</v>
      </c>
      <c r="H174" s="130">
        <v>250</v>
      </c>
      <c r="I174" s="211">
        <v>250</v>
      </c>
      <c r="J174" s="130">
        <v>250</v>
      </c>
      <c r="K174" s="130">
        <v>250</v>
      </c>
      <c r="L174" s="130"/>
      <c r="M174" s="73" t="s">
        <v>290</v>
      </c>
    </row>
    <row r="175" spans="1:18" s="52" customFormat="1" ht="69.75" hidden="1" x14ac:dyDescent="0.25">
      <c r="A175" s="113" t="s">
        <v>291</v>
      </c>
      <c r="B175" s="102" t="s">
        <v>47</v>
      </c>
      <c r="C175" s="73" t="s">
        <v>122</v>
      </c>
      <c r="D175" s="74">
        <f>E175+F175+G175+H175+J175+I175+K175</f>
        <v>1650</v>
      </c>
      <c r="E175" s="130">
        <v>200</v>
      </c>
      <c r="F175" s="130">
        <v>200</v>
      </c>
      <c r="G175" s="130">
        <v>250</v>
      </c>
      <c r="H175" s="130">
        <v>250</v>
      </c>
      <c r="I175" s="211">
        <v>250</v>
      </c>
      <c r="J175" s="130">
        <v>250</v>
      </c>
      <c r="K175" s="130">
        <v>250</v>
      </c>
      <c r="L175" s="130"/>
      <c r="M175" s="73" t="s">
        <v>292</v>
      </c>
    </row>
    <row r="176" spans="1:18" s="52" customFormat="1" ht="162.75" hidden="1" x14ac:dyDescent="0.25">
      <c r="A176" s="113" t="s">
        <v>293</v>
      </c>
      <c r="B176" s="102" t="s">
        <v>294</v>
      </c>
      <c r="C176" s="73" t="s">
        <v>122</v>
      </c>
      <c r="D176" s="74">
        <f t="shared" ref="D176:D177" si="44">E176+F176+G176+H176+I176+J176+K176</f>
        <v>729.5</v>
      </c>
      <c r="E176" s="130">
        <f>123.8+53.4+135</f>
        <v>312.2</v>
      </c>
      <c r="F176" s="130">
        <f>151.3+66</f>
        <v>217.3</v>
      </c>
      <c r="G176" s="130">
        <v>0</v>
      </c>
      <c r="H176" s="130">
        <v>0</v>
      </c>
      <c r="I176" s="211">
        <v>200</v>
      </c>
      <c r="J176" s="130">
        <v>0</v>
      </c>
      <c r="K176" s="130">
        <v>0</v>
      </c>
      <c r="L176" s="130"/>
      <c r="M176" s="73" t="s">
        <v>295</v>
      </c>
      <c r="N176" s="48"/>
    </row>
    <row r="177" spans="1:13" s="52" customFormat="1" ht="116.25" hidden="1" x14ac:dyDescent="0.25">
      <c r="A177" s="113" t="s">
        <v>296</v>
      </c>
      <c r="B177" s="102" t="s">
        <v>76</v>
      </c>
      <c r="C177" s="73" t="s">
        <v>122</v>
      </c>
      <c r="D177" s="74">
        <f t="shared" si="44"/>
        <v>763.6</v>
      </c>
      <c r="E177" s="130">
        <v>0</v>
      </c>
      <c r="F177" s="130">
        <v>0</v>
      </c>
      <c r="G177" s="130">
        <v>0</v>
      </c>
      <c r="H177" s="130">
        <f>500+263.6</f>
        <v>763.6</v>
      </c>
      <c r="I177" s="211">
        <v>0</v>
      </c>
      <c r="J177" s="130">
        <v>0</v>
      </c>
      <c r="K177" s="130">
        <v>0</v>
      </c>
      <c r="L177" s="130"/>
      <c r="M177" s="73" t="s">
        <v>297</v>
      </c>
    </row>
    <row r="178" spans="1:13" s="52" customFormat="1" ht="23.25" x14ac:dyDescent="0.25">
      <c r="A178" s="126"/>
      <c r="B178" s="102"/>
      <c r="C178" s="102" t="s">
        <v>350</v>
      </c>
      <c r="D178" s="74">
        <f>E178+F178+G178+H178+I178+J178+K178+L178</f>
        <v>656758.60000000009</v>
      </c>
      <c r="E178" s="74">
        <v>20633.900000000001</v>
      </c>
      <c r="F178" s="74">
        <v>42178.6</v>
      </c>
      <c r="G178" s="74">
        <v>64856.1</v>
      </c>
      <c r="H178" s="74">
        <v>92655.4</v>
      </c>
      <c r="I178" s="258">
        <f>I179+I180+I181+I182</f>
        <v>114970.30000000002</v>
      </c>
      <c r="J178" s="257">
        <f t="shared" ref="J178:L178" si="45">J179+J180+J181+J182</f>
        <v>113597.1</v>
      </c>
      <c r="K178" s="257">
        <f t="shared" si="45"/>
        <v>104651.8</v>
      </c>
      <c r="L178" s="257">
        <f t="shared" si="45"/>
        <v>103215.4</v>
      </c>
      <c r="M178" s="73"/>
    </row>
    <row r="179" spans="1:13" s="52" customFormat="1" ht="23.25" x14ac:dyDescent="0.35">
      <c r="A179" s="126"/>
      <c r="B179" s="103"/>
      <c r="C179" s="102" t="s">
        <v>122</v>
      </c>
      <c r="D179" s="74">
        <f>E179+F179+G179+H179+I179+J179+K179+L179</f>
        <v>200660.4</v>
      </c>
      <c r="E179" s="74">
        <v>14579.7</v>
      </c>
      <c r="F179" s="74">
        <v>16136.9</v>
      </c>
      <c r="G179" s="74">
        <v>17041</v>
      </c>
      <c r="H179" s="83">
        <v>28072</v>
      </c>
      <c r="I179" s="524">
        <v>33455.4</v>
      </c>
      <c r="J179" s="524">
        <v>33942.800000000003</v>
      </c>
      <c r="K179" s="524">
        <v>28870.400000000001</v>
      </c>
      <c r="L179" s="524">
        <v>28562.2</v>
      </c>
      <c r="M179" s="526"/>
    </row>
    <row r="180" spans="1:13" s="52" customFormat="1" ht="23.25" x14ac:dyDescent="0.35">
      <c r="A180" s="126"/>
      <c r="B180" s="103"/>
      <c r="C180" s="102" t="s">
        <v>169</v>
      </c>
      <c r="D180" s="74">
        <f>E180+F180+G180+H180+I180+J180+K180+L180</f>
        <v>167474</v>
      </c>
      <c r="E180" s="74">
        <v>6054.2000000000007</v>
      </c>
      <c r="F180" s="74">
        <v>26041.7</v>
      </c>
      <c r="G180" s="74">
        <v>36519.199999999997</v>
      </c>
      <c r="H180" s="83">
        <v>16285</v>
      </c>
      <c r="I180" s="524">
        <v>18662.400000000001</v>
      </c>
      <c r="J180" s="524">
        <v>22441.5</v>
      </c>
      <c r="K180" s="524">
        <v>21560</v>
      </c>
      <c r="L180" s="524">
        <v>19910</v>
      </c>
      <c r="M180" s="526"/>
    </row>
    <row r="181" spans="1:13" s="52" customFormat="1" ht="23.25" x14ac:dyDescent="0.35">
      <c r="A181" s="126"/>
      <c r="B181" s="103"/>
      <c r="C181" s="102" t="s">
        <v>194</v>
      </c>
      <c r="D181" s="74">
        <f>E181+F181+G181+H181+I181+J181+K181+L181</f>
        <v>259884.7</v>
      </c>
      <c r="E181" s="74">
        <v>0</v>
      </c>
      <c r="F181" s="74">
        <v>0</v>
      </c>
      <c r="G181" s="74">
        <v>0</v>
      </c>
      <c r="H181" s="83">
        <v>48298.400000000001</v>
      </c>
      <c r="I181" s="524">
        <v>45408.9</v>
      </c>
      <c r="J181" s="524">
        <v>57212.800000000003</v>
      </c>
      <c r="K181" s="524">
        <v>54221.4</v>
      </c>
      <c r="L181" s="524">
        <v>54743.199999999997</v>
      </c>
      <c r="M181" s="526"/>
    </row>
    <row r="182" spans="1:13" s="52" customFormat="1" ht="46.5" x14ac:dyDescent="0.35">
      <c r="A182" s="126"/>
      <c r="B182" s="103"/>
      <c r="C182" s="102" t="s">
        <v>352</v>
      </c>
      <c r="D182" s="74">
        <f t="shared" ref="D182" si="46">E182+F182+G182+H182+I182+J182+K182</f>
        <v>28739.5</v>
      </c>
      <c r="E182" s="74">
        <v>0</v>
      </c>
      <c r="F182" s="74">
        <v>0</v>
      </c>
      <c r="G182" s="74">
        <v>11295.9</v>
      </c>
      <c r="H182" s="83">
        <v>0</v>
      </c>
      <c r="I182" s="524">
        <v>17443.599999999999</v>
      </c>
      <c r="J182" s="525">
        <v>0</v>
      </c>
      <c r="K182" s="525">
        <v>0</v>
      </c>
      <c r="L182" s="525">
        <v>0</v>
      </c>
      <c r="M182" s="526"/>
    </row>
    <row r="183" spans="1:13" s="52" customFormat="1" ht="23.25" x14ac:dyDescent="0.35">
      <c r="A183" s="126"/>
      <c r="B183" s="103"/>
      <c r="C183" s="271" t="s">
        <v>356</v>
      </c>
      <c r="D183" s="277"/>
      <c r="E183" s="277"/>
      <c r="F183" s="277"/>
      <c r="G183" s="277"/>
      <c r="H183" s="277"/>
      <c r="I183" s="527"/>
      <c r="J183" s="527"/>
      <c r="K183" s="527"/>
      <c r="L183" s="527"/>
      <c r="M183" s="278"/>
    </row>
    <row r="184" spans="1:13" s="52" customFormat="1" ht="23.25" x14ac:dyDescent="0.35">
      <c r="A184" s="72">
        <v>3</v>
      </c>
      <c r="B184" s="151" t="s">
        <v>113</v>
      </c>
      <c r="C184" s="291" t="s">
        <v>298</v>
      </c>
      <c r="D184" s="292"/>
      <c r="E184" s="292"/>
      <c r="F184" s="292"/>
      <c r="G184" s="292"/>
      <c r="H184" s="292"/>
      <c r="I184" s="292"/>
      <c r="J184" s="292"/>
      <c r="K184" s="292"/>
      <c r="L184" s="292"/>
      <c r="M184" s="292"/>
    </row>
    <row r="185" spans="1:13" s="52" customFormat="1" ht="23.25" x14ac:dyDescent="0.35">
      <c r="A185" s="71" t="s">
        <v>244</v>
      </c>
      <c r="B185" s="108" t="s">
        <v>112</v>
      </c>
      <c r="C185" s="291" t="s">
        <v>300</v>
      </c>
      <c r="D185" s="291"/>
      <c r="E185" s="291"/>
      <c r="F185" s="291"/>
      <c r="G185" s="291"/>
      <c r="H185" s="291"/>
      <c r="I185" s="291"/>
      <c r="J185" s="291"/>
      <c r="K185" s="291"/>
      <c r="L185" s="291"/>
      <c r="M185" s="292"/>
    </row>
    <row r="186" spans="1:13" s="52" customFormat="1" ht="23.25" x14ac:dyDescent="0.35">
      <c r="A186" s="71" t="s">
        <v>299</v>
      </c>
      <c r="B186" s="108" t="s">
        <v>160</v>
      </c>
      <c r="C186" s="291" t="s">
        <v>300</v>
      </c>
      <c r="D186" s="291"/>
      <c r="E186" s="291"/>
      <c r="F186" s="291"/>
      <c r="G186" s="291"/>
      <c r="H186" s="291"/>
      <c r="I186" s="291"/>
      <c r="J186" s="291"/>
      <c r="K186" s="291"/>
      <c r="L186" s="291"/>
      <c r="M186" s="292"/>
    </row>
    <row r="187" spans="1:13" s="52" customFormat="1" ht="18.75" hidden="1" customHeight="1" x14ac:dyDescent="0.25">
      <c r="A187" s="331" t="s">
        <v>123</v>
      </c>
      <c r="B187" s="303" t="s">
        <v>301</v>
      </c>
      <c r="C187" s="135" t="s">
        <v>121</v>
      </c>
      <c r="D187" s="74">
        <f>D188+D189</f>
        <v>785692.4</v>
      </c>
      <c r="E187" s="74">
        <f>E188+E189</f>
        <v>92421.8</v>
      </c>
      <c r="F187" s="74">
        <f>F188+F189</f>
        <v>93795.599999999991</v>
      </c>
      <c r="G187" s="74">
        <f>G188+G189</f>
        <v>94809.599999999991</v>
      </c>
      <c r="H187" s="74">
        <f t="shared" ref="H187:L187" si="47">H188+H189</f>
        <v>96730.900000000009</v>
      </c>
      <c r="I187" s="76">
        <f t="shared" si="47"/>
        <v>99357.5</v>
      </c>
      <c r="J187" s="74">
        <f>J188+J189</f>
        <v>104616.3</v>
      </c>
      <c r="K187" s="74">
        <f t="shared" si="47"/>
        <v>101967.5</v>
      </c>
      <c r="L187" s="74">
        <f t="shared" si="47"/>
        <v>101993.20000000001</v>
      </c>
      <c r="M187" s="340"/>
    </row>
    <row r="188" spans="1:13" s="52" customFormat="1" ht="18.75" hidden="1" customHeight="1" x14ac:dyDescent="0.25">
      <c r="A188" s="338"/>
      <c r="B188" s="339"/>
      <c r="C188" s="73" t="s">
        <v>122</v>
      </c>
      <c r="D188" s="130">
        <f>E188+F188+G188+H188+J188+I188+K188+L188</f>
        <v>780851</v>
      </c>
      <c r="E188" s="130">
        <f t="shared" ref="E188:F189" si="48">E190+E192+E194</f>
        <v>91791</v>
      </c>
      <c r="F188" s="130">
        <f t="shared" si="48"/>
        <v>93216.099999999991</v>
      </c>
      <c r="G188" s="130">
        <f>G190+G192</f>
        <v>94202.2</v>
      </c>
      <c r="H188" s="130">
        <v>96201.1</v>
      </c>
      <c r="I188" s="211">
        <f>I190+I192+I200</f>
        <v>98794.7</v>
      </c>
      <c r="J188" s="211">
        <f t="shared" ref="J188:L188" si="49">J190+J192+J200</f>
        <v>103997.7</v>
      </c>
      <c r="K188" s="211">
        <f t="shared" si="49"/>
        <v>101324.1</v>
      </c>
      <c r="L188" s="211">
        <f t="shared" si="49"/>
        <v>101324.1</v>
      </c>
      <c r="M188" s="339"/>
    </row>
    <row r="189" spans="1:13" s="52" customFormat="1" ht="79.5" hidden="1" customHeight="1" x14ac:dyDescent="0.25">
      <c r="A189" s="338"/>
      <c r="B189" s="339"/>
      <c r="C189" s="73" t="s">
        <v>169</v>
      </c>
      <c r="D189" s="130">
        <f>E189+F189+G189+H189+J189+I189+K189+L189</f>
        <v>4841.3999999999996</v>
      </c>
      <c r="E189" s="130">
        <f t="shared" si="48"/>
        <v>630.79999999999995</v>
      </c>
      <c r="F189" s="130">
        <f>F191+F193+F195</f>
        <v>579.5</v>
      </c>
      <c r="G189" s="130">
        <f>G191+G193+G195</f>
        <v>607.4</v>
      </c>
      <c r="H189" s="130">
        <f t="shared" ref="H189:L189" si="50">H191+H193+H195</f>
        <v>529.79999999999995</v>
      </c>
      <c r="I189" s="130">
        <f t="shared" si="50"/>
        <v>562.79999999999995</v>
      </c>
      <c r="J189" s="130">
        <f t="shared" si="50"/>
        <v>618.6</v>
      </c>
      <c r="K189" s="130">
        <f t="shared" si="50"/>
        <v>643.4</v>
      </c>
      <c r="L189" s="130">
        <f t="shared" si="50"/>
        <v>669.1</v>
      </c>
      <c r="M189" s="339"/>
    </row>
    <row r="190" spans="1:13" s="52" customFormat="1" ht="18.75" hidden="1" customHeight="1" x14ac:dyDescent="0.25">
      <c r="A190" s="330" t="s">
        <v>124</v>
      </c>
      <c r="B190" s="303" t="s">
        <v>302</v>
      </c>
      <c r="C190" s="73" t="s">
        <v>122</v>
      </c>
      <c r="D190" s="130">
        <f>E190+F190+G190+H190+J190+I190+K190+L190</f>
        <v>616074.4</v>
      </c>
      <c r="E190" s="130">
        <f>73797.8+85+96-53.4</f>
        <v>73925.400000000009</v>
      </c>
      <c r="F190" s="130">
        <f>75224.4+50</f>
        <v>75274.399999999994</v>
      </c>
      <c r="G190" s="130">
        <f>76872.6-407.1+171</f>
        <v>76636.5</v>
      </c>
      <c r="H190" s="130">
        <v>77660.600000000006</v>
      </c>
      <c r="I190" s="211">
        <f>65001.1+194</f>
        <v>65195.1</v>
      </c>
      <c r="J190" s="130">
        <v>84243.199999999997</v>
      </c>
      <c r="K190" s="130">
        <v>81569.600000000006</v>
      </c>
      <c r="L190" s="130">
        <v>81569.600000000006</v>
      </c>
      <c r="M190" s="281" t="s">
        <v>376</v>
      </c>
    </row>
    <row r="191" spans="1:13" s="52" customFormat="1" ht="226.5" hidden="1" customHeight="1" x14ac:dyDescent="0.25">
      <c r="A191" s="337"/>
      <c r="B191" s="303"/>
      <c r="C191" s="73" t="s">
        <v>169</v>
      </c>
      <c r="D191" s="130">
        <f t="shared" ref="D191" si="51">E191+F191+G191+H191+J191+I191</f>
        <v>0</v>
      </c>
      <c r="E191" s="130">
        <v>0</v>
      </c>
      <c r="F191" s="130">
        <v>0</v>
      </c>
      <c r="G191" s="130">
        <v>0</v>
      </c>
      <c r="H191" s="130">
        <v>0</v>
      </c>
      <c r="I191" s="211">
        <v>0</v>
      </c>
      <c r="J191" s="130">
        <v>0</v>
      </c>
      <c r="K191" s="130">
        <v>0</v>
      </c>
      <c r="L191" s="130"/>
      <c r="M191" s="281"/>
    </row>
    <row r="192" spans="1:13" s="52" customFormat="1" ht="18.75" hidden="1" customHeight="1" x14ac:dyDescent="0.25">
      <c r="A192" s="330" t="s">
        <v>127</v>
      </c>
      <c r="B192" s="290" t="s">
        <v>303</v>
      </c>
      <c r="C192" s="73" t="s">
        <v>122</v>
      </c>
      <c r="D192" s="152">
        <f>E192+F192+G192+H192+J192+I192+K192+L192</f>
        <v>147839.9</v>
      </c>
      <c r="E192" s="130">
        <f>17911.6-46</f>
        <v>17865.599999999999</v>
      </c>
      <c r="F192" s="130">
        <f>18147.7-206</f>
        <v>17941.7</v>
      </c>
      <c r="G192" s="130">
        <v>17565.7</v>
      </c>
      <c r="H192" s="130">
        <f>18419+62.5+59</f>
        <v>18540.5</v>
      </c>
      <c r="I192" s="211">
        <v>16662.900000000001</v>
      </c>
      <c r="J192" s="130">
        <v>19754.5</v>
      </c>
      <c r="K192" s="130">
        <v>19754.5</v>
      </c>
      <c r="L192" s="130">
        <v>19754.5</v>
      </c>
      <c r="M192" s="281" t="s">
        <v>304</v>
      </c>
    </row>
    <row r="193" spans="1:13" s="52" customFormat="1" ht="139.5" hidden="1" customHeight="1" x14ac:dyDescent="0.25">
      <c r="A193" s="330"/>
      <c r="B193" s="290"/>
      <c r="C193" s="73" t="s">
        <v>169</v>
      </c>
      <c r="D193" s="152">
        <f>E193+F193+G193+H193+J193+I193+K193</f>
        <v>0</v>
      </c>
      <c r="E193" s="130">
        <v>0</v>
      </c>
      <c r="F193" s="130">
        <v>0</v>
      </c>
      <c r="G193" s="130">
        <v>0</v>
      </c>
      <c r="H193" s="130">
        <v>0</v>
      </c>
      <c r="I193" s="211">
        <v>0</v>
      </c>
      <c r="J193" s="130">
        <v>0</v>
      </c>
      <c r="K193" s="130">
        <v>0</v>
      </c>
      <c r="L193" s="130"/>
      <c r="M193" s="281"/>
    </row>
    <row r="194" spans="1:13" s="52" customFormat="1" ht="18.75" hidden="1" customHeight="1" x14ac:dyDescent="0.25">
      <c r="A194" s="330" t="s">
        <v>128</v>
      </c>
      <c r="B194" s="303" t="s">
        <v>305</v>
      </c>
      <c r="C194" s="73" t="s">
        <v>122</v>
      </c>
      <c r="D194" s="152">
        <f>E194+F194+G194+H194+J194+I194+K194</f>
        <v>0</v>
      </c>
      <c r="E194" s="130">
        <v>0</v>
      </c>
      <c r="F194" s="130">
        <v>0</v>
      </c>
      <c r="G194" s="130">
        <v>0</v>
      </c>
      <c r="H194" s="130">
        <v>0</v>
      </c>
      <c r="I194" s="211">
        <v>0</v>
      </c>
      <c r="J194" s="130">
        <v>0</v>
      </c>
      <c r="K194" s="130">
        <v>0</v>
      </c>
      <c r="L194" s="130"/>
      <c r="M194" s="336" t="s">
        <v>306</v>
      </c>
    </row>
    <row r="195" spans="1:13" s="52" customFormat="1" ht="243" hidden="1" customHeight="1" x14ac:dyDescent="0.25">
      <c r="A195" s="330"/>
      <c r="B195" s="315"/>
      <c r="C195" s="73" t="s">
        <v>169</v>
      </c>
      <c r="D195" s="152">
        <f>E195+F195+G195+H195+J195+I195+K195+L195</f>
        <v>4841.3999999999996</v>
      </c>
      <c r="E195" s="130">
        <v>630.79999999999995</v>
      </c>
      <c r="F195" s="130">
        <f>644.5-65</f>
        <v>579.5</v>
      </c>
      <c r="G195" s="130">
        <f>647.4-40</f>
        <v>607.4</v>
      </c>
      <c r="H195" s="130">
        <v>529.79999999999995</v>
      </c>
      <c r="I195" s="211">
        <v>562.79999999999995</v>
      </c>
      <c r="J195" s="130">
        <v>618.6</v>
      </c>
      <c r="K195" s="130">
        <v>643.4</v>
      </c>
      <c r="L195" s="130">
        <v>669.1</v>
      </c>
      <c r="M195" s="336"/>
    </row>
    <row r="196" spans="1:13" s="52" customFormat="1" ht="18.75" hidden="1" customHeight="1" x14ac:dyDescent="0.25">
      <c r="A196" s="314" t="s">
        <v>129</v>
      </c>
      <c r="B196" s="303" t="s">
        <v>307</v>
      </c>
      <c r="C196" s="135" t="s">
        <v>121</v>
      </c>
      <c r="D196" s="152">
        <f>D197+D198</f>
        <v>3213.2</v>
      </c>
      <c r="E196" s="130">
        <f>E197+E198</f>
        <v>150</v>
      </c>
      <c r="F196" s="130">
        <f>F197+F198</f>
        <v>0</v>
      </c>
      <c r="G196" s="130">
        <f>G197+G198</f>
        <v>270</v>
      </c>
      <c r="H196" s="130">
        <f>H197+H198</f>
        <v>0</v>
      </c>
      <c r="I196" s="211">
        <f t="shared" ref="I196:K196" si="52">I197+I198</f>
        <v>2793.2</v>
      </c>
      <c r="J196" s="130">
        <f t="shared" si="52"/>
        <v>0</v>
      </c>
      <c r="K196" s="130">
        <f t="shared" si="52"/>
        <v>0</v>
      </c>
      <c r="L196" s="130"/>
      <c r="M196" s="281" t="s">
        <v>308</v>
      </c>
    </row>
    <row r="197" spans="1:13" s="52" customFormat="1" ht="18.75" hidden="1" customHeight="1" x14ac:dyDescent="0.25">
      <c r="A197" s="333"/>
      <c r="B197" s="308"/>
      <c r="C197" s="73" t="s">
        <v>122</v>
      </c>
      <c r="D197" s="152">
        <f>E197+F197+G197+H197+I197+J197+K197</f>
        <v>3063.2</v>
      </c>
      <c r="E197" s="130">
        <v>0</v>
      </c>
      <c r="F197" s="130">
        <v>0</v>
      </c>
      <c r="G197" s="130">
        <v>270</v>
      </c>
      <c r="H197" s="130">
        <v>0</v>
      </c>
      <c r="I197" s="211">
        <f>2038+755.2</f>
        <v>2793.2</v>
      </c>
      <c r="J197" s="130">
        <v>0</v>
      </c>
      <c r="K197" s="130">
        <v>0</v>
      </c>
      <c r="L197" s="130"/>
      <c r="M197" s="306"/>
    </row>
    <row r="198" spans="1:13" s="52" customFormat="1" ht="63.75" hidden="1" customHeight="1" x14ac:dyDescent="0.25">
      <c r="A198" s="333"/>
      <c r="B198" s="308"/>
      <c r="C198" s="73" t="s">
        <v>169</v>
      </c>
      <c r="D198" s="152">
        <f>E198+F198+G198+H198+I198+J198+K198</f>
        <v>150</v>
      </c>
      <c r="E198" s="130">
        <v>150</v>
      </c>
      <c r="F198" s="130">
        <v>0</v>
      </c>
      <c r="G198" s="130">
        <v>0</v>
      </c>
      <c r="H198" s="130">
        <v>0</v>
      </c>
      <c r="I198" s="211">
        <v>0</v>
      </c>
      <c r="J198" s="130">
        <v>0</v>
      </c>
      <c r="K198" s="130">
        <v>0</v>
      </c>
      <c r="L198" s="130"/>
      <c r="M198" s="306"/>
    </row>
    <row r="199" spans="1:13" s="52" customFormat="1" ht="116.25" hidden="1" x14ac:dyDescent="0.25">
      <c r="A199" s="153" t="s">
        <v>130</v>
      </c>
      <c r="B199" s="122" t="s">
        <v>309</v>
      </c>
      <c r="C199" s="73" t="s">
        <v>122</v>
      </c>
      <c r="D199" s="152">
        <f>E199+F199+G199+H199+I199+J199+K199</f>
        <v>0</v>
      </c>
      <c r="E199" s="130">
        <v>0</v>
      </c>
      <c r="F199" s="130">
        <v>0</v>
      </c>
      <c r="G199" s="130">
        <v>0</v>
      </c>
      <c r="H199" s="130">
        <v>0</v>
      </c>
      <c r="I199" s="211">
        <v>0</v>
      </c>
      <c r="J199" s="130">
        <v>0</v>
      </c>
      <c r="K199" s="130">
        <v>0</v>
      </c>
      <c r="L199" s="130"/>
      <c r="M199" s="154" t="s">
        <v>310</v>
      </c>
    </row>
    <row r="200" spans="1:13" s="52" customFormat="1" ht="69.75" hidden="1" x14ac:dyDescent="0.25">
      <c r="A200" s="197" t="s">
        <v>156</v>
      </c>
      <c r="B200" s="196" t="s">
        <v>378</v>
      </c>
      <c r="C200" s="198" t="s">
        <v>122</v>
      </c>
      <c r="D200" s="152">
        <f>E200+F200+G200+H200+I200+J200+K200</f>
        <v>16936.7</v>
      </c>
      <c r="E200" s="130">
        <v>0</v>
      </c>
      <c r="F200" s="130">
        <v>0</v>
      </c>
      <c r="G200" s="130">
        <v>0</v>
      </c>
      <c r="H200" s="130">
        <v>0</v>
      </c>
      <c r="I200" s="211">
        <v>16936.7</v>
      </c>
      <c r="J200" s="130">
        <v>0</v>
      </c>
      <c r="K200" s="130">
        <v>0</v>
      </c>
      <c r="L200" s="130"/>
      <c r="M200" s="154"/>
    </row>
    <row r="201" spans="1:13" s="190" customFormat="1" ht="23.25" x14ac:dyDescent="0.25">
      <c r="A201" s="189"/>
      <c r="B201" s="182"/>
      <c r="C201" s="182" t="s">
        <v>350</v>
      </c>
      <c r="D201" s="130">
        <f>D202+D203</f>
        <v>788905.6</v>
      </c>
      <c r="E201" s="130">
        <f t="shared" ref="E201:L201" si="53">E202+E203</f>
        <v>92571.8</v>
      </c>
      <c r="F201" s="130">
        <f t="shared" si="53"/>
        <v>93795.599999999991</v>
      </c>
      <c r="G201" s="130">
        <f t="shared" si="53"/>
        <v>95079.599999999991</v>
      </c>
      <c r="H201" s="130">
        <f t="shared" si="53"/>
        <v>96730.900000000009</v>
      </c>
      <c r="I201" s="211">
        <f>I202+I203</f>
        <v>102150.7</v>
      </c>
      <c r="J201" s="130">
        <f t="shared" si="53"/>
        <v>104616.3</v>
      </c>
      <c r="K201" s="130">
        <f t="shared" si="53"/>
        <v>101967.5</v>
      </c>
      <c r="L201" s="130">
        <f t="shared" si="53"/>
        <v>101993.20000000001</v>
      </c>
      <c r="M201" s="154"/>
    </row>
    <row r="202" spans="1:13" s="52" customFormat="1" ht="23.25" x14ac:dyDescent="0.35">
      <c r="A202" s="126"/>
      <c r="B202" s="103"/>
      <c r="C202" s="102" t="s">
        <v>122</v>
      </c>
      <c r="D202" s="130">
        <f>E202+F202+G202+H202+I202+J202+K202+L202</f>
        <v>783914.2</v>
      </c>
      <c r="E202" s="130">
        <f>E188+E197+E199</f>
        <v>91791</v>
      </c>
      <c r="F202" s="130">
        <f t="shared" ref="F202:L202" si="54">F188+F197+F199</f>
        <v>93216.099999999991</v>
      </c>
      <c r="G202" s="130">
        <f t="shared" si="54"/>
        <v>94472.2</v>
      </c>
      <c r="H202" s="130">
        <f t="shared" si="54"/>
        <v>96201.1</v>
      </c>
      <c r="I202" s="211">
        <f>I188+I197+I199</f>
        <v>101587.9</v>
      </c>
      <c r="J202" s="130">
        <f t="shared" si="54"/>
        <v>103997.7</v>
      </c>
      <c r="K202" s="130">
        <f t="shared" si="54"/>
        <v>101324.1</v>
      </c>
      <c r="L202" s="130">
        <f t="shared" si="54"/>
        <v>101324.1</v>
      </c>
      <c r="M202" s="154"/>
    </row>
    <row r="203" spans="1:13" s="52" customFormat="1" ht="23.25" x14ac:dyDescent="0.35">
      <c r="A203" s="126"/>
      <c r="B203" s="103"/>
      <c r="C203" s="102" t="s">
        <v>169</v>
      </c>
      <c r="D203" s="130">
        <f>E203+F203+G203+H203+I203+J203+K203+L203</f>
        <v>4991.4000000000005</v>
      </c>
      <c r="E203" s="130">
        <f>E189+E198</f>
        <v>780.8</v>
      </c>
      <c r="F203" s="130">
        <f t="shared" ref="F203:L203" si="55">F189+F198</f>
        <v>579.5</v>
      </c>
      <c r="G203" s="130">
        <f t="shared" si="55"/>
        <v>607.4</v>
      </c>
      <c r="H203" s="130">
        <f t="shared" si="55"/>
        <v>529.79999999999995</v>
      </c>
      <c r="I203" s="211">
        <f t="shared" si="55"/>
        <v>562.79999999999995</v>
      </c>
      <c r="J203" s="130">
        <f t="shared" si="55"/>
        <v>618.6</v>
      </c>
      <c r="K203" s="130">
        <f t="shared" si="55"/>
        <v>643.4</v>
      </c>
      <c r="L203" s="130">
        <f t="shared" si="55"/>
        <v>669.1</v>
      </c>
      <c r="M203" s="154"/>
    </row>
    <row r="204" spans="1:13" s="52" customFormat="1" ht="23.25" x14ac:dyDescent="0.35">
      <c r="A204" s="126"/>
      <c r="B204" s="103"/>
      <c r="C204" s="102" t="s">
        <v>194</v>
      </c>
      <c r="D204" s="130"/>
      <c r="E204" s="130"/>
      <c r="F204" s="130"/>
      <c r="G204" s="130"/>
      <c r="H204" s="130"/>
      <c r="I204" s="211"/>
      <c r="J204" s="130"/>
      <c r="K204" s="130"/>
      <c r="L204" s="130"/>
      <c r="M204" s="154"/>
    </row>
    <row r="205" spans="1:13" s="52" customFormat="1" ht="46.5" x14ac:dyDescent="0.35">
      <c r="A205" s="126"/>
      <c r="B205" s="103"/>
      <c r="C205" s="102" t="s">
        <v>352</v>
      </c>
      <c r="D205" s="104"/>
      <c r="E205" s="104"/>
      <c r="F205" s="104"/>
      <c r="G205" s="104"/>
      <c r="H205" s="104"/>
      <c r="I205" s="203"/>
      <c r="J205" s="104"/>
      <c r="K205" s="104"/>
      <c r="L205" s="104"/>
      <c r="M205" s="154"/>
    </row>
    <row r="206" spans="1:13" s="52" customFormat="1" ht="23.25" x14ac:dyDescent="0.25">
      <c r="A206" s="113" t="s">
        <v>247</v>
      </c>
      <c r="B206" s="111" t="s">
        <v>112</v>
      </c>
      <c r="C206" s="295" t="s">
        <v>311</v>
      </c>
      <c r="D206" s="296"/>
      <c r="E206" s="296"/>
      <c r="F206" s="296"/>
      <c r="G206" s="296"/>
      <c r="H206" s="334"/>
      <c r="I206" s="334"/>
      <c r="J206" s="334"/>
      <c r="K206" s="335"/>
      <c r="L206" s="237"/>
      <c r="M206" s="154"/>
    </row>
    <row r="207" spans="1:13" s="52" customFormat="1" ht="23.25" x14ac:dyDescent="0.35">
      <c r="A207" s="113">
        <v>2</v>
      </c>
      <c r="B207" s="111" t="s">
        <v>160</v>
      </c>
      <c r="C207" s="295" t="s">
        <v>311</v>
      </c>
      <c r="D207" s="296"/>
      <c r="E207" s="296"/>
      <c r="F207" s="296"/>
      <c r="G207" s="296"/>
      <c r="H207" s="297"/>
      <c r="I207" s="297"/>
      <c r="J207" s="297"/>
      <c r="K207" s="298"/>
      <c r="L207" s="236"/>
      <c r="M207" s="155"/>
    </row>
    <row r="208" spans="1:13" s="52" customFormat="1" ht="198.75" hidden="1" customHeight="1" x14ac:dyDescent="0.25">
      <c r="A208" s="113" t="s">
        <v>133</v>
      </c>
      <c r="B208" s="102" t="s">
        <v>312</v>
      </c>
      <c r="C208" s="73" t="s">
        <v>122</v>
      </c>
      <c r="D208" s="152">
        <f>E208+F208+G208+H208+J208+I208+K208+L208</f>
        <v>2130</v>
      </c>
      <c r="E208" s="152">
        <v>300</v>
      </c>
      <c r="F208" s="152">
        <v>300</v>
      </c>
      <c r="G208" s="152">
        <v>30</v>
      </c>
      <c r="H208" s="152">
        <v>300</v>
      </c>
      <c r="I208" s="215">
        <v>300</v>
      </c>
      <c r="J208" s="152">
        <v>300</v>
      </c>
      <c r="K208" s="152">
        <v>300</v>
      </c>
      <c r="L208" s="152">
        <v>300</v>
      </c>
      <c r="M208" s="116" t="s">
        <v>313</v>
      </c>
    </row>
    <row r="209" spans="1:13" s="52" customFormat="1" ht="75" hidden="1" customHeight="1" x14ac:dyDescent="0.25">
      <c r="A209" s="330" t="s">
        <v>207</v>
      </c>
      <c r="B209" s="303" t="s">
        <v>314</v>
      </c>
      <c r="C209" s="73" t="s">
        <v>169</v>
      </c>
      <c r="D209" s="152">
        <f>E209+F209+G209+H209+J209+I209+K209+L209</f>
        <v>838.40000000000009</v>
      </c>
      <c r="E209" s="156">
        <v>203.1</v>
      </c>
      <c r="F209" s="156">
        <f>203.1-72.9</f>
        <v>130.19999999999999</v>
      </c>
      <c r="G209" s="156">
        <v>67.7</v>
      </c>
      <c r="H209" s="156">
        <v>78.2</v>
      </c>
      <c r="I209" s="216">
        <f>62.5+15.6</f>
        <v>78.099999999999994</v>
      </c>
      <c r="J209" s="156">
        <f>62.5+31.2</f>
        <v>93.7</v>
      </c>
      <c r="K209" s="156">
        <f>62.5+31.2</f>
        <v>93.7</v>
      </c>
      <c r="L209" s="156">
        <v>93.7</v>
      </c>
      <c r="M209" s="116" t="s">
        <v>315</v>
      </c>
    </row>
    <row r="210" spans="1:13" s="52" customFormat="1" ht="102.75" hidden="1" customHeight="1" x14ac:dyDescent="0.35">
      <c r="A210" s="330"/>
      <c r="B210" s="303"/>
      <c r="C210" s="73" t="s">
        <v>10</v>
      </c>
      <c r="D210" s="157">
        <f>E210+F210+G210</f>
        <v>0</v>
      </c>
      <c r="E210" s="157">
        <v>0</v>
      </c>
      <c r="F210" s="157">
        <v>0</v>
      </c>
      <c r="G210" s="157">
        <v>0</v>
      </c>
      <c r="H210" s="157"/>
      <c r="I210" s="217"/>
      <c r="J210" s="157"/>
      <c r="K210" s="157"/>
      <c r="L210" s="157"/>
      <c r="M210" s="155"/>
    </row>
    <row r="211" spans="1:13" s="52" customFormat="1" ht="18.75" hidden="1" customHeight="1" x14ac:dyDescent="0.25">
      <c r="A211" s="331" t="s">
        <v>210</v>
      </c>
      <c r="B211" s="305" t="s">
        <v>316</v>
      </c>
      <c r="C211" s="73" t="s">
        <v>317</v>
      </c>
      <c r="D211" s="152">
        <f>D212+D213</f>
        <v>3431.8</v>
      </c>
      <c r="E211" s="152">
        <v>0</v>
      </c>
      <c r="F211" s="152">
        <f>F212+F213</f>
        <v>3431.8</v>
      </c>
      <c r="G211" s="152">
        <f t="shared" ref="G211:J211" si="56">G212+G213</f>
        <v>0</v>
      </c>
      <c r="H211" s="152">
        <f t="shared" si="56"/>
        <v>0</v>
      </c>
      <c r="I211" s="215">
        <v>0</v>
      </c>
      <c r="J211" s="152">
        <f t="shared" si="56"/>
        <v>0</v>
      </c>
      <c r="K211" s="152">
        <v>0</v>
      </c>
      <c r="L211" s="152"/>
      <c r="M211" s="303" t="s">
        <v>318</v>
      </c>
    </row>
    <row r="212" spans="1:13" s="52" customFormat="1" ht="18.75" hidden="1" customHeight="1" x14ac:dyDescent="0.25">
      <c r="A212" s="331"/>
      <c r="B212" s="305"/>
      <c r="C212" s="73" t="s">
        <v>122</v>
      </c>
      <c r="D212" s="157">
        <f>E212+F212+G212+H212+J212+I212+K212</f>
        <v>206</v>
      </c>
      <c r="E212" s="157">
        <v>0</v>
      </c>
      <c r="F212" s="157">
        <v>206</v>
      </c>
      <c r="G212" s="157">
        <v>0</v>
      </c>
      <c r="H212" s="157">
        <v>0</v>
      </c>
      <c r="I212" s="217">
        <v>0</v>
      </c>
      <c r="J212" s="157">
        <v>0</v>
      </c>
      <c r="K212" s="157">
        <v>0</v>
      </c>
      <c r="L212" s="157"/>
      <c r="M212" s="303"/>
    </row>
    <row r="213" spans="1:13" s="52" customFormat="1" ht="159.75" hidden="1" customHeight="1" x14ac:dyDescent="0.25">
      <c r="A213" s="332"/>
      <c r="B213" s="308"/>
      <c r="C213" s="73" t="s">
        <v>169</v>
      </c>
      <c r="D213" s="152">
        <f>E213+F213+G213+H213+J213+I213+K213</f>
        <v>3225.8</v>
      </c>
      <c r="E213" s="152">
        <v>0</v>
      </c>
      <c r="F213" s="152">
        <v>3225.8</v>
      </c>
      <c r="G213" s="152">
        <v>0</v>
      </c>
      <c r="H213" s="152">
        <v>0</v>
      </c>
      <c r="I213" s="215">
        <v>0</v>
      </c>
      <c r="J213" s="152">
        <v>0</v>
      </c>
      <c r="K213" s="152">
        <v>0</v>
      </c>
      <c r="L213" s="152"/>
      <c r="M213" s="303"/>
    </row>
    <row r="214" spans="1:13" s="190" customFormat="1" ht="22.5" customHeight="1" x14ac:dyDescent="0.25">
      <c r="A214" s="189"/>
      <c r="B214" s="182"/>
      <c r="C214" s="182" t="s">
        <v>350</v>
      </c>
      <c r="D214" s="130">
        <f>D215+D216</f>
        <v>6400.1999999999989</v>
      </c>
      <c r="E214" s="130">
        <f>E215+E216</f>
        <v>503.1</v>
      </c>
      <c r="F214" s="130">
        <f>F215+F216</f>
        <v>3862</v>
      </c>
      <c r="G214" s="130">
        <f t="shared" ref="G214:L214" si="57">G215+G216</f>
        <v>97.7</v>
      </c>
      <c r="H214" s="130">
        <f t="shared" si="57"/>
        <v>378.2</v>
      </c>
      <c r="I214" s="211">
        <f t="shared" si="57"/>
        <v>378.1</v>
      </c>
      <c r="J214" s="130">
        <f t="shared" si="57"/>
        <v>393.7</v>
      </c>
      <c r="K214" s="130">
        <f t="shared" si="57"/>
        <v>393.7</v>
      </c>
      <c r="L214" s="130">
        <f t="shared" si="57"/>
        <v>393.7</v>
      </c>
      <c r="M214" s="182"/>
    </row>
    <row r="215" spans="1:13" s="52" customFormat="1" ht="25.5" customHeight="1" x14ac:dyDescent="0.35">
      <c r="A215" s="126"/>
      <c r="B215" s="103"/>
      <c r="C215" s="102" t="s">
        <v>122</v>
      </c>
      <c r="D215" s="130">
        <f>E215+F215+G215+H215+I215+J215+K215+L215</f>
        <v>2336</v>
      </c>
      <c r="E215" s="130">
        <f>E208+E212</f>
        <v>300</v>
      </c>
      <c r="F215" s="130">
        <f t="shared" ref="F215:L215" si="58">F208+F212</f>
        <v>506</v>
      </c>
      <c r="G215" s="130">
        <f t="shared" si="58"/>
        <v>30</v>
      </c>
      <c r="H215" s="130">
        <f t="shared" si="58"/>
        <v>300</v>
      </c>
      <c r="I215" s="211">
        <f t="shared" si="58"/>
        <v>300</v>
      </c>
      <c r="J215" s="130">
        <f t="shared" si="58"/>
        <v>300</v>
      </c>
      <c r="K215" s="130">
        <f t="shared" si="58"/>
        <v>300</v>
      </c>
      <c r="L215" s="130">
        <f t="shared" si="58"/>
        <v>300</v>
      </c>
      <c r="M215" s="102"/>
    </row>
    <row r="216" spans="1:13" s="52" customFormat="1" ht="25.5" customHeight="1" x14ac:dyDescent="0.35">
      <c r="A216" s="126"/>
      <c r="B216" s="103"/>
      <c r="C216" s="102" t="s">
        <v>169</v>
      </c>
      <c r="D216" s="130">
        <f>E216+F216+G216+H216+I216+J216+K216+L216</f>
        <v>4064.1999999999989</v>
      </c>
      <c r="E216" s="130">
        <f>E209+E213</f>
        <v>203.1</v>
      </c>
      <c r="F216" s="130">
        <f t="shared" ref="F216:L216" si="59">F209+F213</f>
        <v>3356</v>
      </c>
      <c r="G216" s="130">
        <f t="shared" si="59"/>
        <v>67.7</v>
      </c>
      <c r="H216" s="130">
        <f t="shared" si="59"/>
        <v>78.2</v>
      </c>
      <c r="I216" s="211">
        <f t="shared" si="59"/>
        <v>78.099999999999994</v>
      </c>
      <c r="J216" s="130">
        <f t="shared" si="59"/>
        <v>93.7</v>
      </c>
      <c r="K216" s="130">
        <f t="shared" si="59"/>
        <v>93.7</v>
      </c>
      <c r="L216" s="130">
        <f t="shared" si="59"/>
        <v>93.7</v>
      </c>
      <c r="M216" s="102"/>
    </row>
    <row r="217" spans="1:13" s="52" customFormat="1" ht="25.5" customHeight="1" x14ac:dyDescent="0.35">
      <c r="A217" s="126"/>
      <c r="B217" s="103"/>
      <c r="C217" s="102" t="s">
        <v>194</v>
      </c>
      <c r="D217" s="130"/>
      <c r="E217" s="130"/>
      <c r="F217" s="130"/>
      <c r="G217" s="130"/>
      <c r="H217" s="130"/>
      <c r="I217" s="211"/>
      <c r="J217" s="130"/>
      <c r="K217" s="130"/>
      <c r="L217" s="130"/>
      <c r="M217" s="102"/>
    </row>
    <row r="218" spans="1:13" s="52" customFormat="1" ht="21" customHeight="1" x14ac:dyDescent="0.35">
      <c r="A218" s="126"/>
      <c r="B218" s="103"/>
      <c r="C218" s="102" t="s">
        <v>352</v>
      </c>
      <c r="D218" s="104"/>
      <c r="E218" s="104"/>
      <c r="F218" s="104"/>
      <c r="G218" s="104"/>
      <c r="H218" s="104"/>
      <c r="I218" s="203"/>
      <c r="J218" s="104"/>
      <c r="K218" s="104"/>
      <c r="L218" s="104"/>
      <c r="M218" s="102"/>
    </row>
    <row r="219" spans="1:13" s="190" customFormat="1" ht="21.75" customHeight="1" x14ac:dyDescent="0.35">
      <c r="A219" s="189"/>
      <c r="B219" s="103"/>
      <c r="C219" s="271" t="s">
        <v>361</v>
      </c>
      <c r="D219" s="279"/>
      <c r="E219" s="279"/>
      <c r="F219" s="279"/>
      <c r="G219" s="279"/>
      <c r="H219" s="279"/>
      <c r="I219" s="279"/>
      <c r="J219" s="279"/>
      <c r="K219" s="279"/>
      <c r="L219" s="279"/>
      <c r="M219" s="280"/>
    </row>
    <row r="220" spans="1:13" s="52" customFormat="1" ht="23.25" x14ac:dyDescent="0.35">
      <c r="A220" s="69">
        <v>4</v>
      </c>
      <c r="B220" s="108" t="s">
        <v>113</v>
      </c>
      <c r="C220" s="290" t="s">
        <v>319</v>
      </c>
      <c r="D220" s="290"/>
      <c r="E220" s="290"/>
      <c r="F220" s="290"/>
      <c r="G220" s="290"/>
      <c r="H220" s="290"/>
      <c r="I220" s="290"/>
      <c r="J220" s="290"/>
      <c r="K220" s="290"/>
      <c r="L220" s="290"/>
      <c r="M220" s="290"/>
    </row>
    <row r="221" spans="1:13" s="52" customFormat="1" ht="23.25" x14ac:dyDescent="0.35">
      <c r="A221" s="71" t="s">
        <v>325</v>
      </c>
      <c r="B221" s="151" t="s">
        <v>320</v>
      </c>
      <c r="C221" s="291" t="s">
        <v>321</v>
      </c>
      <c r="D221" s="292"/>
      <c r="E221" s="292"/>
      <c r="F221" s="292"/>
      <c r="G221" s="292"/>
      <c r="H221" s="292"/>
      <c r="I221" s="292"/>
      <c r="J221" s="292"/>
      <c r="K221" s="292"/>
      <c r="L221" s="292"/>
      <c r="M221" s="292"/>
    </row>
    <row r="222" spans="1:13" s="52" customFormat="1" ht="33.75" customHeight="1" x14ac:dyDescent="0.35">
      <c r="A222" s="72">
        <v>1</v>
      </c>
      <c r="B222" s="151" t="s">
        <v>160</v>
      </c>
      <c r="C222" s="291" t="s">
        <v>362</v>
      </c>
      <c r="D222" s="292"/>
      <c r="E222" s="292"/>
      <c r="F222" s="292"/>
      <c r="G222" s="292"/>
      <c r="H222" s="292"/>
      <c r="I222" s="292"/>
      <c r="J222" s="292"/>
      <c r="K222" s="292"/>
      <c r="L222" s="292"/>
      <c r="M222" s="292"/>
    </row>
    <row r="223" spans="1:13" s="52" customFormat="1" ht="30.75" customHeight="1" x14ac:dyDescent="0.25">
      <c r="A223" s="113"/>
      <c r="B223" s="102"/>
      <c r="C223" s="102" t="s">
        <v>122</v>
      </c>
      <c r="D223" s="158">
        <f>E223+F223+G223+H223+J223+I223+K223+L223</f>
        <v>37972.300000000003</v>
      </c>
      <c r="E223" s="124">
        <f>3993.6+1300</f>
        <v>5293.6</v>
      </c>
      <c r="F223" s="124">
        <v>4282.7</v>
      </c>
      <c r="G223" s="124">
        <f>4112+85.4-593.7</f>
        <v>3603.7</v>
      </c>
      <c r="H223" s="159">
        <f>4230.1+50</f>
        <v>4280.1000000000004</v>
      </c>
      <c r="I223" s="218">
        <f>4975.3+43.4</f>
        <v>5018.7</v>
      </c>
      <c r="J223" s="159">
        <v>5164.5</v>
      </c>
      <c r="K223" s="159">
        <v>5164.5</v>
      </c>
      <c r="L223" s="229">
        <v>5164.5</v>
      </c>
      <c r="M223" s="116"/>
    </row>
    <row r="224" spans="1:13" s="52" customFormat="1" ht="42.75" customHeight="1" x14ac:dyDescent="0.25">
      <c r="A224" s="72">
        <v>2</v>
      </c>
      <c r="B224" s="151" t="s">
        <v>160</v>
      </c>
      <c r="C224" s="271" t="s">
        <v>363</v>
      </c>
      <c r="D224" s="272"/>
      <c r="E224" s="272"/>
      <c r="F224" s="272"/>
      <c r="G224" s="272"/>
      <c r="H224" s="272"/>
      <c r="I224" s="272"/>
      <c r="J224" s="272"/>
      <c r="K224" s="272"/>
      <c r="L224" s="272"/>
      <c r="M224" s="273"/>
    </row>
    <row r="225" spans="1:13" s="52" customFormat="1" ht="18.75" customHeight="1" x14ac:dyDescent="0.25">
      <c r="A225" s="324"/>
      <c r="B225" s="326"/>
      <c r="C225" s="326" t="s">
        <v>122</v>
      </c>
      <c r="D225" s="286">
        <f>E225+F225+G225+H225+J225+I225+K225</f>
        <v>4014.5</v>
      </c>
      <c r="E225" s="328">
        <f>3354.5+60</f>
        <v>3414.5</v>
      </c>
      <c r="F225" s="328">
        <v>600</v>
      </c>
      <c r="G225" s="286">
        <v>0</v>
      </c>
      <c r="H225" s="286">
        <v>0</v>
      </c>
      <c r="I225" s="218">
        <v>0</v>
      </c>
      <c r="J225" s="286">
        <v>0</v>
      </c>
      <c r="K225" s="159">
        <v>0</v>
      </c>
      <c r="L225" s="229">
        <v>0</v>
      </c>
      <c r="M225" s="293"/>
    </row>
    <row r="226" spans="1:13" s="52" customFormat="1" ht="7.5" customHeight="1" x14ac:dyDescent="0.25">
      <c r="A226" s="325"/>
      <c r="B226" s="327"/>
      <c r="C226" s="327"/>
      <c r="D226" s="309"/>
      <c r="E226" s="329"/>
      <c r="F226" s="329"/>
      <c r="G226" s="309"/>
      <c r="H226" s="287"/>
      <c r="I226" s="219"/>
      <c r="J226" s="287"/>
      <c r="K226" s="160"/>
      <c r="L226" s="230"/>
      <c r="M226" s="294"/>
    </row>
    <row r="227" spans="1:13" s="52" customFormat="1" ht="44.25" customHeight="1" x14ac:dyDescent="0.25">
      <c r="A227" s="72">
        <v>3</v>
      </c>
      <c r="B227" s="151" t="s">
        <v>160</v>
      </c>
      <c r="C227" s="271" t="s">
        <v>364</v>
      </c>
      <c r="D227" s="277"/>
      <c r="E227" s="277"/>
      <c r="F227" s="277"/>
      <c r="G227" s="277"/>
      <c r="H227" s="277"/>
      <c r="I227" s="277"/>
      <c r="J227" s="277"/>
      <c r="K227" s="278"/>
      <c r="L227" s="256"/>
      <c r="M227" s="161"/>
    </row>
    <row r="228" spans="1:13" s="52" customFormat="1" ht="27" customHeight="1" x14ac:dyDescent="0.25">
      <c r="A228" s="299"/>
      <c r="B228" s="303"/>
      <c r="C228" s="290" t="s">
        <v>122</v>
      </c>
      <c r="D228" s="284">
        <f>E228+F228+G228+H228+J228+I228+K228+L228</f>
        <v>83152.299999999988</v>
      </c>
      <c r="E228" s="282">
        <f>7691.7+180+42.7+1.7+6.3+46</f>
        <v>7968.4</v>
      </c>
      <c r="F228" s="282">
        <f>7916.4+80</f>
        <v>7996.4</v>
      </c>
      <c r="G228" s="284">
        <f>8065.9+80+70.5</f>
        <v>8216.4</v>
      </c>
      <c r="H228" s="286">
        <f>8089.9+515.1+128.4+451.3-195.9</f>
        <v>8988.7999999999993</v>
      </c>
      <c r="I228" s="288">
        <v>12413.6</v>
      </c>
      <c r="J228" s="286">
        <v>12522.9</v>
      </c>
      <c r="K228" s="286">
        <v>12522.9</v>
      </c>
      <c r="L228" s="229">
        <v>12522.9</v>
      </c>
      <c r="M228" s="281"/>
    </row>
    <row r="229" spans="1:13" s="52" customFormat="1" ht="11.25" customHeight="1" x14ac:dyDescent="0.25">
      <c r="A229" s="299"/>
      <c r="B229" s="315"/>
      <c r="C229" s="290"/>
      <c r="D229" s="285"/>
      <c r="E229" s="283"/>
      <c r="F229" s="283"/>
      <c r="G229" s="285"/>
      <c r="H229" s="287"/>
      <c r="I229" s="289"/>
      <c r="J229" s="287"/>
      <c r="K229" s="287"/>
      <c r="L229" s="230"/>
      <c r="M229" s="281"/>
    </row>
    <row r="230" spans="1:13" s="52" customFormat="1" ht="28.5" customHeight="1" x14ac:dyDescent="0.25">
      <c r="A230" s="72">
        <v>4</v>
      </c>
      <c r="B230" s="151" t="s">
        <v>160</v>
      </c>
      <c r="C230" s="428" t="s">
        <v>322</v>
      </c>
      <c r="D230" s="429"/>
      <c r="E230" s="429"/>
      <c r="F230" s="429"/>
      <c r="G230" s="429"/>
      <c r="H230" s="429"/>
      <c r="I230" s="429"/>
      <c r="J230" s="429"/>
      <c r="K230" s="430"/>
      <c r="L230" s="243"/>
      <c r="M230" s="116"/>
    </row>
    <row r="231" spans="1:13" s="52" customFormat="1" ht="22.5" customHeight="1" x14ac:dyDescent="0.25">
      <c r="A231" s="324"/>
      <c r="B231" s="326"/>
      <c r="C231" s="303" t="s">
        <v>122</v>
      </c>
      <c r="D231" s="284">
        <f>E231+F231+G231+H231+I231+J231+K231+L231</f>
        <v>382693</v>
      </c>
      <c r="E231" s="282">
        <v>34549.599999999999</v>
      </c>
      <c r="F231" s="282">
        <f>35935.6+650</f>
        <v>36585.599999999999</v>
      </c>
      <c r="G231" s="284">
        <v>37577.199999999997</v>
      </c>
      <c r="H231" s="286">
        <f>37577.2+942.6+2936.3+369.9</f>
        <v>41826</v>
      </c>
      <c r="I231" s="288">
        <v>52389.5</v>
      </c>
      <c r="J231" s="286">
        <v>59921.7</v>
      </c>
      <c r="K231" s="286">
        <v>59921.7</v>
      </c>
      <c r="L231" s="229">
        <v>59921.7</v>
      </c>
      <c r="M231" s="293"/>
    </row>
    <row r="232" spans="1:13" s="52" customFormat="1" ht="6.75" customHeight="1" x14ac:dyDescent="0.25">
      <c r="A232" s="405"/>
      <c r="B232" s="378"/>
      <c r="C232" s="303"/>
      <c r="D232" s="285"/>
      <c r="E232" s="283"/>
      <c r="F232" s="283"/>
      <c r="G232" s="285"/>
      <c r="H232" s="287"/>
      <c r="I232" s="289"/>
      <c r="J232" s="287"/>
      <c r="K232" s="287"/>
      <c r="L232" s="240"/>
      <c r="M232" s="431"/>
    </row>
    <row r="233" spans="1:13" s="52" customFormat="1" ht="20.25" customHeight="1" x14ac:dyDescent="0.25">
      <c r="A233" s="382"/>
      <c r="B233" s="342"/>
      <c r="C233" s="102" t="s">
        <v>169</v>
      </c>
      <c r="D233" s="162">
        <f>E233+F233+G233+H233+J233+I233+K233+L233</f>
        <v>51571.30000000001</v>
      </c>
      <c r="E233" s="130">
        <f>5655.2+121.2</f>
        <v>5776.4</v>
      </c>
      <c r="F233" s="130">
        <f>5958.8+86+189.5</f>
        <v>6234.3</v>
      </c>
      <c r="G233" s="162">
        <v>6483</v>
      </c>
      <c r="H233" s="162">
        <v>6552.1</v>
      </c>
      <c r="I233" s="220">
        <v>6552.1</v>
      </c>
      <c r="J233" s="162">
        <v>6657.8</v>
      </c>
      <c r="K233" s="162">
        <v>6657.8</v>
      </c>
      <c r="L233" s="162">
        <v>6657.8</v>
      </c>
      <c r="M233" s="432"/>
    </row>
    <row r="234" spans="1:13" s="52" customFormat="1" ht="22.5" customHeight="1" x14ac:dyDescent="0.25">
      <c r="A234" s="312"/>
      <c r="B234" s="397"/>
      <c r="C234" s="102" t="s">
        <v>121</v>
      </c>
      <c r="D234" s="162">
        <f>D231+D233</f>
        <v>434264.3</v>
      </c>
      <c r="E234" s="162">
        <f>E231+E233</f>
        <v>40326</v>
      </c>
      <c r="F234" s="162">
        <f t="shared" ref="F234:L234" si="60">F231+F233</f>
        <v>42819.9</v>
      </c>
      <c r="G234" s="162">
        <f t="shared" si="60"/>
        <v>44060.2</v>
      </c>
      <c r="H234" s="162">
        <f t="shared" si="60"/>
        <v>48378.1</v>
      </c>
      <c r="I234" s="220">
        <f t="shared" si="60"/>
        <v>58941.599999999999</v>
      </c>
      <c r="J234" s="162">
        <f t="shared" si="60"/>
        <v>66579.5</v>
      </c>
      <c r="K234" s="162">
        <f t="shared" si="60"/>
        <v>66579.5</v>
      </c>
      <c r="L234" s="162">
        <f t="shared" si="60"/>
        <v>66579.5</v>
      </c>
      <c r="M234" s="404"/>
    </row>
    <row r="235" spans="1:13" s="52" customFormat="1" ht="23.25" customHeight="1" x14ac:dyDescent="0.25">
      <c r="A235" s="72">
        <v>5</v>
      </c>
      <c r="B235" s="151" t="s">
        <v>160</v>
      </c>
      <c r="C235" s="271" t="s">
        <v>324</v>
      </c>
      <c r="D235" s="277"/>
      <c r="E235" s="277"/>
      <c r="F235" s="277"/>
      <c r="G235" s="277"/>
      <c r="H235" s="277"/>
      <c r="I235" s="277"/>
      <c r="J235" s="277"/>
      <c r="K235" s="278"/>
      <c r="L235" s="227"/>
      <c r="M235" s="163"/>
    </row>
    <row r="236" spans="1:13" s="52" customFormat="1" ht="24" customHeight="1" x14ac:dyDescent="0.25">
      <c r="A236" s="323"/>
      <c r="B236" s="303"/>
      <c r="C236" s="303" t="s">
        <v>122</v>
      </c>
      <c r="D236" s="284">
        <f>E236+F236+G236+H236+J236+I236+K236+L236</f>
        <v>80444.800000000003</v>
      </c>
      <c r="E236" s="282">
        <f>8194.1-124.1+91.2</f>
        <v>8161.2</v>
      </c>
      <c r="F236" s="282">
        <f>8445.7+76-20</f>
        <v>8501.7000000000007</v>
      </c>
      <c r="G236" s="282">
        <f>8754.5+90+7.5</f>
        <v>8852</v>
      </c>
      <c r="H236" s="286">
        <f>8844.5+32.5+251.9</f>
        <v>9128.9</v>
      </c>
      <c r="I236" s="288">
        <v>11418.6</v>
      </c>
      <c r="J236" s="286">
        <v>11460.8</v>
      </c>
      <c r="K236" s="286">
        <v>11460.8</v>
      </c>
      <c r="L236" s="229">
        <v>11460.8</v>
      </c>
      <c r="M236" s="281"/>
    </row>
    <row r="237" spans="1:13" s="52" customFormat="1" ht="10.5" customHeight="1" x14ac:dyDescent="0.25">
      <c r="A237" s="323"/>
      <c r="B237" s="315"/>
      <c r="C237" s="303"/>
      <c r="D237" s="285"/>
      <c r="E237" s="283"/>
      <c r="F237" s="283"/>
      <c r="G237" s="283"/>
      <c r="H237" s="287"/>
      <c r="I237" s="289"/>
      <c r="J237" s="287"/>
      <c r="K237" s="287"/>
      <c r="L237" s="230"/>
      <c r="M237" s="281"/>
    </row>
    <row r="238" spans="1:13" s="52" customFormat="1" ht="28.5" customHeight="1" x14ac:dyDescent="0.25">
      <c r="A238" s="72">
        <v>6</v>
      </c>
      <c r="B238" s="151" t="s">
        <v>160</v>
      </c>
      <c r="C238" s="271" t="s">
        <v>365</v>
      </c>
      <c r="D238" s="277"/>
      <c r="E238" s="277"/>
      <c r="F238" s="277"/>
      <c r="G238" s="277"/>
      <c r="H238" s="277"/>
      <c r="I238" s="277"/>
      <c r="J238" s="277"/>
      <c r="K238" s="278"/>
      <c r="L238" s="227"/>
      <c r="M238" s="116"/>
    </row>
    <row r="239" spans="1:13" s="52" customFormat="1" ht="24" customHeight="1" x14ac:dyDescent="0.25">
      <c r="A239" s="71"/>
      <c r="B239" s="102"/>
      <c r="C239" s="102" t="s">
        <v>122</v>
      </c>
      <c r="D239" s="158">
        <f>E239+F239+G239+H239+J239+I239+K239+L239</f>
        <v>1574.3</v>
      </c>
      <c r="E239" s="124">
        <f>264-58-1.7</f>
        <v>204.3</v>
      </c>
      <c r="F239" s="124">
        <f>265-58</f>
        <v>207</v>
      </c>
      <c r="G239" s="124">
        <f>222-57.5</f>
        <v>164.5</v>
      </c>
      <c r="H239" s="124">
        <f>222-56.5</f>
        <v>165.5</v>
      </c>
      <c r="I239" s="208">
        <v>167</v>
      </c>
      <c r="J239" s="124">
        <v>222</v>
      </c>
      <c r="K239" s="124">
        <v>222</v>
      </c>
      <c r="L239" s="233">
        <v>222</v>
      </c>
      <c r="M239" s="164"/>
    </row>
    <row r="240" spans="1:13" s="52" customFormat="1" ht="23.25" hidden="1" x14ac:dyDescent="0.25">
      <c r="A240" s="165"/>
      <c r="B240" s="102"/>
      <c r="C240" s="102" t="s">
        <v>350</v>
      </c>
      <c r="D240" s="158">
        <f t="shared" ref="D240:K240" si="61">D241+D242</f>
        <v>641422.50000000012</v>
      </c>
      <c r="E240" s="158">
        <f t="shared" si="61"/>
        <v>65368</v>
      </c>
      <c r="F240" s="158">
        <f t="shared" si="61"/>
        <v>64407.7</v>
      </c>
      <c r="G240" s="158">
        <f t="shared" si="61"/>
        <v>64896.799999999996</v>
      </c>
      <c r="H240" s="158">
        <f t="shared" si="61"/>
        <v>70941.400000000009</v>
      </c>
      <c r="I240" s="221">
        <f t="shared" si="61"/>
        <v>87959.500000000015</v>
      </c>
      <c r="J240" s="158">
        <f t="shared" si="61"/>
        <v>95949.700000000012</v>
      </c>
      <c r="K240" s="158">
        <f t="shared" si="61"/>
        <v>95949.700000000012</v>
      </c>
      <c r="L240" s="228"/>
      <c r="M240" s="164"/>
    </row>
    <row r="241" spans="1:13" s="52" customFormat="1" ht="23.25" hidden="1" x14ac:dyDescent="0.35">
      <c r="A241" s="165"/>
      <c r="B241" s="103"/>
      <c r="C241" s="102" t="s">
        <v>122</v>
      </c>
      <c r="D241" s="158">
        <f t="shared" ref="D241:K241" si="62">D223+D225+D228+D231+D236+D239</f>
        <v>589851.20000000007</v>
      </c>
      <c r="E241" s="158">
        <f t="shared" si="62"/>
        <v>59591.6</v>
      </c>
      <c r="F241" s="158">
        <f t="shared" si="62"/>
        <v>58173.399999999994</v>
      </c>
      <c r="G241" s="158">
        <f t="shared" si="62"/>
        <v>58413.799999999996</v>
      </c>
      <c r="H241" s="158">
        <f t="shared" si="62"/>
        <v>64389.3</v>
      </c>
      <c r="I241" s="221">
        <f t="shared" si="62"/>
        <v>81407.400000000009</v>
      </c>
      <c r="J241" s="158">
        <f t="shared" si="62"/>
        <v>89291.900000000009</v>
      </c>
      <c r="K241" s="158">
        <f t="shared" si="62"/>
        <v>89291.900000000009</v>
      </c>
      <c r="L241" s="228"/>
      <c r="M241" s="164"/>
    </row>
    <row r="242" spans="1:13" s="52" customFormat="1" ht="23.25" hidden="1" x14ac:dyDescent="0.35">
      <c r="A242" s="165"/>
      <c r="B242" s="103"/>
      <c r="C242" s="102" t="s">
        <v>169</v>
      </c>
      <c r="D242" s="158">
        <f t="shared" ref="D242:K242" si="63">D233</f>
        <v>51571.30000000001</v>
      </c>
      <c r="E242" s="158">
        <f t="shared" si="63"/>
        <v>5776.4</v>
      </c>
      <c r="F242" s="158">
        <f t="shared" si="63"/>
        <v>6234.3</v>
      </c>
      <c r="G242" s="158">
        <f t="shared" si="63"/>
        <v>6483</v>
      </c>
      <c r="H242" s="158">
        <f t="shared" si="63"/>
        <v>6552.1</v>
      </c>
      <c r="I242" s="221">
        <f t="shared" si="63"/>
        <v>6552.1</v>
      </c>
      <c r="J242" s="158">
        <f t="shared" si="63"/>
        <v>6657.8</v>
      </c>
      <c r="K242" s="158">
        <f t="shared" si="63"/>
        <v>6657.8</v>
      </c>
      <c r="L242" s="228"/>
      <c r="M242" s="164"/>
    </row>
    <row r="243" spans="1:13" s="52" customFormat="1" ht="23.25" hidden="1" x14ac:dyDescent="0.35">
      <c r="A243" s="165"/>
      <c r="B243" s="103"/>
      <c r="C243" s="102" t="s">
        <v>194</v>
      </c>
      <c r="D243" s="158"/>
      <c r="E243" s="158"/>
      <c r="F243" s="158"/>
      <c r="G243" s="158"/>
      <c r="H243" s="158"/>
      <c r="I243" s="221"/>
      <c r="J243" s="158"/>
      <c r="K243" s="158"/>
      <c r="L243" s="228"/>
      <c r="M243" s="164"/>
    </row>
    <row r="244" spans="1:13" s="52" customFormat="1" ht="44.25" customHeight="1" x14ac:dyDescent="0.35">
      <c r="A244" s="165" t="s">
        <v>368</v>
      </c>
      <c r="B244" s="155" t="s">
        <v>160</v>
      </c>
      <c r="C244" s="271" t="s">
        <v>369</v>
      </c>
      <c r="D244" s="272"/>
      <c r="E244" s="272"/>
      <c r="F244" s="272"/>
      <c r="G244" s="272"/>
      <c r="H244" s="272"/>
      <c r="I244" s="273"/>
      <c r="J244" s="158"/>
      <c r="K244" s="158"/>
      <c r="L244" s="228"/>
      <c r="M244" s="164"/>
    </row>
    <row r="245" spans="1:13" s="52" customFormat="1" ht="23.25" x14ac:dyDescent="0.35">
      <c r="A245" s="165"/>
      <c r="B245" s="155"/>
      <c r="C245" s="102" t="s">
        <v>122</v>
      </c>
      <c r="D245" s="158">
        <f>E245+F245+G245+H245+I245+J245+K245</f>
        <v>461.4</v>
      </c>
      <c r="E245" s="158">
        <v>0</v>
      </c>
      <c r="F245" s="158">
        <v>0</v>
      </c>
      <c r="G245" s="158">
        <v>0</v>
      </c>
      <c r="H245" s="158">
        <v>195.5</v>
      </c>
      <c r="I245" s="221">
        <v>265.89999999999998</v>
      </c>
      <c r="J245" s="158">
        <v>0</v>
      </c>
      <c r="K245" s="158">
        <v>0</v>
      </c>
      <c r="L245" s="228">
        <v>0</v>
      </c>
      <c r="M245" s="164"/>
    </row>
    <row r="246" spans="1:13" s="52" customFormat="1" ht="46.5" customHeight="1" x14ac:dyDescent="0.35">
      <c r="A246" s="165" t="s">
        <v>370</v>
      </c>
      <c r="B246" s="155" t="s">
        <v>160</v>
      </c>
      <c r="C246" s="271" t="s">
        <v>371</v>
      </c>
      <c r="D246" s="272"/>
      <c r="E246" s="272"/>
      <c r="F246" s="272"/>
      <c r="G246" s="272"/>
      <c r="H246" s="272"/>
      <c r="I246" s="272"/>
      <c r="J246" s="272"/>
      <c r="K246" s="273"/>
      <c r="L246" s="226"/>
      <c r="M246" s="164"/>
    </row>
    <row r="247" spans="1:13" s="52" customFormat="1" ht="23.25" x14ac:dyDescent="0.35">
      <c r="A247" s="126"/>
      <c r="B247" s="103"/>
      <c r="C247" s="102" t="s">
        <v>122</v>
      </c>
      <c r="D247" s="158">
        <f>E247+F247+G247+H247+I247+J247+K247</f>
        <v>57.5</v>
      </c>
      <c r="E247" s="158">
        <v>0</v>
      </c>
      <c r="F247" s="158">
        <v>0</v>
      </c>
      <c r="G247" s="158">
        <v>0</v>
      </c>
      <c r="H247" s="158">
        <v>57.5</v>
      </c>
      <c r="I247" s="221">
        <v>0</v>
      </c>
      <c r="J247" s="158">
        <v>0</v>
      </c>
      <c r="K247" s="158">
        <v>0</v>
      </c>
      <c r="L247" s="228">
        <v>0</v>
      </c>
      <c r="M247" s="164"/>
    </row>
    <row r="248" spans="1:13" s="52" customFormat="1" ht="23.25" x14ac:dyDescent="0.35">
      <c r="A248" s="126"/>
      <c r="B248" s="103"/>
      <c r="C248" s="102" t="s">
        <v>350</v>
      </c>
      <c r="D248" s="158">
        <f>D249+D250+D251+D252</f>
        <v>641941.4</v>
      </c>
      <c r="E248" s="158">
        <f t="shared" ref="E248:L248" si="64">E249+E250+E251+E252</f>
        <v>65368</v>
      </c>
      <c r="F248" s="158">
        <f t="shared" si="64"/>
        <v>64407.7</v>
      </c>
      <c r="G248" s="158">
        <f t="shared" si="64"/>
        <v>64896.799999999996</v>
      </c>
      <c r="H248" s="158">
        <f t="shared" si="64"/>
        <v>71194.400000000009</v>
      </c>
      <c r="I248" s="221">
        <f t="shared" si="64"/>
        <v>88225.400000000009</v>
      </c>
      <c r="J248" s="158">
        <f t="shared" si="64"/>
        <v>95949.700000000012</v>
      </c>
      <c r="K248" s="158">
        <f t="shared" si="64"/>
        <v>95949.700000000012</v>
      </c>
      <c r="L248" s="248">
        <f t="shared" si="64"/>
        <v>95949.700000000012</v>
      </c>
      <c r="M248" s="164"/>
    </row>
    <row r="249" spans="1:13" s="52" customFormat="1" ht="23.25" x14ac:dyDescent="0.35">
      <c r="A249" s="126"/>
      <c r="B249" s="103"/>
      <c r="C249" s="102" t="s">
        <v>122</v>
      </c>
      <c r="D249" s="158">
        <f>E249+F249+G249+H249+I249+J249+K249+L249</f>
        <v>590370.1</v>
      </c>
      <c r="E249" s="158">
        <f>E223+E225+E228+E231+E236+E239+E245+E247</f>
        <v>59591.6</v>
      </c>
      <c r="F249" s="158">
        <f t="shared" ref="F249:L249" si="65">F223+F225+F228+F231+F236+F239+F245+F247</f>
        <v>58173.399999999994</v>
      </c>
      <c r="G249" s="158">
        <f t="shared" si="65"/>
        <v>58413.799999999996</v>
      </c>
      <c r="H249" s="158">
        <f t="shared" si="65"/>
        <v>64642.3</v>
      </c>
      <c r="I249" s="221">
        <f>I223+I225+I228+I231+I236+I239+I245+I247</f>
        <v>81673.3</v>
      </c>
      <c r="J249" s="158">
        <f t="shared" si="65"/>
        <v>89291.900000000009</v>
      </c>
      <c r="K249" s="158">
        <f t="shared" si="65"/>
        <v>89291.900000000009</v>
      </c>
      <c r="L249" s="248">
        <f t="shared" si="65"/>
        <v>89291.900000000009</v>
      </c>
      <c r="M249" s="164"/>
    </row>
    <row r="250" spans="1:13" s="52" customFormat="1" ht="23.25" x14ac:dyDescent="0.35">
      <c r="A250" s="126"/>
      <c r="B250" s="103"/>
      <c r="C250" s="102" t="s">
        <v>169</v>
      </c>
      <c r="D250" s="158">
        <f>E250+F250+G250+H250+I250+J250+K250+L250</f>
        <v>51571.30000000001</v>
      </c>
      <c r="E250" s="158">
        <f>E233</f>
        <v>5776.4</v>
      </c>
      <c r="F250" s="158">
        <f t="shared" ref="F250:L250" si="66">F233</f>
        <v>6234.3</v>
      </c>
      <c r="G250" s="158">
        <f t="shared" si="66"/>
        <v>6483</v>
      </c>
      <c r="H250" s="158">
        <f t="shared" si="66"/>
        <v>6552.1</v>
      </c>
      <c r="I250" s="221">
        <f t="shared" si="66"/>
        <v>6552.1</v>
      </c>
      <c r="J250" s="158">
        <f t="shared" si="66"/>
        <v>6657.8</v>
      </c>
      <c r="K250" s="158">
        <f t="shared" si="66"/>
        <v>6657.8</v>
      </c>
      <c r="L250" s="248">
        <f t="shared" si="66"/>
        <v>6657.8</v>
      </c>
      <c r="M250" s="164"/>
    </row>
    <row r="251" spans="1:13" s="52" customFormat="1" ht="23.25" x14ac:dyDescent="0.35">
      <c r="A251" s="126"/>
      <c r="B251" s="103"/>
      <c r="C251" s="102" t="s">
        <v>194</v>
      </c>
      <c r="D251" s="158">
        <f t="shared" ref="D251" si="67">E251+F251+G251+H251+I251+J251+K251</f>
        <v>0</v>
      </c>
      <c r="E251" s="158">
        <f>0</f>
        <v>0</v>
      </c>
      <c r="F251" s="158">
        <f>0</f>
        <v>0</v>
      </c>
      <c r="G251" s="158">
        <f>0</f>
        <v>0</v>
      </c>
      <c r="H251" s="158">
        <f>0</f>
        <v>0</v>
      </c>
      <c r="I251" s="221">
        <f>0</f>
        <v>0</v>
      </c>
      <c r="J251" s="158">
        <f>0</f>
        <v>0</v>
      </c>
      <c r="K251" s="158">
        <f>0</f>
        <v>0</v>
      </c>
      <c r="L251" s="248">
        <f>0</f>
        <v>0</v>
      </c>
      <c r="M251" s="164"/>
    </row>
    <row r="252" spans="1:13" s="52" customFormat="1" ht="46.5" x14ac:dyDescent="0.35">
      <c r="A252" s="126"/>
      <c r="B252" s="103"/>
      <c r="C252" s="102" t="s">
        <v>352</v>
      </c>
      <c r="D252" s="158">
        <f t="shared" ref="D252" si="68">E252+F252+G252+H252+I252+J252+K252</f>
        <v>0</v>
      </c>
      <c r="E252" s="158">
        <f>0</f>
        <v>0</v>
      </c>
      <c r="F252" s="158">
        <f>0</f>
        <v>0</v>
      </c>
      <c r="G252" s="158">
        <f>0</f>
        <v>0</v>
      </c>
      <c r="H252" s="158">
        <f>0</f>
        <v>0</v>
      </c>
      <c r="I252" s="221">
        <f>0</f>
        <v>0</v>
      </c>
      <c r="J252" s="158">
        <f>0</f>
        <v>0</v>
      </c>
      <c r="K252" s="158">
        <f>0</f>
        <v>0</v>
      </c>
      <c r="L252" s="228">
        <v>0</v>
      </c>
      <c r="M252" s="164"/>
    </row>
    <row r="253" spans="1:13" s="52" customFormat="1" ht="23.25" x14ac:dyDescent="0.35">
      <c r="A253" s="126"/>
      <c r="B253" s="103"/>
      <c r="C253" s="271" t="s">
        <v>357</v>
      </c>
      <c r="D253" s="277"/>
      <c r="E253" s="277"/>
      <c r="F253" s="277"/>
      <c r="G253" s="277"/>
      <c r="H253" s="277"/>
      <c r="I253" s="277"/>
      <c r="J253" s="277"/>
      <c r="K253" s="277"/>
      <c r="L253" s="277"/>
      <c r="M253" s="278"/>
    </row>
    <row r="254" spans="1:13" s="52" customFormat="1" ht="23.25" x14ac:dyDescent="0.35">
      <c r="A254" s="166">
        <v>5</v>
      </c>
      <c r="B254" s="108" t="s">
        <v>113</v>
      </c>
      <c r="C254" s="301" t="s">
        <v>326</v>
      </c>
      <c r="D254" s="316"/>
      <c r="E254" s="316"/>
      <c r="F254" s="316"/>
      <c r="G254" s="316"/>
      <c r="H254" s="316"/>
      <c r="I254" s="316"/>
      <c r="J254" s="316"/>
      <c r="K254" s="316"/>
      <c r="L254" s="316"/>
      <c r="M254" s="316"/>
    </row>
    <row r="255" spans="1:13" s="52" customFormat="1" ht="23.25" x14ac:dyDescent="0.25">
      <c r="A255" s="167" t="s">
        <v>351</v>
      </c>
      <c r="B255" s="108" t="s">
        <v>320</v>
      </c>
      <c r="C255" s="301" t="s">
        <v>327</v>
      </c>
      <c r="D255" s="316"/>
      <c r="E255" s="316"/>
      <c r="F255" s="316"/>
      <c r="G255" s="316"/>
      <c r="H255" s="316"/>
      <c r="I255" s="316"/>
      <c r="J255" s="316"/>
      <c r="K255" s="316"/>
      <c r="L255" s="316"/>
      <c r="M255" s="316"/>
    </row>
    <row r="256" spans="1:13" s="52" customFormat="1" ht="23.25" x14ac:dyDescent="0.25">
      <c r="A256" s="168">
        <v>1</v>
      </c>
      <c r="B256" s="108" t="s">
        <v>160</v>
      </c>
      <c r="C256" s="301" t="s">
        <v>327</v>
      </c>
      <c r="D256" s="316"/>
      <c r="E256" s="316"/>
      <c r="F256" s="316"/>
      <c r="G256" s="316"/>
      <c r="H256" s="316"/>
      <c r="I256" s="316"/>
      <c r="J256" s="316"/>
      <c r="K256" s="316"/>
      <c r="L256" s="316"/>
      <c r="M256" s="316"/>
    </row>
    <row r="257" spans="1:13" s="52" customFormat="1" ht="15" hidden="1" customHeight="1" x14ac:dyDescent="0.25">
      <c r="A257" s="314" t="s">
        <v>123</v>
      </c>
      <c r="B257" s="303" t="s">
        <v>328</v>
      </c>
      <c r="C257" s="303" t="s">
        <v>122</v>
      </c>
      <c r="D257" s="317">
        <f>E257+F257+G257+H257+J257+I257+K257+L257</f>
        <v>6660.5</v>
      </c>
      <c r="E257" s="317">
        <f>E261+E264+E267+E269</f>
        <v>2303.9</v>
      </c>
      <c r="F257" s="317">
        <f>F261+F264+F267+F269</f>
        <v>1132.9000000000001</v>
      </c>
      <c r="G257" s="317">
        <f>G261+G264+G269+G267</f>
        <v>0</v>
      </c>
      <c r="H257" s="317">
        <v>539.9</v>
      </c>
      <c r="I257" s="319">
        <v>774.4</v>
      </c>
      <c r="J257" s="317">
        <v>954.7</v>
      </c>
      <c r="K257" s="317">
        <v>0</v>
      </c>
      <c r="L257" s="251">
        <v>954.7</v>
      </c>
      <c r="M257" s="320"/>
    </row>
    <row r="258" spans="1:13" s="52" customFormat="1" ht="15" hidden="1" customHeight="1" x14ac:dyDescent="0.25">
      <c r="A258" s="314"/>
      <c r="B258" s="303"/>
      <c r="C258" s="303"/>
      <c r="D258" s="318"/>
      <c r="E258" s="317"/>
      <c r="F258" s="317"/>
      <c r="G258" s="317"/>
      <c r="H258" s="317"/>
      <c r="I258" s="319"/>
      <c r="J258" s="317"/>
      <c r="K258" s="317"/>
      <c r="L258" s="252"/>
      <c r="M258" s="321"/>
    </row>
    <row r="259" spans="1:13" s="52" customFormat="1" ht="15" hidden="1" customHeight="1" x14ac:dyDescent="0.25">
      <c r="A259" s="314"/>
      <c r="B259" s="303"/>
      <c r="C259" s="303"/>
      <c r="D259" s="318"/>
      <c r="E259" s="317"/>
      <c r="F259" s="317"/>
      <c r="G259" s="317"/>
      <c r="H259" s="317"/>
      <c r="I259" s="319"/>
      <c r="J259" s="317"/>
      <c r="K259" s="317"/>
      <c r="L259" s="252"/>
      <c r="M259" s="321"/>
    </row>
    <row r="260" spans="1:13" s="52" customFormat="1" ht="252" hidden="1" customHeight="1" x14ac:dyDescent="0.25">
      <c r="A260" s="300"/>
      <c r="B260" s="308"/>
      <c r="C260" s="134" t="s">
        <v>169</v>
      </c>
      <c r="D260" s="169">
        <f>E260+F260+G260+H260+J260+I260+K260+L260</f>
        <v>18808.3</v>
      </c>
      <c r="E260" s="169">
        <f t="shared" ref="E260:G260" si="69">E262+E265</f>
        <v>4858</v>
      </c>
      <c r="F260" s="169">
        <f t="shared" si="69"/>
        <v>1870.5</v>
      </c>
      <c r="G260" s="169">
        <f t="shared" si="69"/>
        <v>0</v>
      </c>
      <c r="H260" s="169">
        <v>1930.5</v>
      </c>
      <c r="I260" s="222">
        <f>1929.7+408.9</f>
        <v>2338.6</v>
      </c>
      <c r="J260" s="169">
        <v>2502.4</v>
      </c>
      <c r="K260" s="169">
        <v>2601.9</v>
      </c>
      <c r="L260" s="231">
        <v>2706.4</v>
      </c>
      <c r="M260" s="322"/>
    </row>
    <row r="261" spans="1:13" s="52" customFormat="1" ht="18.75" hidden="1" customHeight="1" x14ac:dyDescent="0.25">
      <c r="A261" s="310" t="s">
        <v>124</v>
      </c>
      <c r="B261" s="303" t="s">
        <v>329</v>
      </c>
      <c r="C261" s="102" t="s">
        <v>122</v>
      </c>
      <c r="D261" s="169">
        <f t="shared" ref="D261:D266" si="70">E261+F261+G261+H261+J261+I261+K261</f>
        <v>774.1</v>
      </c>
      <c r="E261" s="158">
        <v>774.1</v>
      </c>
      <c r="F261" s="158">
        <v>0</v>
      </c>
      <c r="G261" s="158">
        <v>0</v>
      </c>
      <c r="H261" s="158">
        <v>0</v>
      </c>
      <c r="I261" s="221">
        <v>0</v>
      </c>
      <c r="J261" s="158">
        <v>0</v>
      </c>
      <c r="K261" s="158">
        <v>0</v>
      </c>
      <c r="L261" s="228"/>
      <c r="M261" s="303" t="s">
        <v>330</v>
      </c>
    </row>
    <row r="262" spans="1:13" s="52" customFormat="1" ht="97.5" hidden="1" customHeight="1" x14ac:dyDescent="0.25">
      <c r="A262" s="311"/>
      <c r="B262" s="303"/>
      <c r="C262" s="102" t="s">
        <v>169</v>
      </c>
      <c r="D262" s="169">
        <f t="shared" si="70"/>
        <v>2935</v>
      </c>
      <c r="E262" s="158">
        <v>2935</v>
      </c>
      <c r="F262" s="158">
        <v>0</v>
      </c>
      <c r="G262" s="158">
        <v>0</v>
      </c>
      <c r="H262" s="158">
        <v>0</v>
      </c>
      <c r="I262" s="221">
        <v>0</v>
      </c>
      <c r="J262" s="158">
        <v>0</v>
      </c>
      <c r="K262" s="158">
        <v>0</v>
      </c>
      <c r="L262" s="228"/>
      <c r="M262" s="313"/>
    </row>
    <row r="263" spans="1:13" s="52" customFormat="1" ht="135.75" hidden="1" customHeight="1" x14ac:dyDescent="0.25">
      <c r="A263" s="312"/>
      <c r="B263" s="102" t="s">
        <v>331</v>
      </c>
      <c r="C263" s="102" t="s">
        <v>122</v>
      </c>
      <c r="D263" s="169">
        <f t="shared" si="70"/>
        <v>326.2</v>
      </c>
      <c r="E263" s="158">
        <v>326.2</v>
      </c>
      <c r="F263" s="158">
        <v>0</v>
      </c>
      <c r="G263" s="158">
        <v>0</v>
      </c>
      <c r="H263" s="158">
        <v>0</v>
      </c>
      <c r="I263" s="221">
        <v>0</v>
      </c>
      <c r="J263" s="158">
        <v>0</v>
      </c>
      <c r="K263" s="158">
        <v>0</v>
      </c>
      <c r="L263" s="228"/>
      <c r="M263" s="313"/>
    </row>
    <row r="264" spans="1:13" s="52" customFormat="1" ht="18.75" hidden="1" customHeight="1" x14ac:dyDescent="0.25">
      <c r="A264" s="314" t="s">
        <v>127</v>
      </c>
      <c r="B264" s="303" t="s">
        <v>332</v>
      </c>
      <c r="C264" s="102" t="s">
        <v>122</v>
      </c>
      <c r="D264" s="169">
        <f t="shared" si="70"/>
        <v>1018.6</v>
      </c>
      <c r="E264" s="158">
        <v>481.4</v>
      </c>
      <c r="F264" s="158">
        <f>262.2+212.8-7+69.2</f>
        <v>537.20000000000005</v>
      </c>
      <c r="G264" s="158">
        <f>400.2-400.2</f>
        <v>0</v>
      </c>
      <c r="H264" s="158">
        <v>0</v>
      </c>
      <c r="I264" s="221">
        <v>0</v>
      </c>
      <c r="J264" s="158">
        <v>0</v>
      </c>
      <c r="K264" s="158">
        <v>0</v>
      </c>
      <c r="L264" s="228"/>
      <c r="M264" s="281" t="s">
        <v>333</v>
      </c>
    </row>
    <row r="265" spans="1:13" s="52" customFormat="1" ht="201" hidden="1" customHeight="1" x14ac:dyDescent="0.25">
      <c r="A265" s="300"/>
      <c r="B265" s="315"/>
      <c r="C265" s="102" t="s">
        <v>169</v>
      </c>
      <c r="D265" s="169">
        <f>E265+F265+G265+H265+J265+I265+K265+L265</f>
        <v>15873.3</v>
      </c>
      <c r="E265" s="158">
        <v>1923</v>
      </c>
      <c r="F265" s="158">
        <v>1870.5</v>
      </c>
      <c r="G265" s="158">
        <v>0</v>
      </c>
      <c r="H265" s="158">
        <v>1930.5</v>
      </c>
      <c r="I265" s="221">
        <v>2338.6</v>
      </c>
      <c r="J265" s="158">
        <v>2502.4</v>
      </c>
      <c r="K265" s="158">
        <v>2601.9</v>
      </c>
      <c r="L265" s="228">
        <v>2706.4</v>
      </c>
      <c r="M265" s="281"/>
    </row>
    <row r="266" spans="1:13" s="52" customFormat="1" ht="112.5" hidden="1" customHeight="1" x14ac:dyDescent="0.35">
      <c r="A266" s="170"/>
      <c r="B266" s="171" t="s">
        <v>334</v>
      </c>
      <c r="C266" s="102" t="str">
        <f>$C$21</f>
        <v>Всего</v>
      </c>
      <c r="D266" s="169">
        <f t="shared" si="70"/>
        <v>517.4</v>
      </c>
      <c r="E266" s="158">
        <v>262.2</v>
      </c>
      <c r="F266" s="158">
        <v>255.2</v>
      </c>
      <c r="G266" s="158">
        <v>0</v>
      </c>
      <c r="H266" s="158">
        <v>0</v>
      </c>
      <c r="I266" s="221">
        <v>0</v>
      </c>
      <c r="J266" s="158">
        <v>0</v>
      </c>
      <c r="K266" s="158">
        <v>0</v>
      </c>
      <c r="L266" s="228">
        <v>0</v>
      </c>
      <c r="M266" s="306"/>
    </row>
    <row r="267" spans="1:13" s="52" customFormat="1" ht="18.75" hidden="1" customHeight="1" x14ac:dyDescent="0.25">
      <c r="A267" s="299" t="s">
        <v>128</v>
      </c>
      <c r="B267" s="303" t="s">
        <v>335</v>
      </c>
      <c r="C267" s="303" t="s">
        <v>122</v>
      </c>
      <c r="D267" s="286">
        <f>E267+F267+G267+H267+J267+I267+K267</f>
        <v>120</v>
      </c>
      <c r="E267" s="284">
        <v>120</v>
      </c>
      <c r="F267" s="284">
        <f>120-99.5-20.5</f>
        <v>0</v>
      </c>
      <c r="G267" s="284">
        <v>0</v>
      </c>
      <c r="H267" s="286">
        <v>0</v>
      </c>
      <c r="I267" s="218">
        <v>0</v>
      </c>
      <c r="J267" s="286">
        <v>0</v>
      </c>
      <c r="K267" s="159">
        <v>0</v>
      </c>
      <c r="L267" s="229">
        <v>0</v>
      </c>
      <c r="M267" s="281" t="s">
        <v>336</v>
      </c>
    </row>
    <row r="268" spans="1:13" s="52" customFormat="1" ht="127.5" hidden="1" customHeight="1" x14ac:dyDescent="0.25">
      <c r="A268" s="299"/>
      <c r="B268" s="303"/>
      <c r="C268" s="308"/>
      <c r="D268" s="309"/>
      <c r="E268" s="307"/>
      <c r="F268" s="307"/>
      <c r="G268" s="307"/>
      <c r="H268" s="287"/>
      <c r="I268" s="219"/>
      <c r="J268" s="287"/>
      <c r="K268" s="160"/>
      <c r="L268" s="230"/>
      <c r="M268" s="281"/>
    </row>
    <row r="269" spans="1:13" s="52" customFormat="1" ht="116.25" hidden="1" x14ac:dyDescent="0.25">
      <c r="A269" s="167" t="s">
        <v>179</v>
      </c>
      <c r="B269" s="102" t="s">
        <v>337</v>
      </c>
      <c r="C269" s="102" t="s">
        <v>122</v>
      </c>
      <c r="D269" s="158">
        <f>E269+F269+G269+H269+J269+I269+K269+L269</f>
        <v>4747.8</v>
      </c>
      <c r="E269" s="158">
        <v>928.4</v>
      </c>
      <c r="F269" s="158">
        <f>643.7+145+7-74.1-69.2-56.7</f>
        <v>595.69999999999993</v>
      </c>
      <c r="G269" s="158">
        <f>854.4-854.4</f>
        <v>0</v>
      </c>
      <c r="H269" s="158">
        <v>539.9</v>
      </c>
      <c r="I269" s="221">
        <v>774.4</v>
      </c>
      <c r="J269" s="158">
        <v>954.7</v>
      </c>
      <c r="K269" s="158">
        <v>0</v>
      </c>
      <c r="L269" s="228">
        <v>954.7</v>
      </c>
      <c r="M269" s="116" t="s">
        <v>338</v>
      </c>
    </row>
    <row r="270" spans="1:13" s="52" customFormat="1" ht="93" hidden="1" x14ac:dyDescent="0.25">
      <c r="A270" s="167" t="s">
        <v>129</v>
      </c>
      <c r="B270" s="102" t="s">
        <v>339</v>
      </c>
      <c r="C270" s="102" t="s">
        <v>122</v>
      </c>
      <c r="D270" s="158">
        <f>E270+F270+G270+H270+J270+I270+K270</f>
        <v>450</v>
      </c>
      <c r="E270" s="158">
        <v>150</v>
      </c>
      <c r="F270" s="158">
        <v>100</v>
      </c>
      <c r="G270" s="158">
        <f>100-100</f>
        <v>0</v>
      </c>
      <c r="H270" s="158">
        <v>100</v>
      </c>
      <c r="I270" s="221">
        <v>100</v>
      </c>
      <c r="J270" s="158">
        <v>0</v>
      </c>
      <c r="K270" s="158">
        <v>0</v>
      </c>
      <c r="L270" s="228">
        <v>0</v>
      </c>
      <c r="M270" s="116" t="s">
        <v>340</v>
      </c>
    </row>
    <row r="271" spans="1:13" s="52" customFormat="1" ht="69.75" hidden="1" x14ac:dyDescent="0.25">
      <c r="A271" s="167" t="s">
        <v>130</v>
      </c>
      <c r="B271" s="102" t="s">
        <v>341</v>
      </c>
      <c r="C271" s="102" t="s">
        <v>122</v>
      </c>
      <c r="D271" s="158">
        <f>E271+F271+G271+H271+J271+I271+K271+L271</f>
        <v>467.7</v>
      </c>
      <c r="E271" s="124">
        <f>100-6.3</f>
        <v>93.7</v>
      </c>
      <c r="F271" s="124">
        <f>100-26</f>
        <v>74</v>
      </c>
      <c r="G271" s="124">
        <f>100-100</f>
        <v>0</v>
      </c>
      <c r="H271" s="124">
        <v>0</v>
      </c>
      <c r="I271" s="208">
        <v>100</v>
      </c>
      <c r="J271" s="124">
        <v>100</v>
      </c>
      <c r="K271" s="158">
        <v>0</v>
      </c>
      <c r="L271" s="228">
        <v>100</v>
      </c>
      <c r="M271" s="116" t="s">
        <v>342</v>
      </c>
    </row>
    <row r="272" spans="1:13" s="52" customFormat="1" ht="167.25" hidden="1" customHeight="1" x14ac:dyDescent="0.25">
      <c r="A272" s="167" t="s">
        <v>156</v>
      </c>
      <c r="B272" s="102" t="s">
        <v>343</v>
      </c>
      <c r="C272" s="102" t="s">
        <v>122</v>
      </c>
      <c r="D272" s="158">
        <f>E272+F272+G272+H272+J272+I272+K272</f>
        <v>60</v>
      </c>
      <c r="E272" s="158">
        <v>60</v>
      </c>
      <c r="F272" s="158">
        <v>0</v>
      </c>
      <c r="G272" s="158">
        <v>0</v>
      </c>
      <c r="H272" s="158">
        <v>0</v>
      </c>
      <c r="I272" s="221">
        <v>0</v>
      </c>
      <c r="J272" s="158">
        <v>0</v>
      </c>
      <c r="K272" s="158">
        <v>0</v>
      </c>
      <c r="L272" s="228">
        <v>0</v>
      </c>
      <c r="M272" s="116" t="s">
        <v>344</v>
      </c>
    </row>
    <row r="273" spans="1:13" s="52" customFormat="1" ht="116.25" hidden="1" x14ac:dyDescent="0.25">
      <c r="A273" s="167" t="s">
        <v>323</v>
      </c>
      <c r="B273" s="122" t="s">
        <v>345</v>
      </c>
      <c r="C273" s="102" t="s">
        <v>122</v>
      </c>
      <c r="D273" s="158">
        <v>0</v>
      </c>
      <c r="E273" s="158">
        <v>0</v>
      </c>
      <c r="F273" s="158">
        <v>0</v>
      </c>
      <c r="G273" s="158">
        <v>0</v>
      </c>
      <c r="H273" s="158">
        <v>0</v>
      </c>
      <c r="I273" s="221">
        <v>0</v>
      </c>
      <c r="J273" s="158">
        <v>0</v>
      </c>
      <c r="K273" s="158">
        <v>0</v>
      </c>
      <c r="L273" s="228"/>
      <c r="M273" s="116" t="s">
        <v>346</v>
      </c>
    </row>
    <row r="274" spans="1:13" s="190" customFormat="1" ht="23.25" x14ac:dyDescent="0.25">
      <c r="A274" s="189"/>
      <c r="B274" s="182"/>
      <c r="C274" s="182" t="s">
        <v>350</v>
      </c>
      <c r="D274" s="184">
        <f>D275+D276</f>
        <v>26446.5</v>
      </c>
      <c r="E274" s="184">
        <f t="shared" ref="E274:L274" si="71">E275+E276</f>
        <v>7465.6</v>
      </c>
      <c r="F274" s="184">
        <f t="shared" si="71"/>
        <v>3177.4</v>
      </c>
      <c r="G274" s="184">
        <f t="shared" si="71"/>
        <v>0</v>
      </c>
      <c r="H274" s="184">
        <f t="shared" si="71"/>
        <v>2570.4</v>
      </c>
      <c r="I274" s="221">
        <f t="shared" si="71"/>
        <v>3313</v>
      </c>
      <c r="J274" s="184">
        <f t="shared" si="71"/>
        <v>3557.1000000000004</v>
      </c>
      <c r="K274" s="184">
        <f t="shared" si="71"/>
        <v>2601.9</v>
      </c>
      <c r="L274" s="228">
        <f t="shared" si="71"/>
        <v>3761.1000000000004</v>
      </c>
      <c r="M274" s="183"/>
    </row>
    <row r="275" spans="1:13" s="52" customFormat="1" ht="23.25" x14ac:dyDescent="0.35">
      <c r="A275" s="126"/>
      <c r="B275" s="103"/>
      <c r="C275" s="102" t="s">
        <v>122</v>
      </c>
      <c r="D275" s="158">
        <f>E275+F275+G275+H275+I275+J275+K275+L275</f>
        <v>7638.1999999999989</v>
      </c>
      <c r="E275" s="158">
        <f>E257+E270+E271+E272+E273</f>
        <v>2607.6</v>
      </c>
      <c r="F275" s="180">
        <f t="shared" ref="F275:L275" si="72">F257+F270+F271+F272+F273</f>
        <v>1306.9000000000001</v>
      </c>
      <c r="G275" s="180">
        <f t="shared" si="72"/>
        <v>0</v>
      </c>
      <c r="H275" s="184">
        <f>H257+H270+H271+H272+H273</f>
        <v>639.9</v>
      </c>
      <c r="I275" s="221">
        <f>I257+I270+I271+I272+I273</f>
        <v>974.4</v>
      </c>
      <c r="J275" s="180">
        <f t="shared" si="72"/>
        <v>1054.7</v>
      </c>
      <c r="K275" s="180">
        <f t="shared" si="72"/>
        <v>0</v>
      </c>
      <c r="L275" s="228">
        <f t="shared" si="72"/>
        <v>1054.7</v>
      </c>
      <c r="M275" s="116"/>
    </row>
    <row r="276" spans="1:13" s="52" customFormat="1" ht="23.25" x14ac:dyDescent="0.35">
      <c r="A276" s="126"/>
      <c r="B276" s="103"/>
      <c r="C276" s="102" t="s">
        <v>169</v>
      </c>
      <c r="D276" s="178">
        <f>E276+F276+G276+H276+I276+J276+K276+L276</f>
        <v>18808.3</v>
      </c>
      <c r="E276" s="158">
        <f>E260</f>
        <v>4858</v>
      </c>
      <c r="F276" s="180">
        <f t="shared" ref="F276:L276" si="73">F260</f>
        <v>1870.5</v>
      </c>
      <c r="G276" s="180">
        <f t="shared" si="73"/>
        <v>0</v>
      </c>
      <c r="H276" s="180">
        <f t="shared" si="73"/>
        <v>1930.5</v>
      </c>
      <c r="I276" s="221">
        <f t="shared" si="73"/>
        <v>2338.6</v>
      </c>
      <c r="J276" s="180">
        <f t="shared" si="73"/>
        <v>2502.4</v>
      </c>
      <c r="K276" s="180">
        <f t="shared" si="73"/>
        <v>2601.9</v>
      </c>
      <c r="L276" s="248">
        <f t="shared" si="73"/>
        <v>2706.4</v>
      </c>
      <c r="M276" s="116"/>
    </row>
    <row r="277" spans="1:13" s="52" customFormat="1" ht="23.25" x14ac:dyDescent="0.35">
      <c r="A277" s="126"/>
      <c r="B277" s="103"/>
      <c r="C277" s="102" t="s">
        <v>194</v>
      </c>
      <c r="D277" s="158">
        <v>0</v>
      </c>
      <c r="E277" s="158">
        <v>0</v>
      </c>
      <c r="F277" s="158">
        <v>0</v>
      </c>
      <c r="G277" s="158">
        <v>0</v>
      </c>
      <c r="H277" s="158">
        <v>0</v>
      </c>
      <c r="I277" s="221">
        <v>0</v>
      </c>
      <c r="J277" s="158">
        <v>0</v>
      </c>
      <c r="K277" s="158">
        <v>0</v>
      </c>
      <c r="L277" s="228">
        <v>0</v>
      </c>
      <c r="M277" s="116"/>
    </row>
    <row r="278" spans="1:13" s="52" customFormat="1" ht="46.5" x14ac:dyDescent="0.35">
      <c r="A278" s="126"/>
      <c r="B278" s="103"/>
      <c r="C278" s="179" t="s">
        <v>352</v>
      </c>
      <c r="D278" s="188">
        <v>0</v>
      </c>
      <c r="E278" s="188">
        <v>0</v>
      </c>
      <c r="F278" s="188">
        <v>0</v>
      </c>
      <c r="G278" s="188">
        <v>0</v>
      </c>
      <c r="H278" s="188">
        <v>0</v>
      </c>
      <c r="I278" s="223">
        <v>0</v>
      </c>
      <c r="J278" s="188">
        <v>0</v>
      </c>
      <c r="K278" s="188">
        <v>0</v>
      </c>
      <c r="L278" s="188">
        <v>0</v>
      </c>
      <c r="M278" s="181"/>
    </row>
    <row r="279" spans="1:13" s="52" customFormat="1" ht="23.25" x14ac:dyDescent="0.25">
      <c r="A279" s="167" t="s">
        <v>132</v>
      </c>
      <c r="B279" s="122" t="s">
        <v>320</v>
      </c>
      <c r="C279" s="301" t="s">
        <v>347</v>
      </c>
      <c r="D279" s="302"/>
      <c r="E279" s="302"/>
      <c r="F279" s="302"/>
      <c r="G279" s="302"/>
      <c r="H279" s="302"/>
      <c r="I279" s="302"/>
      <c r="J279" s="302"/>
      <c r="K279" s="302"/>
      <c r="L279" s="302"/>
      <c r="M279" s="302"/>
    </row>
    <row r="280" spans="1:13" s="52" customFormat="1" ht="23.25" x14ac:dyDescent="0.25">
      <c r="A280" s="167" t="s">
        <v>132</v>
      </c>
      <c r="B280" s="122" t="s">
        <v>160</v>
      </c>
      <c r="C280" s="303" t="s">
        <v>347</v>
      </c>
      <c r="D280" s="304"/>
      <c r="E280" s="304"/>
      <c r="F280" s="304"/>
      <c r="G280" s="304"/>
      <c r="H280" s="304"/>
      <c r="I280" s="304"/>
      <c r="J280" s="304"/>
      <c r="K280" s="304"/>
      <c r="L280" s="304"/>
      <c r="M280" s="304"/>
    </row>
    <row r="281" spans="1:13" s="52" customFormat="1" ht="41.25" hidden="1" customHeight="1" x14ac:dyDescent="0.25">
      <c r="A281" s="299" t="s">
        <v>133</v>
      </c>
      <c r="B281" s="305" t="s">
        <v>329</v>
      </c>
      <c r="C281" s="102" t="s">
        <v>382</v>
      </c>
      <c r="D281" s="158">
        <f>E281+F281+G281+H281+J281+I281+K281+L281</f>
        <v>31958.199999999997</v>
      </c>
      <c r="E281" s="158">
        <v>0</v>
      </c>
      <c r="F281" s="158">
        <f>F283+447.9-74.1+74.1</f>
        <v>848.2</v>
      </c>
      <c r="G281" s="158">
        <v>0</v>
      </c>
      <c r="H281" s="158">
        <v>4597.1000000000004</v>
      </c>
      <c r="I281" s="221">
        <v>6336.1</v>
      </c>
      <c r="J281" s="158">
        <v>6725.6</v>
      </c>
      <c r="K281" s="158">
        <v>6725.6</v>
      </c>
      <c r="L281" s="228">
        <v>6725.6</v>
      </c>
      <c r="M281" s="281" t="s">
        <v>348</v>
      </c>
    </row>
    <row r="282" spans="1:13" s="52" customFormat="1" ht="112.5" hidden="1" customHeight="1" x14ac:dyDescent="0.25">
      <c r="A282" s="299"/>
      <c r="B282" s="305"/>
      <c r="C282" s="102" t="s">
        <v>169</v>
      </c>
      <c r="D282" s="158">
        <f>E282+F282+G282+H282+J282+I282+K282+L282</f>
        <v>15961.6</v>
      </c>
      <c r="E282" s="158">
        <v>0</v>
      </c>
      <c r="F282" s="158">
        <v>2935.2</v>
      </c>
      <c r="G282" s="158">
        <v>0</v>
      </c>
      <c r="H282" s="158">
        <v>2281.8000000000002</v>
      </c>
      <c r="I282" s="221">
        <v>2631.1</v>
      </c>
      <c r="J282" s="158">
        <v>2704.5</v>
      </c>
      <c r="K282" s="158">
        <v>2704.5</v>
      </c>
      <c r="L282" s="228">
        <v>2704.5</v>
      </c>
      <c r="M282" s="306"/>
    </row>
    <row r="283" spans="1:13" s="52" customFormat="1" ht="116.25" hidden="1" x14ac:dyDescent="0.25">
      <c r="A283" s="148"/>
      <c r="B283" s="172" t="s">
        <v>349</v>
      </c>
      <c r="C283" s="173" t="s">
        <v>122</v>
      </c>
      <c r="D283" s="159">
        <f>E283+F283+G283+H283+J283+I283+K283+L283</f>
        <v>2912.4</v>
      </c>
      <c r="E283" s="159">
        <v>0</v>
      </c>
      <c r="F283" s="159">
        <v>400.3</v>
      </c>
      <c r="G283" s="159">
        <v>0</v>
      </c>
      <c r="H283" s="159">
        <v>311.2</v>
      </c>
      <c r="I283" s="218">
        <v>538.9</v>
      </c>
      <c r="J283" s="159">
        <v>554</v>
      </c>
      <c r="K283" s="159">
        <v>554</v>
      </c>
      <c r="L283" s="229">
        <v>554</v>
      </c>
      <c r="M283" s="174"/>
    </row>
    <row r="284" spans="1:13" s="190" customFormat="1" ht="23.25" x14ac:dyDescent="0.25">
      <c r="A284" s="186"/>
      <c r="B284" s="182"/>
      <c r="C284" s="182" t="s">
        <v>350</v>
      </c>
      <c r="D284" s="185">
        <f>D285+D286</f>
        <v>47919.799999999996</v>
      </c>
      <c r="E284" s="185">
        <f t="shared" ref="E284:L284" si="74">E285+E286</f>
        <v>0</v>
      </c>
      <c r="F284" s="185">
        <f t="shared" si="74"/>
        <v>3783.3999999999996</v>
      </c>
      <c r="G284" s="185">
        <f t="shared" si="74"/>
        <v>0</v>
      </c>
      <c r="H284" s="185">
        <f t="shared" si="74"/>
        <v>6878.9000000000005</v>
      </c>
      <c r="I284" s="218">
        <f t="shared" si="74"/>
        <v>8967.2000000000007</v>
      </c>
      <c r="J284" s="185">
        <f t="shared" si="74"/>
        <v>9430.1</v>
      </c>
      <c r="K284" s="185">
        <f t="shared" si="74"/>
        <v>9430.1</v>
      </c>
      <c r="L284" s="229">
        <f t="shared" si="74"/>
        <v>9430.1</v>
      </c>
      <c r="M284" s="174"/>
    </row>
    <row r="285" spans="1:13" s="52" customFormat="1" ht="23.25" x14ac:dyDescent="0.35">
      <c r="A285" s="148"/>
      <c r="B285" s="103"/>
      <c r="C285" s="102" t="s">
        <v>122</v>
      </c>
      <c r="D285" s="159">
        <f>E285+F285+G285+H285+I285+J285+K285+L285</f>
        <v>31958.199999999997</v>
      </c>
      <c r="E285" s="159">
        <f t="shared" ref="E285:H285" si="75">E281</f>
        <v>0</v>
      </c>
      <c r="F285" s="159">
        <f t="shared" si="75"/>
        <v>848.2</v>
      </c>
      <c r="G285" s="159">
        <f t="shared" si="75"/>
        <v>0</v>
      </c>
      <c r="H285" s="159">
        <f t="shared" si="75"/>
        <v>4597.1000000000004</v>
      </c>
      <c r="I285" s="218">
        <f>4869.8+1466.3</f>
        <v>6336.1</v>
      </c>
      <c r="J285" s="159">
        <v>6725.6</v>
      </c>
      <c r="K285" s="159">
        <v>6725.6</v>
      </c>
      <c r="L285" s="229">
        <v>6725.6</v>
      </c>
      <c r="M285" s="174"/>
    </row>
    <row r="286" spans="1:13" s="52" customFormat="1" ht="23.25" x14ac:dyDescent="0.35">
      <c r="A286" s="148"/>
      <c r="B286" s="103"/>
      <c r="C286" s="102" t="s">
        <v>169</v>
      </c>
      <c r="D286" s="177">
        <f>E286+F286+G286+H286+I286+J286+K286+L286</f>
        <v>15961.6</v>
      </c>
      <c r="E286" s="159">
        <f t="shared" ref="E286:H286" si="76">E282</f>
        <v>0</v>
      </c>
      <c r="F286" s="159">
        <f t="shared" si="76"/>
        <v>2935.2</v>
      </c>
      <c r="G286" s="159">
        <f t="shared" si="76"/>
        <v>0</v>
      </c>
      <c r="H286" s="159">
        <f t="shared" si="76"/>
        <v>2281.8000000000002</v>
      </c>
      <c r="I286" s="218">
        <v>2631.1</v>
      </c>
      <c r="J286" s="159">
        <v>2704.5</v>
      </c>
      <c r="K286" s="159">
        <v>2704.5</v>
      </c>
      <c r="L286" s="229">
        <v>2704.5</v>
      </c>
      <c r="M286" s="174"/>
    </row>
    <row r="287" spans="1:13" s="52" customFormat="1" ht="23.25" x14ac:dyDescent="0.35">
      <c r="A287" s="148"/>
      <c r="B287" s="103"/>
      <c r="C287" s="102" t="s">
        <v>194</v>
      </c>
      <c r="D287" s="158">
        <v>0</v>
      </c>
      <c r="E287" s="158">
        <v>0</v>
      </c>
      <c r="F287" s="158">
        <v>0</v>
      </c>
      <c r="G287" s="158">
        <v>0</v>
      </c>
      <c r="H287" s="158">
        <v>0</v>
      </c>
      <c r="I287" s="221">
        <v>0</v>
      </c>
      <c r="J287" s="158">
        <v>0</v>
      </c>
      <c r="K287" s="158">
        <v>0</v>
      </c>
      <c r="L287" s="229">
        <v>0</v>
      </c>
      <c r="M287" s="174"/>
    </row>
    <row r="288" spans="1:13" s="52" customFormat="1" ht="46.5" x14ac:dyDescent="0.35">
      <c r="A288" s="167"/>
      <c r="B288" s="103"/>
      <c r="C288" s="102" t="s">
        <v>352</v>
      </c>
      <c r="D288" s="188">
        <v>0</v>
      </c>
      <c r="E288" s="188">
        <v>0</v>
      </c>
      <c r="F288" s="188">
        <v>0</v>
      </c>
      <c r="G288" s="188">
        <v>0</v>
      </c>
      <c r="H288" s="188">
        <v>0</v>
      </c>
      <c r="I288" s="223">
        <v>0</v>
      </c>
      <c r="J288" s="188">
        <v>0</v>
      </c>
      <c r="K288" s="188">
        <v>0</v>
      </c>
      <c r="L288" s="188"/>
      <c r="M288" s="163"/>
    </row>
    <row r="289" spans="1:13" ht="23.25" hidden="1" x14ac:dyDescent="0.25">
      <c r="A289" s="167"/>
      <c r="B289" s="122"/>
      <c r="C289" s="102"/>
      <c r="D289" s="158"/>
      <c r="E289" s="158"/>
      <c r="F289" s="158"/>
      <c r="G289" s="158"/>
      <c r="H289" s="158"/>
      <c r="I289" s="221"/>
      <c r="J289" s="158"/>
      <c r="K289" s="158"/>
      <c r="L289" s="228"/>
      <c r="M289" s="163"/>
    </row>
    <row r="290" spans="1:13" ht="23.25" hidden="1" x14ac:dyDescent="0.25">
      <c r="A290" s="167"/>
      <c r="B290" s="122"/>
      <c r="C290" s="102"/>
      <c r="D290" s="158"/>
      <c r="E290" s="158"/>
      <c r="F290" s="158"/>
      <c r="G290" s="158"/>
      <c r="H290" s="158"/>
      <c r="I290" s="221"/>
      <c r="J290" s="158"/>
      <c r="K290" s="158"/>
      <c r="L290" s="228"/>
      <c r="M290" s="163"/>
    </row>
    <row r="291" spans="1:13" s="50" customFormat="1" ht="23.25" x14ac:dyDescent="0.25">
      <c r="A291" s="299"/>
      <c r="B291" s="175" t="s">
        <v>358</v>
      </c>
      <c r="C291" s="175" t="s">
        <v>350</v>
      </c>
      <c r="D291" s="56">
        <f>E291+F291+G291+H291+I291+J291+K291+L291</f>
        <v>12296494.9</v>
      </c>
      <c r="E291" s="56">
        <f>E37+E47+E90+E138+E178+E201+E214+E248+E274+E284</f>
        <v>1206486.1000000001</v>
      </c>
      <c r="F291" s="56">
        <f t="shared" ref="F291:H291" si="77">F37+F47+F90+F138+F178+F201+F214+F248+F274+F284</f>
        <v>1328888.8999999999</v>
      </c>
      <c r="G291" s="56">
        <f>G37+G47+G90+G138+G178+G201+G214+G248+G274+G284</f>
        <v>1710349.8</v>
      </c>
      <c r="H291" s="56">
        <f t="shared" ref="H291:L291" si="78">H37+H47+H90+H138+H178+H201+H214+H248+H274+H284</f>
        <v>1456610.8999999992</v>
      </c>
      <c r="I291" s="56">
        <f t="shared" si="78"/>
        <v>1673091.5</v>
      </c>
      <c r="J291" s="56">
        <f t="shared" si="78"/>
        <v>1682856.6000000003</v>
      </c>
      <c r="K291" s="56">
        <f t="shared" si="78"/>
        <v>1600867.8</v>
      </c>
      <c r="L291" s="56">
        <f t="shared" si="78"/>
        <v>1637343.3</v>
      </c>
      <c r="M291" s="116"/>
    </row>
    <row r="292" spans="1:13" s="50" customFormat="1" ht="23.25" x14ac:dyDescent="0.35">
      <c r="A292" s="300"/>
      <c r="B292" s="103"/>
      <c r="C292" s="175" t="s">
        <v>122</v>
      </c>
      <c r="D292" s="57">
        <f>E292+F292+G292+H292+I292+J292+K292+L292</f>
        <v>4279777.5</v>
      </c>
      <c r="E292" s="57">
        <f t="shared" ref="E292:J292" si="79">E38+E48+E91+E139+E179+E202+E215+E223+E225+E228+E231+E236+E239+E245+E247+E275+E285</f>
        <v>452483.39999999997</v>
      </c>
      <c r="F292" s="57">
        <f t="shared" si="79"/>
        <v>472877.10000000003</v>
      </c>
      <c r="G292" s="57">
        <f t="shared" si="79"/>
        <v>473112.60000000003</v>
      </c>
      <c r="H292" s="57">
        <f>H38+H48+H91+H139+H179+H202+H215+H223+H225+H228+H231+H236+H239+H245+H247+H275+H285</f>
        <v>516352.3</v>
      </c>
      <c r="I292" s="224">
        <f>I38+I48+I91+I139+I179+I202+I215+I223+I225+I228+I231+I236+I239+I245+I247+I275+I285</f>
        <v>591695.60000000009</v>
      </c>
      <c r="J292" s="57">
        <f t="shared" si="79"/>
        <v>583226.9</v>
      </c>
      <c r="K292" s="57">
        <f>K38+K48+K91+K139+K179+K202+K215+K223+K225+K228+K231+K236+K239+K245+K247+K275+K285</f>
        <v>578068.80000000005</v>
      </c>
      <c r="L292" s="57">
        <f>L38+L48+L91+L139+L179+L202+L215+L223+L225+L228+L231+L236+L239+L245+L247+L275+L285</f>
        <v>611960.79999999993</v>
      </c>
      <c r="M292" s="176"/>
    </row>
    <row r="293" spans="1:13" s="50" customFormat="1" ht="23.25" x14ac:dyDescent="0.35">
      <c r="A293" s="300"/>
      <c r="B293" s="103"/>
      <c r="C293" s="175" t="s">
        <v>169</v>
      </c>
      <c r="D293" s="57">
        <f>E293+F293+G293+H293+J293+I293+K293+L293</f>
        <v>7518345.6999999993</v>
      </c>
      <c r="E293" s="57">
        <f>E39+E92+E140+E180+E203+E216+E250+E276+E286</f>
        <v>754002.70000000007</v>
      </c>
      <c r="F293" s="57">
        <f t="shared" ref="F293:L293" si="80">F39+F92+F140+F180+F203+F216+F250+F276+F286</f>
        <v>856011.8</v>
      </c>
      <c r="G293" s="57">
        <f t="shared" si="80"/>
        <v>1225941.2999999998</v>
      </c>
      <c r="H293" s="57">
        <f t="shared" si="80"/>
        <v>852822.09999999986</v>
      </c>
      <c r="I293" s="224">
        <f>I39+I92+I140+I180+I203+I216+I250+I276+I286</f>
        <v>977506.70000000007</v>
      </c>
      <c r="J293" s="57">
        <f t="shared" si="80"/>
        <v>999425.79999999993</v>
      </c>
      <c r="K293" s="57">
        <f t="shared" si="80"/>
        <v>925286.80000000016</v>
      </c>
      <c r="L293" s="57">
        <f t="shared" si="80"/>
        <v>927348.49999999988</v>
      </c>
      <c r="M293" s="176"/>
    </row>
    <row r="294" spans="1:13" s="50" customFormat="1" ht="23.25" x14ac:dyDescent="0.35">
      <c r="A294" s="300"/>
      <c r="B294" s="103"/>
      <c r="C294" s="175" t="s">
        <v>194</v>
      </c>
      <c r="D294" s="57">
        <f>E294+F294+G294+H294+I294+J294+K294+L294</f>
        <v>469632.2</v>
      </c>
      <c r="E294" s="57">
        <v>0</v>
      </c>
      <c r="F294" s="57">
        <v>0</v>
      </c>
      <c r="G294" s="57">
        <v>0</v>
      </c>
      <c r="H294" s="57">
        <f>H93+H181</f>
        <v>87436.5</v>
      </c>
      <c r="I294" s="224">
        <f>I93+I181</f>
        <v>86445.6</v>
      </c>
      <c r="J294" s="57">
        <f t="shared" ref="J294:L294" si="81">J93+J181</f>
        <v>100203.9</v>
      </c>
      <c r="K294" s="57">
        <f t="shared" si="81"/>
        <v>97512.200000000012</v>
      </c>
      <c r="L294" s="57">
        <f t="shared" si="81"/>
        <v>98034</v>
      </c>
      <c r="M294" s="176"/>
    </row>
    <row r="295" spans="1:13" s="50" customFormat="1" ht="45" x14ac:dyDescent="0.35">
      <c r="A295" s="300"/>
      <c r="B295" s="103"/>
      <c r="C295" s="175" t="s">
        <v>352</v>
      </c>
      <c r="D295" s="57">
        <f>E295+F295+G295+H295+J295+I295+K295+L295</f>
        <v>28739.5</v>
      </c>
      <c r="E295" s="57">
        <v>0</v>
      </c>
      <c r="F295" s="57">
        <v>0</v>
      </c>
      <c r="G295" s="57">
        <v>11295.9</v>
      </c>
      <c r="H295" s="57">
        <v>0</v>
      </c>
      <c r="I295" s="224">
        <v>17443.599999999999</v>
      </c>
      <c r="J295" s="57">
        <v>0</v>
      </c>
      <c r="K295" s="57">
        <v>0</v>
      </c>
      <c r="L295" s="57">
        <v>0</v>
      </c>
      <c r="M295" s="176"/>
    </row>
    <row r="296" spans="1:13" ht="21" x14ac:dyDescent="0.35">
      <c r="A296" s="58"/>
      <c r="B296" s="58"/>
      <c r="C296" s="58"/>
      <c r="D296" s="58"/>
      <c r="E296" s="58"/>
      <c r="F296" s="58"/>
      <c r="G296" s="58"/>
      <c r="H296" s="58"/>
      <c r="I296" s="225"/>
      <c r="J296" s="58"/>
      <c r="K296" s="58"/>
      <c r="L296" s="58"/>
      <c r="M296" s="193" t="s">
        <v>377</v>
      </c>
    </row>
    <row r="297" spans="1:13" ht="33" customHeight="1" x14ac:dyDescent="0.35">
      <c r="A297" s="58"/>
      <c r="B297" s="426" t="s">
        <v>380</v>
      </c>
      <c r="C297" s="244"/>
      <c r="D297" s="244"/>
      <c r="E297" s="244"/>
      <c r="F297" s="244"/>
      <c r="G297" s="244"/>
      <c r="H297" s="244"/>
      <c r="I297" s="244"/>
      <c r="J297" s="244"/>
      <c r="K297" s="244"/>
      <c r="L297" s="246"/>
      <c r="M297" s="245"/>
    </row>
    <row r="298" spans="1:13" ht="135" customHeight="1" x14ac:dyDescent="0.25">
      <c r="B298" s="427"/>
      <c r="C298" s="244"/>
      <c r="D298" s="244"/>
      <c r="E298" s="244"/>
      <c r="F298" s="244"/>
      <c r="G298" s="244"/>
      <c r="H298" s="244"/>
      <c r="I298" s="244"/>
      <c r="J298" s="244"/>
      <c r="K298" s="244"/>
      <c r="L298" s="246"/>
      <c r="M298" s="247" t="s">
        <v>379</v>
      </c>
    </row>
  </sheetData>
  <mergeCells count="254">
    <mergeCell ref="B297:B298"/>
    <mergeCell ref="C227:K227"/>
    <mergeCell ref="C230:K230"/>
    <mergeCell ref="C235:K235"/>
    <mergeCell ref="C238:K238"/>
    <mergeCell ref="M231:M234"/>
    <mergeCell ref="A231:A234"/>
    <mergeCell ref="B231:B234"/>
    <mergeCell ref="A3:M5"/>
    <mergeCell ref="M6:M8"/>
    <mergeCell ref="C6:C8"/>
    <mergeCell ref="A14:A16"/>
    <mergeCell ref="B21:B22"/>
    <mergeCell ref="B14:B16"/>
    <mergeCell ref="B6:B8"/>
    <mergeCell ref="D7:D8"/>
    <mergeCell ref="A6:A8"/>
    <mergeCell ref="C13:M13"/>
    <mergeCell ref="M21:M22"/>
    <mergeCell ref="M14:M16"/>
    <mergeCell ref="C12:M12"/>
    <mergeCell ref="C11:M11"/>
    <mergeCell ref="M17:M18"/>
    <mergeCell ref="A21:A22"/>
    <mergeCell ref="B17:B18"/>
    <mergeCell ref="A17:A18"/>
    <mergeCell ref="C53:M53"/>
    <mergeCell ref="C54:M54"/>
    <mergeCell ref="C55:M55"/>
    <mergeCell ref="A56:A58"/>
    <mergeCell ref="B56:B58"/>
    <mergeCell ref="M56:M58"/>
    <mergeCell ref="C43:M43"/>
    <mergeCell ref="C42:M42"/>
    <mergeCell ref="A26:A28"/>
    <mergeCell ref="B26:B28"/>
    <mergeCell ref="A44:A46"/>
    <mergeCell ref="B44:B46"/>
    <mergeCell ref="B29:B31"/>
    <mergeCell ref="A29:A31"/>
    <mergeCell ref="A32:A34"/>
    <mergeCell ref="B32:B34"/>
    <mergeCell ref="M44:M46"/>
    <mergeCell ref="M32:M34"/>
    <mergeCell ref="M23:M31"/>
    <mergeCell ref="B23:B25"/>
    <mergeCell ref="A23:A25"/>
    <mergeCell ref="A66:A68"/>
    <mergeCell ref="B66:B68"/>
    <mergeCell ref="M66:M68"/>
    <mergeCell ref="A69:A71"/>
    <mergeCell ref="B69:B71"/>
    <mergeCell ref="M69:M71"/>
    <mergeCell ref="A59:A61"/>
    <mergeCell ref="B59:B61"/>
    <mergeCell ref="M59:M61"/>
    <mergeCell ref="M62:M63"/>
    <mergeCell ref="A72:A73"/>
    <mergeCell ref="B72:B73"/>
    <mergeCell ref="M72:M73"/>
    <mergeCell ref="A75:A78"/>
    <mergeCell ref="B75:B78"/>
    <mergeCell ref="C75:C77"/>
    <mergeCell ref="D75:D77"/>
    <mergeCell ref="E75:E77"/>
    <mergeCell ref="F75:F77"/>
    <mergeCell ref="G75:G77"/>
    <mergeCell ref="H75:H77"/>
    <mergeCell ref="I75:I77"/>
    <mergeCell ref="J75:J77"/>
    <mergeCell ref="M75:M78"/>
    <mergeCell ref="M88:M89"/>
    <mergeCell ref="C95:M95"/>
    <mergeCell ref="C96:M96"/>
    <mergeCell ref="A97:A99"/>
    <mergeCell ref="B97:B99"/>
    <mergeCell ref="M97:M99"/>
    <mergeCell ref="A79:A81"/>
    <mergeCell ref="B79:B81"/>
    <mergeCell ref="M79:M87"/>
    <mergeCell ref="A82:A84"/>
    <mergeCell ref="B82:B84"/>
    <mergeCell ref="A85:A87"/>
    <mergeCell ref="B85:B87"/>
    <mergeCell ref="A106:A108"/>
    <mergeCell ref="B106:B108"/>
    <mergeCell ref="M106:M112"/>
    <mergeCell ref="A109:A111"/>
    <mergeCell ref="B109:B111"/>
    <mergeCell ref="A113:A115"/>
    <mergeCell ref="B113:B115"/>
    <mergeCell ref="M113:M115"/>
    <mergeCell ref="A100:A102"/>
    <mergeCell ref="B100:B102"/>
    <mergeCell ref="M100:M102"/>
    <mergeCell ref="A103:A105"/>
    <mergeCell ref="B103:B105"/>
    <mergeCell ref="M103:M105"/>
    <mergeCell ref="A116:A118"/>
    <mergeCell ref="B116:B118"/>
    <mergeCell ref="M116:M128"/>
    <mergeCell ref="A119:A121"/>
    <mergeCell ref="B119:B121"/>
    <mergeCell ref="A122:A124"/>
    <mergeCell ref="B122:B124"/>
    <mergeCell ref="A125:A127"/>
    <mergeCell ref="B125:B127"/>
    <mergeCell ref="C144:M144"/>
    <mergeCell ref="A145:A147"/>
    <mergeCell ref="B145:B147"/>
    <mergeCell ref="M145:M147"/>
    <mergeCell ref="A135:A137"/>
    <mergeCell ref="B135:B137"/>
    <mergeCell ref="M135:M137"/>
    <mergeCell ref="C143:M143"/>
    <mergeCell ref="A129:A131"/>
    <mergeCell ref="B129:B131"/>
    <mergeCell ref="M129:M131"/>
    <mergeCell ref="A132:A134"/>
    <mergeCell ref="B132:B134"/>
    <mergeCell ref="M132:M134"/>
    <mergeCell ref="A155:A157"/>
    <mergeCell ref="B155:B157"/>
    <mergeCell ref="M155:M157"/>
    <mergeCell ref="A158:A160"/>
    <mergeCell ref="B158:B160"/>
    <mergeCell ref="M158:M160"/>
    <mergeCell ref="A149:A151"/>
    <mergeCell ref="B149:B151"/>
    <mergeCell ref="M149:M151"/>
    <mergeCell ref="A152:A154"/>
    <mergeCell ref="B152:B154"/>
    <mergeCell ref="M152:M154"/>
    <mergeCell ref="C184:M184"/>
    <mergeCell ref="C185:M185"/>
    <mergeCell ref="C186:M186"/>
    <mergeCell ref="A187:A189"/>
    <mergeCell ref="B187:B189"/>
    <mergeCell ref="M187:M189"/>
    <mergeCell ref="A166:A169"/>
    <mergeCell ref="B166:B169"/>
    <mergeCell ref="M166:M170"/>
    <mergeCell ref="A192:A193"/>
    <mergeCell ref="B192:B193"/>
    <mergeCell ref="M192:M193"/>
    <mergeCell ref="A194:A195"/>
    <mergeCell ref="B194:B195"/>
    <mergeCell ref="M194:M195"/>
    <mergeCell ref="A190:A191"/>
    <mergeCell ref="B190:B191"/>
    <mergeCell ref="M190:M191"/>
    <mergeCell ref="A209:A210"/>
    <mergeCell ref="B209:B210"/>
    <mergeCell ref="A211:A213"/>
    <mergeCell ref="B211:B213"/>
    <mergeCell ref="M211:M213"/>
    <mergeCell ref="A196:A198"/>
    <mergeCell ref="B196:B198"/>
    <mergeCell ref="M196:M198"/>
    <mergeCell ref="C206:K206"/>
    <mergeCell ref="A225:A226"/>
    <mergeCell ref="B225:B226"/>
    <mergeCell ref="C225:C226"/>
    <mergeCell ref="D225:D226"/>
    <mergeCell ref="E225:E226"/>
    <mergeCell ref="F225:F226"/>
    <mergeCell ref="G225:G226"/>
    <mergeCell ref="H225:H226"/>
    <mergeCell ref="J225:J226"/>
    <mergeCell ref="A228:A229"/>
    <mergeCell ref="B228:B229"/>
    <mergeCell ref="C228:C229"/>
    <mergeCell ref="K236:K237"/>
    <mergeCell ref="M236:M237"/>
    <mergeCell ref="F236:F237"/>
    <mergeCell ref="G236:G237"/>
    <mergeCell ref="H236:H237"/>
    <mergeCell ref="I236:I237"/>
    <mergeCell ref="J236:J237"/>
    <mergeCell ref="A236:A237"/>
    <mergeCell ref="B236:B237"/>
    <mergeCell ref="C236:C237"/>
    <mergeCell ref="D236:D237"/>
    <mergeCell ref="E236:E237"/>
    <mergeCell ref="J231:J232"/>
    <mergeCell ref="K231:K232"/>
    <mergeCell ref="F228:F229"/>
    <mergeCell ref="G228:G229"/>
    <mergeCell ref="H228:H229"/>
    <mergeCell ref="I228:I229"/>
    <mergeCell ref="J228:J229"/>
    <mergeCell ref="C231:C232"/>
    <mergeCell ref="D231:D232"/>
    <mergeCell ref="A261:A263"/>
    <mergeCell ref="B261:B262"/>
    <mergeCell ref="M261:M263"/>
    <mergeCell ref="A264:A265"/>
    <mergeCell ref="B264:B265"/>
    <mergeCell ref="M264:M266"/>
    <mergeCell ref="C254:M254"/>
    <mergeCell ref="C255:M255"/>
    <mergeCell ref="C256:M256"/>
    <mergeCell ref="A257:A260"/>
    <mergeCell ref="B257:B260"/>
    <mergeCell ref="C257:C259"/>
    <mergeCell ref="D257:D259"/>
    <mergeCell ref="E257:E259"/>
    <mergeCell ref="F257:F259"/>
    <mergeCell ref="G257:G259"/>
    <mergeCell ref="H257:H259"/>
    <mergeCell ref="I257:I259"/>
    <mergeCell ref="J257:J259"/>
    <mergeCell ref="K257:K259"/>
    <mergeCell ref="M257:M260"/>
    <mergeCell ref="A291:A295"/>
    <mergeCell ref="C279:M279"/>
    <mergeCell ref="C280:M280"/>
    <mergeCell ref="A281:A282"/>
    <mergeCell ref="B281:B282"/>
    <mergeCell ref="M281:M282"/>
    <mergeCell ref="F267:F268"/>
    <mergeCell ref="G267:G268"/>
    <mergeCell ref="H267:H268"/>
    <mergeCell ref="J267:J268"/>
    <mergeCell ref="M267:M268"/>
    <mergeCell ref="A267:A268"/>
    <mergeCell ref="B267:B268"/>
    <mergeCell ref="C267:C268"/>
    <mergeCell ref="D267:D268"/>
    <mergeCell ref="E267:E268"/>
    <mergeCell ref="D6:L6"/>
    <mergeCell ref="E7:L7"/>
    <mergeCell ref="C244:I244"/>
    <mergeCell ref="C246:K246"/>
    <mergeCell ref="C10:M10"/>
    <mergeCell ref="C52:M52"/>
    <mergeCell ref="C183:M183"/>
    <mergeCell ref="C219:M219"/>
    <mergeCell ref="C253:M253"/>
    <mergeCell ref="M228:M229"/>
    <mergeCell ref="E231:E232"/>
    <mergeCell ref="F231:F232"/>
    <mergeCell ref="G231:G232"/>
    <mergeCell ref="H231:H232"/>
    <mergeCell ref="I231:I232"/>
    <mergeCell ref="D228:D229"/>
    <mergeCell ref="E228:E229"/>
    <mergeCell ref="K228:K229"/>
    <mergeCell ref="C220:M220"/>
    <mergeCell ref="C221:M221"/>
    <mergeCell ref="C222:M222"/>
    <mergeCell ref="M225:M226"/>
    <mergeCell ref="C224:M224"/>
    <mergeCell ref="C207:K207"/>
  </mergeCells>
  <phoneticPr fontId="5" type="noConversion"/>
  <pageMargins left="0.6692913385826772" right="0.78740157480314965" top="0.55118110236220474" bottom="0.43307086614173229" header="0.78740157480314965" footer="0"/>
  <pageSetup paperSize="9" scale="32" fitToHeight="15" orientation="landscape" r:id="rId1"/>
  <headerFooter differentFirst="1" scaleWithDoc="0"/>
  <rowBreaks count="1" manualBreakCount="1">
    <brk id="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2"/>
  <sheetViews>
    <sheetView view="pageBreakPreview" topLeftCell="A97" zoomScale="75" zoomScaleSheetLayoutView="75" workbookViewId="0">
      <selection activeCell="B14" sqref="B14:B16"/>
    </sheetView>
  </sheetViews>
  <sheetFormatPr defaultRowHeight="15" x14ac:dyDescent="0.25"/>
  <cols>
    <col min="1" max="1" width="11.28515625" bestFit="1" customWidth="1"/>
    <col min="2" max="2" width="45.42578125" customWidth="1"/>
    <col min="3" max="3" width="18.5703125" customWidth="1"/>
    <col min="4" max="4" width="18.42578125" customWidth="1"/>
    <col min="5" max="5" width="12.5703125" customWidth="1"/>
    <col min="6" max="6" width="13" customWidth="1"/>
    <col min="7" max="7" width="19.42578125" customWidth="1"/>
  </cols>
  <sheetData>
    <row r="2" spans="1:10" ht="18.75" x14ac:dyDescent="0.3">
      <c r="A2" s="4"/>
      <c r="B2" s="506" t="s">
        <v>72</v>
      </c>
      <c r="C2" s="506"/>
      <c r="D2" s="506"/>
      <c r="E2" s="506"/>
      <c r="F2" s="506"/>
      <c r="G2" s="506"/>
    </row>
    <row r="3" spans="1:10" ht="30.75" customHeight="1" x14ac:dyDescent="0.3">
      <c r="A3" s="4"/>
      <c r="B3" s="506"/>
      <c r="C3" s="506"/>
      <c r="D3" s="506"/>
      <c r="E3" s="506"/>
      <c r="F3" s="506"/>
      <c r="G3" s="506"/>
    </row>
    <row r="4" spans="1:10" ht="18.75" x14ac:dyDescent="0.3">
      <c r="A4" s="4"/>
      <c r="B4" s="4"/>
      <c r="C4" s="4"/>
      <c r="D4" s="4"/>
      <c r="E4" s="4"/>
      <c r="F4" s="4"/>
      <c r="G4" s="4"/>
    </row>
    <row r="5" spans="1:10" ht="18.75" x14ac:dyDescent="0.3">
      <c r="A5" s="515" t="s">
        <v>0</v>
      </c>
      <c r="B5" s="499" t="s">
        <v>1</v>
      </c>
      <c r="C5" s="499" t="s">
        <v>4</v>
      </c>
      <c r="D5" s="499" t="s">
        <v>2</v>
      </c>
      <c r="E5" s="499" t="s">
        <v>3</v>
      </c>
      <c r="F5" s="499"/>
      <c r="G5" s="499"/>
      <c r="H5" s="1"/>
      <c r="I5" s="1"/>
      <c r="J5" s="1"/>
    </row>
    <row r="6" spans="1:10" ht="18.75" x14ac:dyDescent="0.3">
      <c r="A6" s="515"/>
      <c r="B6" s="499"/>
      <c r="C6" s="499"/>
      <c r="D6" s="499"/>
      <c r="E6" s="5">
        <v>2015</v>
      </c>
      <c r="F6" s="5">
        <v>2016</v>
      </c>
      <c r="G6" s="5">
        <v>2017</v>
      </c>
      <c r="H6" s="1"/>
      <c r="I6" s="1"/>
      <c r="J6" s="1"/>
    </row>
    <row r="7" spans="1:10" ht="18.75" x14ac:dyDescent="0.3">
      <c r="A7" s="496" t="s">
        <v>13</v>
      </c>
      <c r="B7" s="497"/>
      <c r="C7" s="497"/>
      <c r="D7" s="497"/>
      <c r="E7" s="497"/>
      <c r="F7" s="497"/>
      <c r="G7" s="498"/>
      <c r="H7" s="1"/>
      <c r="I7" s="1"/>
      <c r="J7" s="1"/>
    </row>
    <row r="8" spans="1:10" ht="35.25" customHeight="1" x14ac:dyDescent="0.25">
      <c r="A8" s="500" t="s">
        <v>6</v>
      </c>
      <c r="B8" s="465" t="s">
        <v>5</v>
      </c>
      <c r="C8" s="6" t="s">
        <v>9</v>
      </c>
      <c r="D8" s="7">
        <f>D11+D14+D17</f>
        <v>334648.89999999997</v>
      </c>
      <c r="E8" s="7">
        <f>E11+E14+E17</f>
        <v>109056.09999999999</v>
      </c>
      <c r="F8" s="7">
        <f>F11+F14+F17</f>
        <v>112796.4</v>
      </c>
      <c r="G8" s="7">
        <f>G11+G14+G17</f>
        <v>112796.4</v>
      </c>
      <c r="H8" s="1"/>
      <c r="I8" s="1"/>
      <c r="J8" s="1"/>
    </row>
    <row r="9" spans="1:10" ht="31.15" customHeight="1" x14ac:dyDescent="0.25">
      <c r="A9" s="501"/>
      <c r="B9" s="493"/>
      <c r="C9" s="6" t="s">
        <v>10</v>
      </c>
      <c r="D9" s="7">
        <f t="shared" ref="D9:G10" si="0">D12+D15</f>
        <v>4431.8</v>
      </c>
      <c r="E9" s="7">
        <f t="shared" si="0"/>
        <v>1390</v>
      </c>
      <c r="F9" s="7">
        <f t="shared" si="0"/>
        <v>1520.9</v>
      </c>
      <c r="G9" s="7">
        <f t="shared" si="0"/>
        <v>1520.9</v>
      </c>
      <c r="H9" s="1"/>
      <c r="I9" s="1"/>
      <c r="J9" s="1"/>
    </row>
    <row r="10" spans="1:10" ht="36" customHeight="1" x14ac:dyDescent="0.25">
      <c r="A10" s="502"/>
      <c r="B10" s="494"/>
      <c r="C10" s="6" t="s">
        <v>11</v>
      </c>
      <c r="D10" s="7">
        <f t="shared" si="0"/>
        <v>0</v>
      </c>
      <c r="E10" s="7">
        <f t="shared" si="0"/>
        <v>0</v>
      </c>
      <c r="F10" s="7">
        <f t="shared" si="0"/>
        <v>0</v>
      </c>
      <c r="G10" s="7">
        <f t="shared" si="0"/>
        <v>0</v>
      </c>
      <c r="H10" s="1"/>
      <c r="I10" s="1"/>
      <c r="J10" s="1"/>
    </row>
    <row r="11" spans="1:10" ht="37.5" x14ac:dyDescent="0.25">
      <c r="A11" s="503" t="s">
        <v>15</v>
      </c>
      <c r="B11" s="465" t="s">
        <v>7</v>
      </c>
      <c r="C11" s="6" t="s">
        <v>9</v>
      </c>
      <c r="D11" s="7">
        <f t="shared" ref="D11:D29" si="1">SUM(E11:G11)</f>
        <v>305941.19999999995</v>
      </c>
      <c r="E11" s="7">
        <v>101980.4</v>
      </c>
      <c r="F11" s="7">
        <f>E11</f>
        <v>101980.4</v>
      </c>
      <c r="G11" s="7">
        <f>F11</f>
        <v>101980.4</v>
      </c>
      <c r="H11" s="1"/>
      <c r="I11" s="1"/>
      <c r="J11" s="1"/>
    </row>
    <row r="12" spans="1:10" ht="22.5" customHeight="1" x14ac:dyDescent="0.25">
      <c r="A12" s="504"/>
      <c r="B12" s="495"/>
      <c r="C12" s="6" t="s">
        <v>10</v>
      </c>
      <c r="D12" s="7">
        <f t="shared" si="1"/>
        <v>0</v>
      </c>
      <c r="E12" s="7"/>
      <c r="F12" s="7"/>
      <c r="G12" s="7"/>
      <c r="H12" s="1"/>
      <c r="I12" s="1"/>
      <c r="J12" s="1"/>
    </row>
    <row r="13" spans="1:10" ht="84.6" customHeight="1" x14ac:dyDescent="0.25">
      <c r="A13" s="505"/>
      <c r="B13" s="472"/>
      <c r="C13" s="6" t="s">
        <v>11</v>
      </c>
      <c r="D13" s="7">
        <f t="shared" si="1"/>
        <v>0</v>
      </c>
      <c r="E13" s="7"/>
      <c r="F13" s="7"/>
      <c r="G13" s="7"/>
      <c r="H13" s="1"/>
      <c r="I13" s="1"/>
      <c r="J13" s="1"/>
    </row>
    <row r="14" spans="1:10" ht="37.5" x14ac:dyDescent="0.25">
      <c r="A14" s="453" t="s">
        <v>14</v>
      </c>
      <c r="B14" s="465" t="s">
        <v>28</v>
      </c>
      <c r="C14" s="6" t="s">
        <v>9</v>
      </c>
      <c r="D14" s="7">
        <f t="shared" si="1"/>
        <v>0</v>
      </c>
      <c r="E14" s="7"/>
      <c r="F14" s="7"/>
      <c r="G14" s="7"/>
      <c r="H14" s="1"/>
      <c r="I14" s="1"/>
      <c r="J14" s="1"/>
    </row>
    <row r="15" spans="1:10" ht="37.5" x14ac:dyDescent="0.25">
      <c r="A15" s="491"/>
      <c r="B15" s="495"/>
      <c r="C15" s="6" t="s">
        <v>10</v>
      </c>
      <c r="D15" s="7">
        <f t="shared" si="1"/>
        <v>4431.8</v>
      </c>
      <c r="E15" s="7">
        <v>1390</v>
      </c>
      <c r="F15" s="7">
        <v>1520.9</v>
      </c>
      <c r="G15" s="7">
        <f>F15</f>
        <v>1520.9</v>
      </c>
      <c r="H15" s="1"/>
      <c r="I15" s="1"/>
      <c r="J15" s="1"/>
    </row>
    <row r="16" spans="1:10" ht="30" customHeight="1" x14ac:dyDescent="0.25">
      <c r="A16" s="454"/>
      <c r="B16" s="472"/>
      <c r="C16" s="6" t="s">
        <v>11</v>
      </c>
      <c r="D16" s="7">
        <f t="shared" si="1"/>
        <v>0</v>
      </c>
      <c r="E16" s="7"/>
      <c r="F16" s="7"/>
      <c r="G16" s="7"/>
      <c r="H16" s="1"/>
      <c r="I16" s="1"/>
      <c r="J16" s="1"/>
    </row>
    <row r="17" spans="1:10" ht="81.599999999999994" customHeight="1" x14ac:dyDescent="0.25">
      <c r="A17" s="9" t="s">
        <v>91</v>
      </c>
      <c r="B17" s="3" t="s">
        <v>32</v>
      </c>
      <c r="C17" s="6" t="s">
        <v>9</v>
      </c>
      <c r="D17" s="7">
        <f t="shared" si="1"/>
        <v>28707.7</v>
      </c>
      <c r="E17" s="7">
        <v>7075.7</v>
      </c>
      <c r="F17" s="7">
        <v>10816</v>
      </c>
      <c r="G17" s="7">
        <v>10816</v>
      </c>
      <c r="H17" s="1"/>
      <c r="I17" s="1"/>
      <c r="J17" s="1"/>
    </row>
    <row r="18" spans="1:10" ht="36" customHeight="1" x14ac:dyDescent="0.25">
      <c r="A18" s="453" t="s">
        <v>8</v>
      </c>
      <c r="B18" s="465" t="s">
        <v>18</v>
      </c>
      <c r="C18" s="6" t="s">
        <v>9</v>
      </c>
      <c r="D18" s="7">
        <f t="shared" ref="D18:G19" si="2">D21+D24</f>
        <v>1888</v>
      </c>
      <c r="E18" s="7">
        <f t="shared" si="2"/>
        <v>1888</v>
      </c>
      <c r="F18" s="7">
        <f t="shared" si="2"/>
        <v>0</v>
      </c>
      <c r="G18" s="7">
        <f t="shared" si="2"/>
        <v>0</v>
      </c>
      <c r="H18" s="1"/>
      <c r="I18" s="1"/>
      <c r="J18" s="1"/>
    </row>
    <row r="19" spans="1:10" ht="37.5" x14ac:dyDescent="0.25">
      <c r="A19" s="491"/>
      <c r="B19" s="512"/>
      <c r="C19" s="6" t="s">
        <v>10</v>
      </c>
      <c r="D19" s="7">
        <f t="shared" si="2"/>
        <v>33971</v>
      </c>
      <c r="E19" s="7">
        <f t="shared" si="2"/>
        <v>33971</v>
      </c>
      <c r="F19" s="7">
        <f t="shared" si="2"/>
        <v>0</v>
      </c>
      <c r="G19" s="7">
        <f t="shared" si="2"/>
        <v>0</v>
      </c>
      <c r="H19" s="1"/>
      <c r="I19" s="1"/>
      <c r="J19" s="1"/>
    </row>
    <row r="20" spans="1:10" ht="37.5" x14ac:dyDescent="0.25">
      <c r="A20" s="454"/>
      <c r="B20" s="513"/>
      <c r="C20" s="6" t="s">
        <v>11</v>
      </c>
      <c r="D20" s="7">
        <f t="shared" si="1"/>
        <v>0</v>
      </c>
      <c r="E20" s="7">
        <f>SUM(F20:H20)</f>
        <v>0</v>
      </c>
      <c r="F20" s="7">
        <f>SUM(G20:I20)</f>
        <v>0</v>
      </c>
      <c r="G20" s="7">
        <f>SUM(H20:J20)</f>
        <v>0</v>
      </c>
      <c r="H20" s="1"/>
      <c r="I20" s="1"/>
      <c r="J20" s="1"/>
    </row>
    <row r="21" spans="1:10" ht="37.5" x14ac:dyDescent="0.25">
      <c r="A21" s="465" t="s">
        <v>16</v>
      </c>
      <c r="B21" s="465" t="s">
        <v>87</v>
      </c>
      <c r="C21" s="6" t="s">
        <v>9</v>
      </c>
      <c r="D21" s="7">
        <f t="shared" si="1"/>
        <v>100</v>
      </c>
      <c r="E21" s="7">
        <v>100</v>
      </c>
      <c r="F21" s="7">
        <v>0</v>
      </c>
      <c r="G21" s="7">
        <v>0</v>
      </c>
      <c r="H21" s="1"/>
      <c r="I21" s="1"/>
      <c r="J21" s="1"/>
    </row>
    <row r="22" spans="1:10" ht="37.5" x14ac:dyDescent="0.25">
      <c r="A22" s="493"/>
      <c r="B22" s="492"/>
      <c r="C22" s="6" t="s">
        <v>10</v>
      </c>
      <c r="D22" s="7">
        <f t="shared" si="1"/>
        <v>0</v>
      </c>
      <c r="E22" s="7">
        <v>0</v>
      </c>
      <c r="F22" s="7">
        <v>0</v>
      </c>
      <c r="G22" s="7">
        <v>0</v>
      </c>
      <c r="H22" s="1"/>
      <c r="I22" s="1"/>
      <c r="J22" s="1"/>
    </row>
    <row r="23" spans="1:10" ht="33.6" customHeight="1" x14ac:dyDescent="0.25">
      <c r="A23" s="494"/>
      <c r="B23" s="466"/>
      <c r="C23" s="6" t="s">
        <v>11</v>
      </c>
      <c r="D23" s="7">
        <f t="shared" si="1"/>
        <v>0</v>
      </c>
      <c r="E23" s="7">
        <v>0</v>
      </c>
      <c r="F23" s="7">
        <v>0</v>
      </c>
      <c r="G23" s="7">
        <v>0</v>
      </c>
      <c r="H23" s="1"/>
      <c r="I23" s="1"/>
      <c r="J23" s="1"/>
    </row>
    <row r="24" spans="1:10" ht="37.5" x14ac:dyDescent="0.25">
      <c r="A24" s="453" t="s">
        <v>17</v>
      </c>
      <c r="B24" s="465" t="s">
        <v>88</v>
      </c>
      <c r="C24" s="6" t="s">
        <v>9</v>
      </c>
      <c r="D24" s="7">
        <f t="shared" si="1"/>
        <v>1788</v>
      </c>
      <c r="E24" s="7">
        <v>1788</v>
      </c>
      <c r="F24" s="7">
        <v>0</v>
      </c>
      <c r="G24" s="7">
        <v>0</v>
      </c>
      <c r="H24" s="1"/>
      <c r="I24" s="1"/>
      <c r="J24" s="1"/>
    </row>
    <row r="25" spans="1:10" ht="37.5" x14ac:dyDescent="0.25">
      <c r="A25" s="491"/>
      <c r="B25" s="495"/>
      <c r="C25" s="6" t="s">
        <v>10</v>
      </c>
      <c r="D25" s="7">
        <f t="shared" si="1"/>
        <v>33971</v>
      </c>
      <c r="E25" s="7">
        <v>33971</v>
      </c>
      <c r="F25" s="7">
        <v>0</v>
      </c>
      <c r="G25" s="7">
        <v>0</v>
      </c>
      <c r="H25" s="1"/>
      <c r="I25" s="1"/>
      <c r="J25" s="1"/>
    </row>
    <row r="26" spans="1:10" ht="37.5" x14ac:dyDescent="0.25">
      <c r="A26" s="454"/>
      <c r="B26" s="472"/>
      <c r="C26" s="6" t="s">
        <v>11</v>
      </c>
      <c r="D26" s="7">
        <f t="shared" si="1"/>
        <v>0</v>
      </c>
      <c r="E26" s="7">
        <v>0</v>
      </c>
      <c r="F26" s="7">
        <v>0</v>
      </c>
      <c r="G26" s="7">
        <v>0</v>
      </c>
      <c r="H26" s="1"/>
      <c r="I26" s="1"/>
      <c r="J26" s="1"/>
    </row>
    <row r="27" spans="1:10" ht="37.5" x14ac:dyDescent="0.25">
      <c r="A27" s="453" t="s">
        <v>12</v>
      </c>
      <c r="B27" s="465" t="s">
        <v>20</v>
      </c>
      <c r="C27" s="6" t="s">
        <v>9</v>
      </c>
      <c r="D27" s="7">
        <f t="shared" si="1"/>
        <v>150</v>
      </c>
      <c r="E27" s="7">
        <v>50</v>
      </c>
      <c r="F27" s="7">
        <v>50</v>
      </c>
      <c r="G27" s="7">
        <v>50</v>
      </c>
      <c r="H27" s="1"/>
      <c r="I27" s="1"/>
      <c r="J27" s="1"/>
    </row>
    <row r="28" spans="1:10" ht="128.44999999999999" customHeight="1" x14ac:dyDescent="0.25">
      <c r="A28" s="491"/>
      <c r="B28" s="514"/>
      <c r="C28" s="6" t="s">
        <v>10</v>
      </c>
      <c r="D28" s="7">
        <f t="shared" si="1"/>
        <v>150</v>
      </c>
      <c r="E28" s="7">
        <v>50</v>
      </c>
      <c r="F28" s="7">
        <v>50</v>
      </c>
      <c r="G28" s="7">
        <v>50</v>
      </c>
      <c r="H28" s="1"/>
      <c r="I28" s="1"/>
      <c r="J28" s="1"/>
    </row>
    <row r="29" spans="1:10" ht="121.15" customHeight="1" x14ac:dyDescent="0.25">
      <c r="A29" s="10" t="s">
        <v>19</v>
      </c>
      <c r="B29" s="6" t="s">
        <v>43</v>
      </c>
      <c r="C29" s="6" t="s">
        <v>9</v>
      </c>
      <c r="D29" s="7">
        <f t="shared" si="1"/>
        <v>150</v>
      </c>
      <c r="E29" s="7">
        <v>50</v>
      </c>
      <c r="F29" s="7">
        <v>50</v>
      </c>
      <c r="G29" s="7">
        <v>50</v>
      </c>
      <c r="H29" s="1"/>
      <c r="I29" s="1"/>
      <c r="J29" s="1"/>
    </row>
    <row r="30" spans="1:10" ht="37.5" x14ac:dyDescent="0.25">
      <c r="A30" s="485"/>
      <c r="B30" s="474" t="s">
        <v>89</v>
      </c>
      <c r="C30" s="11" t="s">
        <v>9</v>
      </c>
      <c r="D30" s="12">
        <f>D8+D18+D27+D29</f>
        <v>336836.89999999997</v>
      </c>
      <c r="E30" s="12">
        <f>E8+E18+E27+E29</f>
        <v>111044.09999999999</v>
      </c>
      <c r="F30" s="12">
        <f>F8+F18+F27+F29</f>
        <v>112896.4</v>
      </c>
      <c r="G30" s="12">
        <f>G8+G18+G27+G29</f>
        <v>112896.4</v>
      </c>
      <c r="H30" s="1"/>
      <c r="I30" s="1"/>
      <c r="J30" s="1"/>
    </row>
    <row r="31" spans="1:10" ht="37.5" x14ac:dyDescent="0.25">
      <c r="A31" s="485"/>
      <c r="B31" s="474"/>
      <c r="C31" s="11" t="s">
        <v>10</v>
      </c>
      <c r="D31" s="12">
        <f>D9+D19+D28</f>
        <v>38552.800000000003</v>
      </c>
      <c r="E31" s="12">
        <f>E9+E19+E28</f>
        <v>35411</v>
      </c>
      <c r="F31" s="12">
        <f>F9+F19+F28</f>
        <v>1570.9</v>
      </c>
      <c r="G31" s="12">
        <f>G9+G19+G28</f>
        <v>1570.9</v>
      </c>
      <c r="H31" s="1"/>
      <c r="I31" s="1"/>
      <c r="J31" s="1"/>
    </row>
    <row r="32" spans="1:10" ht="37.5" x14ac:dyDescent="0.25">
      <c r="A32" s="485"/>
      <c r="B32" s="474"/>
      <c r="C32" s="11" t="s">
        <v>11</v>
      </c>
      <c r="D32" s="12">
        <f>D10+D20</f>
        <v>0</v>
      </c>
      <c r="E32" s="12">
        <f>E10+E20</f>
        <v>0</v>
      </c>
      <c r="F32" s="12">
        <f>F10+F20</f>
        <v>0</v>
      </c>
      <c r="G32" s="12">
        <f>G10+G20</f>
        <v>0</v>
      </c>
      <c r="H32" s="1"/>
      <c r="I32" s="1"/>
      <c r="J32" s="1"/>
    </row>
    <row r="33" spans="1:10" ht="18.75" x14ac:dyDescent="0.3">
      <c r="A33" s="496" t="s">
        <v>21</v>
      </c>
      <c r="B33" s="497"/>
      <c r="C33" s="497"/>
      <c r="D33" s="497"/>
      <c r="E33" s="497"/>
      <c r="F33" s="497"/>
      <c r="G33" s="498"/>
      <c r="H33" s="1"/>
      <c r="I33" s="1"/>
      <c r="J33" s="1"/>
    </row>
    <row r="34" spans="1:10" ht="46.5" customHeight="1" x14ac:dyDescent="0.25">
      <c r="A34" s="453" t="s">
        <v>22</v>
      </c>
      <c r="B34" s="465" t="s">
        <v>23</v>
      </c>
      <c r="C34" s="6" t="s">
        <v>9</v>
      </c>
      <c r="D34" s="7">
        <f>D37+D40+D43</f>
        <v>221887.7</v>
      </c>
      <c r="E34" s="7">
        <f>E37+E40+E43</f>
        <v>72089.899999999994</v>
      </c>
      <c r="F34" s="7">
        <f>F37+F40+F43</f>
        <v>74898.899999999994</v>
      </c>
      <c r="G34" s="7">
        <f>G37+G40+G43</f>
        <v>74898.899999999994</v>
      </c>
      <c r="H34" s="1"/>
      <c r="I34" s="1"/>
      <c r="J34" s="1"/>
    </row>
    <row r="35" spans="1:10" ht="37.5" x14ac:dyDescent="0.25">
      <c r="A35" s="491"/>
      <c r="B35" s="493"/>
      <c r="C35" s="6" t="s">
        <v>10</v>
      </c>
      <c r="D35" s="7">
        <f t="shared" ref="D35:G36" si="3">D38+D41</f>
        <v>4787</v>
      </c>
      <c r="E35" s="7">
        <f t="shared" si="3"/>
        <v>1529</v>
      </c>
      <c r="F35" s="7">
        <f t="shared" si="3"/>
        <v>1629</v>
      </c>
      <c r="G35" s="7">
        <f t="shared" si="3"/>
        <v>1629</v>
      </c>
      <c r="H35" s="1"/>
      <c r="I35" s="1"/>
      <c r="J35" s="1"/>
    </row>
    <row r="36" spans="1:10" ht="37.5" x14ac:dyDescent="0.25">
      <c r="A36" s="454"/>
      <c r="B36" s="494"/>
      <c r="C36" s="6" t="s">
        <v>11</v>
      </c>
      <c r="D36" s="7">
        <f t="shared" si="3"/>
        <v>0</v>
      </c>
      <c r="E36" s="7">
        <f t="shared" si="3"/>
        <v>0</v>
      </c>
      <c r="F36" s="7">
        <f t="shared" si="3"/>
        <v>0</v>
      </c>
      <c r="G36" s="7">
        <f t="shared" si="3"/>
        <v>0</v>
      </c>
      <c r="H36" s="1"/>
      <c r="I36" s="1"/>
      <c r="J36" s="1"/>
    </row>
    <row r="37" spans="1:10" ht="37.5" x14ac:dyDescent="0.25">
      <c r="A37" s="453" t="s">
        <v>25</v>
      </c>
      <c r="B37" s="509" t="s">
        <v>24</v>
      </c>
      <c r="C37" s="6" t="s">
        <v>9</v>
      </c>
      <c r="D37" s="7">
        <f t="shared" ref="D37:D65" si="4">E37+F37+G37</f>
        <v>193784.7</v>
      </c>
      <c r="E37" s="7">
        <v>64594.9</v>
      </c>
      <c r="F37" s="7">
        <f>E37</f>
        <v>64594.9</v>
      </c>
      <c r="G37" s="7">
        <f>F37</f>
        <v>64594.9</v>
      </c>
      <c r="H37" s="1"/>
      <c r="I37" s="1"/>
      <c r="J37" s="1"/>
    </row>
    <row r="38" spans="1:10" ht="37.5" x14ac:dyDescent="0.25">
      <c r="A38" s="491"/>
      <c r="B38" s="510"/>
      <c r="C38" s="6" t="s">
        <v>10</v>
      </c>
      <c r="D38" s="7">
        <f t="shared" si="4"/>
        <v>0</v>
      </c>
      <c r="E38" s="7"/>
      <c r="F38" s="7"/>
      <c r="G38" s="7"/>
      <c r="H38" s="1"/>
      <c r="I38" s="1"/>
      <c r="J38" s="1"/>
    </row>
    <row r="39" spans="1:10" ht="106.15" customHeight="1" x14ac:dyDescent="0.25">
      <c r="A39" s="454"/>
      <c r="B39" s="511"/>
      <c r="C39" s="6" t="s">
        <v>11</v>
      </c>
      <c r="D39" s="7">
        <f t="shared" si="4"/>
        <v>0</v>
      </c>
      <c r="E39" s="7"/>
      <c r="F39" s="7"/>
      <c r="G39" s="7"/>
      <c r="H39" s="1"/>
      <c r="I39" s="1"/>
      <c r="J39" s="1"/>
    </row>
    <row r="40" spans="1:10" ht="37.5" x14ac:dyDescent="0.25">
      <c r="A40" s="453" t="s">
        <v>26</v>
      </c>
      <c r="B40" s="465" t="s">
        <v>28</v>
      </c>
      <c r="C40" s="6" t="s">
        <v>9</v>
      </c>
      <c r="D40" s="7">
        <f t="shared" si="4"/>
        <v>0</v>
      </c>
      <c r="E40" s="7"/>
      <c r="F40" s="7"/>
      <c r="G40" s="7"/>
      <c r="H40" s="1"/>
      <c r="I40" s="1"/>
      <c r="J40" s="1"/>
    </row>
    <row r="41" spans="1:10" ht="37.5" x14ac:dyDescent="0.25">
      <c r="A41" s="491"/>
      <c r="B41" s="492"/>
      <c r="C41" s="6" t="s">
        <v>10</v>
      </c>
      <c r="D41" s="14">
        <f t="shared" si="4"/>
        <v>4787</v>
      </c>
      <c r="E41" s="7">
        <v>1529</v>
      </c>
      <c r="F41" s="7">
        <v>1629</v>
      </c>
      <c r="G41" s="7">
        <v>1629</v>
      </c>
      <c r="H41" s="1"/>
      <c r="I41" s="1"/>
      <c r="J41" s="1"/>
    </row>
    <row r="42" spans="1:10" ht="37.5" x14ac:dyDescent="0.25">
      <c r="A42" s="491"/>
      <c r="B42" s="492"/>
      <c r="C42" s="2" t="s">
        <v>11</v>
      </c>
      <c r="D42" s="7">
        <f t="shared" si="4"/>
        <v>0</v>
      </c>
      <c r="E42" s="15"/>
      <c r="F42" s="15"/>
      <c r="G42" s="15"/>
      <c r="H42" s="1"/>
      <c r="I42" s="1"/>
      <c r="J42" s="1"/>
    </row>
    <row r="43" spans="1:10" ht="93.75" x14ac:dyDescent="0.25">
      <c r="A43" s="10" t="s">
        <v>30</v>
      </c>
      <c r="B43" s="6" t="s">
        <v>31</v>
      </c>
      <c r="C43" s="6" t="s">
        <v>9</v>
      </c>
      <c r="D43" s="7">
        <f t="shared" si="4"/>
        <v>28103</v>
      </c>
      <c r="E43" s="15">
        <v>7495</v>
      </c>
      <c r="F43" s="15">
        <v>10304</v>
      </c>
      <c r="G43" s="15">
        <v>10304</v>
      </c>
      <c r="H43" s="1"/>
      <c r="I43" s="1"/>
      <c r="J43" s="1"/>
    </row>
    <row r="44" spans="1:10" ht="37.5" x14ac:dyDescent="0.25">
      <c r="A44" s="463" t="s">
        <v>29</v>
      </c>
      <c r="B44" s="457" t="s">
        <v>27</v>
      </c>
      <c r="C44" s="6" t="s">
        <v>9</v>
      </c>
      <c r="D44" s="7">
        <f t="shared" si="4"/>
        <v>294.89999999999998</v>
      </c>
      <c r="E44" s="7">
        <v>98.3</v>
      </c>
      <c r="F44" s="7">
        <v>98.3</v>
      </c>
      <c r="G44" s="7">
        <v>98.3</v>
      </c>
      <c r="H44" s="1"/>
      <c r="I44" s="1"/>
      <c r="J44" s="1"/>
    </row>
    <row r="45" spans="1:10" ht="129.6" customHeight="1" x14ac:dyDescent="0.25">
      <c r="A45" s="459"/>
      <c r="B45" s="464"/>
      <c r="C45" s="6" t="s">
        <v>10</v>
      </c>
      <c r="D45" s="7">
        <f t="shared" si="4"/>
        <v>5598</v>
      </c>
      <c r="E45" s="7">
        <v>1866</v>
      </c>
      <c r="F45" s="7">
        <v>1866</v>
      </c>
      <c r="G45" s="7">
        <v>1866</v>
      </c>
      <c r="H45" s="1"/>
      <c r="I45" s="1"/>
      <c r="J45" s="1"/>
    </row>
    <row r="46" spans="1:10" ht="111.75" customHeight="1" x14ac:dyDescent="0.25">
      <c r="A46" s="470" t="s">
        <v>34</v>
      </c>
      <c r="B46" s="471" t="s">
        <v>33</v>
      </c>
      <c r="C46" s="6" t="s">
        <v>9</v>
      </c>
      <c r="D46" s="7">
        <f t="shared" si="4"/>
        <v>6020.3</v>
      </c>
      <c r="E46" s="7">
        <v>3320.3</v>
      </c>
      <c r="F46" s="7">
        <v>2100</v>
      </c>
      <c r="G46" s="7">
        <v>600</v>
      </c>
      <c r="H46" s="1"/>
      <c r="I46" s="1"/>
      <c r="J46" s="1"/>
    </row>
    <row r="47" spans="1:10" ht="37.5" x14ac:dyDescent="0.25">
      <c r="A47" s="470"/>
      <c r="B47" s="457"/>
      <c r="C47" s="6" t="s">
        <v>10</v>
      </c>
      <c r="D47" s="7">
        <f t="shared" si="4"/>
        <v>0</v>
      </c>
      <c r="E47" s="7"/>
      <c r="F47" s="7"/>
      <c r="G47" s="7"/>
      <c r="H47" s="1"/>
      <c r="I47" s="1"/>
      <c r="J47" s="1"/>
    </row>
    <row r="48" spans="1:10" ht="46.9" customHeight="1" x14ac:dyDescent="0.25">
      <c r="A48" s="470"/>
      <c r="B48" s="457"/>
      <c r="C48" s="6" t="s">
        <v>11</v>
      </c>
      <c r="D48" s="7">
        <f t="shared" si="4"/>
        <v>0</v>
      </c>
      <c r="E48" s="7"/>
      <c r="F48" s="7"/>
      <c r="G48" s="7"/>
      <c r="H48" s="1"/>
      <c r="I48" s="1"/>
      <c r="J48" s="1"/>
    </row>
    <row r="49" spans="1:10" ht="37.5" x14ac:dyDescent="0.25">
      <c r="A49" s="470" t="s">
        <v>36</v>
      </c>
      <c r="B49" s="465" t="s">
        <v>35</v>
      </c>
      <c r="C49" s="6" t="s">
        <v>9</v>
      </c>
      <c r="D49" s="7">
        <f t="shared" si="4"/>
        <v>150</v>
      </c>
      <c r="E49" s="7">
        <v>50</v>
      </c>
      <c r="F49" s="7">
        <v>50</v>
      </c>
      <c r="G49" s="7">
        <v>50</v>
      </c>
      <c r="H49" s="1"/>
      <c r="I49" s="1"/>
      <c r="J49" s="1"/>
    </row>
    <row r="50" spans="1:10" ht="105.6" customHeight="1" x14ac:dyDescent="0.25">
      <c r="A50" s="470"/>
      <c r="B50" s="472"/>
      <c r="C50" s="6" t="s">
        <v>10</v>
      </c>
      <c r="D50" s="7">
        <f t="shared" si="4"/>
        <v>2848.8</v>
      </c>
      <c r="E50" s="7">
        <v>949.6</v>
      </c>
      <c r="F50" s="7">
        <v>949.6</v>
      </c>
      <c r="G50" s="7">
        <v>949.6</v>
      </c>
      <c r="H50" s="1"/>
      <c r="I50" s="1"/>
      <c r="J50" s="1"/>
    </row>
    <row r="51" spans="1:10" ht="281.45" customHeight="1" x14ac:dyDescent="0.25">
      <c r="A51" s="10" t="s">
        <v>37</v>
      </c>
      <c r="B51" s="6" t="s">
        <v>38</v>
      </c>
      <c r="C51" s="6" t="s">
        <v>9</v>
      </c>
      <c r="D51" s="7">
        <f t="shared" si="4"/>
        <v>12000</v>
      </c>
      <c r="E51" s="16">
        <v>4000</v>
      </c>
      <c r="F51" s="16">
        <v>4000</v>
      </c>
      <c r="G51" s="16">
        <v>4000</v>
      </c>
    </row>
    <row r="52" spans="1:10" ht="95.25" customHeight="1" x14ac:dyDescent="0.25">
      <c r="A52" s="470" t="s">
        <v>102</v>
      </c>
      <c r="B52" s="457" t="s">
        <v>39</v>
      </c>
      <c r="C52" s="6" t="s">
        <v>9</v>
      </c>
      <c r="D52" s="7">
        <f t="shared" si="4"/>
        <v>0</v>
      </c>
      <c r="E52" s="16"/>
      <c r="F52" s="16"/>
      <c r="G52" s="16"/>
    </row>
    <row r="53" spans="1:10" ht="39" customHeight="1" thickBot="1" x14ac:dyDescent="0.3">
      <c r="A53" s="459"/>
      <c r="B53" s="459"/>
      <c r="C53" s="6" t="s">
        <v>10</v>
      </c>
      <c r="D53" s="7">
        <f t="shared" si="4"/>
        <v>0</v>
      </c>
      <c r="E53" s="16"/>
      <c r="F53" s="16"/>
      <c r="G53" s="16"/>
    </row>
    <row r="54" spans="1:10" ht="301.14999999999998" customHeight="1" thickBot="1" x14ac:dyDescent="0.3">
      <c r="A54" s="10" t="s">
        <v>40</v>
      </c>
      <c r="B54" s="17" t="s">
        <v>83</v>
      </c>
      <c r="C54" s="6" t="s">
        <v>9</v>
      </c>
      <c r="D54" s="14">
        <f t="shared" si="4"/>
        <v>35718</v>
      </c>
      <c r="E54" s="16">
        <v>11906</v>
      </c>
      <c r="F54" s="16">
        <f>E54</f>
        <v>11906</v>
      </c>
      <c r="G54" s="16">
        <f>F54</f>
        <v>11906</v>
      </c>
    </row>
    <row r="55" spans="1:10" ht="201" customHeight="1" x14ac:dyDescent="0.25">
      <c r="A55" s="10" t="s">
        <v>41</v>
      </c>
      <c r="B55" s="18" t="s">
        <v>84</v>
      </c>
      <c r="C55" s="6"/>
      <c r="D55" s="14">
        <f t="shared" si="4"/>
        <v>20910</v>
      </c>
      <c r="E55" s="16">
        <v>6970</v>
      </c>
      <c r="F55" s="16">
        <f>E55</f>
        <v>6970</v>
      </c>
      <c r="G55" s="16">
        <f>F55</f>
        <v>6970</v>
      </c>
    </row>
    <row r="56" spans="1:10" ht="56.25" x14ac:dyDescent="0.25">
      <c r="A56" s="10" t="s">
        <v>85</v>
      </c>
      <c r="B56" s="6" t="s">
        <v>44</v>
      </c>
      <c r="C56" s="6" t="s">
        <v>9</v>
      </c>
      <c r="D56" s="7">
        <f>D57+D58+D59+D60+D61</f>
        <v>2370</v>
      </c>
      <c r="E56" s="7">
        <f>E57+E58+E59+E60+E61</f>
        <v>790</v>
      </c>
      <c r="F56" s="7">
        <f>F57+F58+F59+F60+F61</f>
        <v>790</v>
      </c>
      <c r="G56" s="7">
        <f>G57+G58+G59+G60+G61</f>
        <v>790</v>
      </c>
    </row>
    <row r="57" spans="1:10" ht="131.25" x14ac:dyDescent="0.3">
      <c r="A57" s="10" t="s">
        <v>103</v>
      </c>
      <c r="B57" s="5" t="s">
        <v>42</v>
      </c>
      <c r="C57" s="6" t="s">
        <v>9</v>
      </c>
      <c r="D57" s="7">
        <f t="shared" si="4"/>
        <v>120</v>
      </c>
      <c r="E57" s="16">
        <v>40</v>
      </c>
      <c r="F57" s="16">
        <v>40</v>
      </c>
      <c r="G57" s="16">
        <v>40</v>
      </c>
    </row>
    <row r="58" spans="1:10" ht="168.75" x14ac:dyDescent="0.25">
      <c r="A58" s="19" t="s">
        <v>104</v>
      </c>
      <c r="B58" s="6" t="s">
        <v>45</v>
      </c>
      <c r="C58" s="6" t="s">
        <v>9</v>
      </c>
      <c r="D58" s="7">
        <f t="shared" si="4"/>
        <v>900</v>
      </c>
      <c r="E58" s="16">
        <v>300</v>
      </c>
      <c r="F58" s="16">
        <v>300</v>
      </c>
      <c r="G58" s="16">
        <v>300</v>
      </c>
    </row>
    <row r="59" spans="1:10" ht="37.5" x14ac:dyDescent="0.25">
      <c r="A59" s="20" t="s">
        <v>105</v>
      </c>
      <c r="B59" s="21" t="s">
        <v>46</v>
      </c>
      <c r="C59" s="6" t="s">
        <v>9</v>
      </c>
      <c r="D59" s="7">
        <f t="shared" si="4"/>
        <v>150</v>
      </c>
      <c r="E59" s="16">
        <v>50</v>
      </c>
      <c r="F59" s="16">
        <v>50</v>
      </c>
      <c r="G59" s="16">
        <v>50</v>
      </c>
    </row>
    <row r="60" spans="1:10" ht="93.75" x14ac:dyDescent="0.3">
      <c r="A60" s="20" t="s">
        <v>106</v>
      </c>
      <c r="B60" s="22" t="s">
        <v>48</v>
      </c>
      <c r="C60" s="6" t="s">
        <v>9</v>
      </c>
      <c r="D60" s="7">
        <f t="shared" si="4"/>
        <v>750</v>
      </c>
      <c r="E60" s="16">
        <v>250</v>
      </c>
      <c r="F60" s="16">
        <v>250</v>
      </c>
      <c r="G60" s="16">
        <v>250</v>
      </c>
    </row>
    <row r="61" spans="1:10" ht="50.25" customHeight="1" x14ac:dyDescent="0.3">
      <c r="A61" s="20" t="s">
        <v>107</v>
      </c>
      <c r="B61" s="5" t="s">
        <v>47</v>
      </c>
      <c r="C61" s="6" t="s">
        <v>9</v>
      </c>
      <c r="D61" s="7">
        <f t="shared" si="4"/>
        <v>450</v>
      </c>
      <c r="E61" s="16">
        <v>150</v>
      </c>
      <c r="F61" s="16">
        <v>150</v>
      </c>
      <c r="G61" s="16">
        <v>150</v>
      </c>
    </row>
    <row r="62" spans="1:10" ht="207" customHeight="1" x14ac:dyDescent="0.25">
      <c r="A62" s="467" t="s">
        <v>86</v>
      </c>
      <c r="B62" s="465" t="s">
        <v>60</v>
      </c>
      <c r="C62" s="6" t="s">
        <v>9</v>
      </c>
      <c r="D62" s="16">
        <f t="shared" si="4"/>
        <v>33.900000000000006</v>
      </c>
      <c r="E62" s="16">
        <v>11.3</v>
      </c>
      <c r="F62" s="16">
        <v>11.3</v>
      </c>
      <c r="G62" s="16">
        <v>11.3</v>
      </c>
    </row>
    <row r="63" spans="1:10" ht="50.25" customHeight="1" x14ac:dyDescent="0.25">
      <c r="A63" s="468"/>
      <c r="B63" s="466"/>
      <c r="C63" s="6" t="s">
        <v>10</v>
      </c>
      <c r="D63" s="16">
        <f t="shared" si="4"/>
        <v>642.59999999999991</v>
      </c>
      <c r="E63" s="16">
        <v>214.2</v>
      </c>
      <c r="F63" s="16">
        <v>214.2</v>
      </c>
      <c r="G63" s="16">
        <v>214.2</v>
      </c>
    </row>
    <row r="64" spans="1:10" ht="50.25" customHeight="1" x14ac:dyDescent="0.25">
      <c r="A64" s="467" t="s">
        <v>101</v>
      </c>
      <c r="B64" s="457" t="s">
        <v>62</v>
      </c>
      <c r="C64" s="6" t="s">
        <v>9</v>
      </c>
      <c r="D64" s="16">
        <f t="shared" si="4"/>
        <v>429.2</v>
      </c>
      <c r="E64" s="16">
        <v>143.1</v>
      </c>
      <c r="F64" s="16">
        <v>143.1</v>
      </c>
      <c r="G64" s="16">
        <v>143</v>
      </c>
    </row>
    <row r="65" spans="1:7" ht="50.25" customHeight="1" x14ac:dyDescent="0.25">
      <c r="A65" s="468"/>
      <c r="B65" s="460"/>
      <c r="C65" s="6" t="s">
        <v>10</v>
      </c>
      <c r="D65" s="16">
        <f t="shared" si="4"/>
        <v>8153.7000000000007</v>
      </c>
      <c r="E65" s="16">
        <v>2717.9</v>
      </c>
      <c r="F65" s="16">
        <v>2717.9</v>
      </c>
      <c r="G65" s="16">
        <v>2717.9</v>
      </c>
    </row>
    <row r="66" spans="1:7" ht="36.6" customHeight="1" x14ac:dyDescent="0.25">
      <c r="A66" s="473"/>
      <c r="B66" s="474" t="s">
        <v>90</v>
      </c>
      <c r="C66" s="11" t="s">
        <v>9</v>
      </c>
      <c r="D66" s="12">
        <f>D34+D44+D46+D49+D51+D52+D54+D55+D56+D62+D64</f>
        <v>299814.00000000006</v>
      </c>
      <c r="E66" s="12">
        <f>E34+E44+E46+E49+E51+E52+E54+E55+E56+E62+E64</f>
        <v>99378.900000000009</v>
      </c>
      <c r="F66" s="12">
        <f>F34+F44+F46+F49+F51+F52+F54+F55+F56+F62+F64</f>
        <v>100967.6</v>
      </c>
      <c r="G66" s="12">
        <f>G34+G44+G46+G49+G51+G52+G54+G55+G56+G62+G64</f>
        <v>99467.5</v>
      </c>
    </row>
    <row r="67" spans="1:7" ht="42" customHeight="1" x14ac:dyDescent="0.25">
      <c r="A67" s="473"/>
      <c r="B67" s="474"/>
      <c r="C67" s="11" t="s">
        <v>10</v>
      </c>
      <c r="D67" s="12">
        <f>D35+D45+D47+D50+D53+D63+D65</f>
        <v>22030.1</v>
      </c>
      <c r="E67" s="12">
        <f>E35+E45+E47+E50+E53+E63+E65</f>
        <v>7276.7000000000007</v>
      </c>
      <c r="F67" s="12">
        <f>F35+F45+F47+F50+F53+F63+F65</f>
        <v>7376.7000000000007</v>
      </c>
      <c r="G67" s="12">
        <f>G35+G45+G47+G50+G53+G63+G65</f>
        <v>7376.7000000000007</v>
      </c>
    </row>
    <row r="68" spans="1:7" ht="49.9" customHeight="1" x14ac:dyDescent="0.25">
      <c r="A68" s="473"/>
      <c r="B68" s="474"/>
      <c r="C68" s="11" t="s">
        <v>11</v>
      </c>
      <c r="D68" s="12">
        <f>D36+D48</f>
        <v>0</v>
      </c>
      <c r="E68" s="12">
        <f>E36+E48</f>
        <v>0</v>
      </c>
      <c r="F68" s="12">
        <f>F36+F48</f>
        <v>0</v>
      </c>
      <c r="G68" s="12">
        <f>G36+G48</f>
        <v>0</v>
      </c>
    </row>
    <row r="69" spans="1:7" ht="22.15" customHeight="1" x14ac:dyDescent="0.25">
      <c r="A69" s="469" t="s">
        <v>49</v>
      </c>
      <c r="B69" s="469"/>
      <c r="C69" s="469"/>
      <c r="D69" s="469"/>
      <c r="E69" s="469"/>
      <c r="F69" s="469"/>
      <c r="G69" s="469"/>
    </row>
    <row r="70" spans="1:7" ht="37.5" x14ac:dyDescent="0.25">
      <c r="A70" s="458" t="s">
        <v>52</v>
      </c>
      <c r="B70" s="457" t="s">
        <v>50</v>
      </c>
      <c r="C70" s="6" t="s">
        <v>9</v>
      </c>
      <c r="D70" s="16">
        <f>D72+D74+D76+D78</f>
        <v>218639.1</v>
      </c>
      <c r="E70" s="16">
        <f>E72+E74+E76+E78</f>
        <v>71413.600000000006</v>
      </c>
      <c r="F70" s="16">
        <f>F72+F74+F76+F78</f>
        <v>74074.3</v>
      </c>
      <c r="G70" s="16">
        <f>G72+G74+G76+G78</f>
        <v>73151.200000000012</v>
      </c>
    </row>
    <row r="71" spans="1:7" ht="36.75" customHeight="1" x14ac:dyDescent="0.25">
      <c r="A71" s="459"/>
      <c r="B71" s="457"/>
      <c r="C71" s="6" t="s">
        <v>10</v>
      </c>
      <c r="D71" s="16">
        <f>D73+D75+D77</f>
        <v>1370</v>
      </c>
      <c r="E71" s="16">
        <f>E73+E75+E77</f>
        <v>390</v>
      </c>
      <c r="F71" s="16">
        <f>F73+F75+F77</f>
        <v>490</v>
      </c>
      <c r="G71" s="16">
        <f>G73+G75+G77</f>
        <v>490</v>
      </c>
    </row>
    <row r="72" spans="1:7" ht="112.5" customHeight="1" x14ac:dyDescent="0.25">
      <c r="A72" s="458" t="s">
        <v>54</v>
      </c>
      <c r="B72" s="457" t="s">
        <v>51</v>
      </c>
      <c r="C72" s="6" t="s">
        <v>9</v>
      </c>
      <c r="D72" s="16">
        <f t="shared" ref="D72:D83" si="5">E72+F72+G72</f>
        <v>160972.70000000001</v>
      </c>
      <c r="E72" s="16">
        <f>52854.3</f>
        <v>52854.3</v>
      </c>
      <c r="F72" s="16">
        <f>53649.6</f>
        <v>53649.599999999999</v>
      </c>
      <c r="G72" s="16">
        <f>54468.8</f>
        <v>54468.800000000003</v>
      </c>
    </row>
    <row r="73" spans="1:7" ht="43.9" customHeight="1" x14ac:dyDescent="0.25">
      <c r="A73" s="459"/>
      <c r="B73" s="460"/>
      <c r="C73" s="6" t="s">
        <v>10</v>
      </c>
      <c r="D73" s="16">
        <f t="shared" si="5"/>
        <v>0</v>
      </c>
      <c r="E73" s="16"/>
      <c r="F73" s="16"/>
      <c r="G73" s="16"/>
    </row>
    <row r="74" spans="1:7" ht="37.5" x14ac:dyDescent="0.25">
      <c r="A74" s="461" t="s">
        <v>55</v>
      </c>
      <c r="B74" s="457" t="s">
        <v>28</v>
      </c>
      <c r="C74" s="6" t="s">
        <v>9</v>
      </c>
      <c r="D74" s="16">
        <f t="shared" si="5"/>
        <v>0</v>
      </c>
      <c r="E74" s="16"/>
      <c r="F74" s="16"/>
      <c r="G74" s="16"/>
    </row>
    <row r="75" spans="1:7" ht="66.599999999999994" customHeight="1" x14ac:dyDescent="0.25">
      <c r="A75" s="461"/>
      <c r="B75" s="460"/>
      <c r="C75" s="6" t="s">
        <v>10</v>
      </c>
      <c r="D75" s="23">
        <f t="shared" si="5"/>
        <v>1370</v>
      </c>
      <c r="E75" s="16">
        <v>390</v>
      </c>
      <c r="F75" s="16">
        <v>490</v>
      </c>
      <c r="G75" s="16">
        <v>490</v>
      </c>
    </row>
    <row r="76" spans="1:7" ht="44.45" customHeight="1" x14ac:dyDescent="0.25">
      <c r="A76" s="461" t="s">
        <v>56</v>
      </c>
      <c r="B76" s="462" t="s">
        <v>57</v>
      </c>
      <c r="C76" s="6" t="s">
        <v>9</v>
      </c>
      <c r="D76" s="16">
        <f t="shared" si="5"/>
        <v>52127.4</v>
      </c>
      <c r="E76" s="16">
        <v>17032.3</v>
      </c>
      <c r="F76" s="16">
        <v>17412.7</v>
      </c>
      <c r="G76" s="16">
        <v>17682.400000000001</v>
      </c>
    </row>
    <row r="77" spans="1:7" ht="57" customHeight="1" x14ac:dyDescent="0.25">
      <c r="A77" s="461"/>
      <c r="B77" s="462"/>
      <c r="C77" s="6" t="s">
        <v>10</v>
      </c>
      <c r="D77" s="16">
        <f t="shared" si="5"/>
        <v>0</v>
      </c>
      <c r="E77" s="16"/>
      <c r="F77" s="16"/>
      <c r="G77" s="16"/>
    </row>
    <row r="78" spans="1:7" ht="103.15" customHeight="1" x14ac:dyDescent="0.25">
      <c r="A78" s="24" t="s">
        <v>58</v>
      </c>
      <c r="B78" s="6" t="s">
        <v>59</v>
      </c>
      <c r="C78" s="6" t="s">
        <v>9</v>
      </c>
      <c r="D78" s="16">
        <f t="shared" si="5"/>
        <v>5539</v>
      </c>
      <c r="E78" s="16">
        <v>1527</v>
      </c>
      <c r="F78" s="16">
        <v>3012</v>
      </c>
      <c r="G78" s="16">
        <v>1000</v>
      </c>
    </row>
    <row r="79" spans="1:7" ht="150" customHeight="1" x14ac:dyDescent="0.25">
      <c r="A79" s="10" t="s">
        <v>53</v>
      </c>
      <c r="B79" s="6" t="s">
        <v>100</v>
      </c>
      <c r="C79" s="6" t="s">
        <v>9</v>
      </c>
      <c r="D79" s="16">
        <f t="shared" si="5"/>
        <v>1500</v>
      </c>
      <c r="E79" s="16">
        <v>500</v>
      </c>
      <c r="F79" s="16">
        <v>500</v>
      </c>
      <c r="G79" s="16">
        <v>500</v>
      </c>
    </row>
    <row r="80" spans="1:7" ht="38.450000000000003" customHeight="1" x14ac:dyDescent="0.25">
      <c r="A80" s="453" t="s">
        <v>61</v>
      </c>
      <c r="B80" s="455" t="s">
        <v>110</v>
      </c>
      <c r="C80" s="2" t="s">
        <v>9</v>
      </c>
      <c r="D80" s="25">
        <f t="shared" si="5"/>
        <v>0</v>
      </c>
      <c r="E80" s="25">
        <v>0</v>
      </c>
      <c r="F80" s="25">
        <v>0</v>
      </c>
      <c r="G80" s="25">
        <v>0</v>
      </c>
    </row>
    <row r="81" spans="1:7" ht="33.6" hidden="1" customHeight="1" x14ac:dyDescent="0.25">
      <c r="A81" s="454"/>
      <c r="B81" s="456"/>
      <c r="C81" s="2" t="s">
        <v>10</v>
      </c>
      <c r="D81" s="25">
        <f t="shared" si="5"/>
        <v>0</v>
      </c>
      <c r="E81" s="25">
        <v>0</v>
      </c>
      <c r="F81" s="25">
        <v>0</v>
      </c>
      <c r="G81" s="25">
        <v>0</v>
      </c>
    </row>
    <row r="82" spans="1:7" ht="39" customHeight="1" x14ac:dyDescent="0.25">
      <c r="A82" s="8" t="s">
        <v>82</v>
      </c>
      <c r="B82" s="2" t="s">
        <v>93</v>
      </c>
      <c r="C82" s="2" t="s">
        <v>9</v>
      </c>
      <c r="D82" s="25">
        <f t="shared" si="5"/>
        <v>150</v>
      </c>
      <c r="E82" s="25">
        <v>50</v>
      </c>
      <c r="F82" s="25">
        <v>50</v>
      </c>
      <c r="G82" s="25">
        <v>50</v>
      </c>
    </row>
    <row r="83" spans="1:7" ht="67.150000000000006" customHeight="1" x14ac:dyDescent="0.25">
      <c r="A83" s="8" t="s">
        <v>92</v>
      </c>
      <c r="B83" s="2" t="s">
        <v>94</v>
      </c>
      <c r="C83" s="2" t="s">
        <v>9</v>
      </c>
      <c r="D83" s="25">
        <f t="shared" si="5"/>
        <v>252</v>
      </c>
      <c r="E83" s="25">
        <v>84</v>
      </c>
      <c r="F83" s="25">
        <v>84</v>
      </c>
      <c r="G83" s="25">
        <v>84</v>
      </c>
    </row>
    <row r="84" spans="1:7" ht="49.15" customHeight="1" x14ac:dyDescent="0.25">
      <c r="A84" s="479"/>
      <c r="B84" s="481" t="s">
        <v>90</v>
      </c>
      <c r="C84" s="26" t="s">
        <v>9</v>
      </c>
      <c r="D84" s="27">
        <f>D70+D79+D80+D82+D83</f>
        <v>220541.1</v>
      </c>
      <c r="E84" s="27">
        <f>E70+E79+E80+E82+E83</f>
        <v>72047.600000000006</v>
      </c>
      <c r="F84" s="27">
        <f>F70+F79+F80+F82+F83</f>
        <v>74708.3</v>
      </c>
      <c r="G84" s="27">
        <f>G70+G79+G80+G82+G83</f>
        <v>73785.200000000012</v>
      </c>
    </row>
    <row r="85" spans="1:7" ht="39.6" customHeight="1" x14ac:dyDescent="0.25">
      <c r="A85" s="480"/>
      <c r="B85" s="482"/>
      <c r="C85" s="26" t="s">
        <v>10</v>
      </c>
      <c r="D85" s="27">
        <f>D71+D81</f>
        <v>1370</v>
      </c>
      <c r="E85" s="27">
        <f>E71+E81</f>
        <v>390</v>
      </c>
      <c r="F85" s="27">
        <f>F71+F81</f>
        <v>490</v>
      </c>
      <c r="G85" s="27">
        <f>G71+G81</f>
        <v>490</v>
      </c>
    </row>
    <row r="86" spans="1:7" ht="18.75" x14ac:dyDescent="0.25">
      <c r="A86" s="508" t="s">
        <v>108</v>
      </c>
      <c r="B86" s="508"/>
      <c r="C86" s="508"/>
      <c r="D86" s="508"/>
      <c r="E86" s="508"/>
      <c r="F86" s="508"/>
      <c r="G86" s="508"/>
    </row>
    <row r="87" spans="1:7" ht="37.5" x14ac:dyDescent="0.3">
      <c r="A87" s="453" t="s">
        <v>64</v>
      </c>
      <c r="B87" s="465" t="s">
        <v>63</v>
      </c>
      <c r="C87" s="6" t="s">
        <v>9</v>
      </c>
      <c r="D87" s="28">
        <f>E87+F87+G87</f>
        <v>11632.599999999999</v>
      </c>
      <c r="E87" s="28">
        <v>3752.6</v>
      </c>
      <c r="F87" s="28">
        <v>3876.3</v>
      </c>
      <c r="G87" s="28">
        <v>4003.7</v>
      </c>
    </row>
    <row r="88" spans="1:7" ht="37.5" x14ac:dyDescent="0.3">
      <c r="A88" s="454"/>
      <c r="B88" s="466"/>
      <c r="C88" s="6" t="s">
        <v>10</v>
      </c>
      <c r="D88" s="28">
        <f t="shared" ref="D88:D94" si="6">E88+F88+G88</f>
        <v>0</v>
      </c>
      <c r="E88" s="28"/>
      <c r="F88" s="28"/>
      <c r="G88" s="28"/>
    </row>
    <row r="89" spans="1:7" ht="37.5" x14ac:dyDescent="0.3">
      <c r="A89" s="470" t="s">
        <v>68</v>
      </c>
      <c r="B89" s="465" t="s">
        <v>65</v>
      </c>
      <c r="C89" s="6" t="s">
        <v>9</v>
      </c>
      <c r="D89" s="28">
        <f t="shared" si="6"/>
        <v>9703.2999999999993</v>
      </c>
      <c r="E89" s="28">
        <v>3066</v>
      </c>
      <c r="F89" s="28">
        <v>3232.8</v>
      </c>
      <c r="G89" s="28">
        <v>3404.5</v>
      </c>
    </row>
    <row r="90" spans="1:7" ht="64.900000000000006" customHeight="1" x14ac:dyDescent="0.3">
      <c r="A90" s="470"/>
      <c r="B90" s="466"/>
      <c r="C90" s="6" t="s">
        <v>10</v>
      </c>
      <c r="D90" s="28">
        <f t="shared" si="6"/>
        <v>0</v>
      </c>
      <c r="E90" s="28"/>
      <c r="F90" s="28"/>
      <c r="G90" s="28"/>
    </row>
    <row r="91" spans="1:7" ht="37.5" x14ac:dyDescent="0.3">
      <c r="A91" s="470" t="s">
        <v>69</v>
      </c>
      <c r="B91" s="465" t="s">
        <v>66</v>
      </c>
      <c r="C91" s="6" t="s">
        <v>9</v>
      </c>
      <c r="D91" s="28">
        <f t="shared" si="6"/>
        <v>22378.799999999999</v>
      </c>
      <c r="E91" s="28">
        <v>7145.5</v>
      </c>
      <c r="F91" s="28">
        <v>7456.5</v>
      </c>
      <c r="G91" s="28">
        <v>7776.8</v>
      </c>
    </row>
    <row r="92" spans="1:7" ht="37.5" x14ac:dyDescent="0.3">
      <c r="A92" s="470"/>
      <c r="B92" s="466"/>
      <c r="C92" s="6" t="s">
        <v>10</v>
      </c>
      <c r="D92" s="28">
        <f t="shared" si="6"/>
        <v>0</v>
      </c>
      <c r="E92" s="28"/>
      <c r="F92" s="28"/>
      <c r="G92" s="28"/>
    </row>
    <row r="93" spans="1:7" ht="37.5" x14ac:dyDescent="0.3">
      <c r="A93" s="488" t="s">
        <v>70</v>
      </c>
      <c r="B93" s="465" t="s">
        <v>67</v>
      </c>
      <c r="C93" s="6" t="s">
        <v>9</v>
      </c>
      <c r="D93" s="28">
        <f t="shared" si="6"/>
        <v>87547.799999999988</v>
      </c>
      <c r="E93" s="28">
        <v>27886.6</v>
      </c>
      <c r="F93" s="28">
        <v>29169.8</v>
      </c>
      <c r="G93" s="28">
        <v>30491.4</v>
      </c>
    </row>
    <row r="94" spans="1:7" ht="37.5" x14ac:dyDescent="0.3">
      <c r="A94" s="488"/>
      <c r="B94" s="466"/>
      <c r="C94" s="6" t="s">
        <v>10</v>
      </c>
      <c r="D94" s="28">
        <f t="shared" si="6"/>
        <v>0</v>
      </c>
      <c r="E94" s="28"/>
      <c r="F94" s="28"/>
      <c r="G94" s="28"/>
    </row>
    <row r="95" spans="1:7" ht="37.5" x14ac:dyDescent="0.3">
      <c r="A95" s="488" t="s">
        <v>99</v>
      </c>
      <c r="B95" s="489" t="s">
        <v>109</v>
      </c>
      <c r="C95" s="6" t="s">
        <v>9</v>
      </c>
      <c r="D95" s="28">
        <f>E95+F95+G95</f>
        <v>25102.9</v>
      </c>
      <c r="E95" s="28">
        <v>7952.2</v>
      </c>
      <c r="F95" s="28">
        <v>8363.5</v>
      </c>
      <c r="G95" s="28">
        <v>8787.2000000000007</v>
      </c>
    </row>
    <row r="96" spans="1:7" ht="37.5" x14ac:dyDescent="0.3">
      <c r="A96" s="488"/>
      <c r="B96" s="490"/>
      <c r="C96" s="6" t="s">
        <v>10</v>
      </c>
      <c r="D96" s="28">
        <f>E96+F96+G96</f>
        <v>0</v>
      </c>
      <c r="E96" s="28"/>
      <c r="F96" s="28"/>
      <c r="G96" s="28"/>
    </row>
    <row r="97" spans="1:7" ht="39.6" customHeight="1" x14ac:dyDescent="0.3">
      <c r="A97" s="483"/>
      <c r="B97" s="485" t="s">
        <v>90</v>
      </c>
      <c r="C97" s="11" t="s">
        <v>9</v>
      </c>
      <c r="D97" s="29">
        <f t="shared" ref="D97:G98" si="7">D87+D89+D91+D93+D95</f>
        <v>156365.4</v>
      </c>
      <c r="E97" s="29">
        <f t="shared" si="7"/>
        <v>49802.899999999994</v>
      </c>
      <c r="F97" s="29">
        <f t="shared" si="7"/>
        <v>52098.9</v>
      </c>
      <c r="G97" s="29">
        <f t="shared" si="7"/>
        <v>54463.600000000006</v>
      </c>
    </row>
    <row r="98" spans="1:7" ht="43.15" customHeight="1" x14ac:dyDescent="0.3">
      <c r="A98" s="484"/>
      <c r="B98" s="485"/>
      <c r="C98" s="11" t="s">
        <v>10</v>
      </c>
      <c r="D98" s="29">
        <f t="shared" si="7"/>
        <v>0</v>
      </c>
      <c r="E98" s="29">
        <f t="shared" si="7"/>
        <v>0</v>
      </c>
      <c r="F98" s="29">
        <f t="shared" si="7"/>
        <v>0</v>
      </c>
      <c r="G98" s="29">
        <f t="shared" si="7"/>
        <v>0</v>
      </c>
    </row>
    <row r="99" spans="1:7" ht="25.9" customHeight="1" x14ac:dyDescent="0.3">
      <c r="A99" s="507" t="s">
        <v>71</v>
      </c>
      <c r="B99" s="507"/>
      <c r="C99" s="507"/>
      <c r="D99" s="507"/>
      <c r="E99" s="507"/>
      <c r="F99" s="507"/>
      <c r="G99" s="507"/>
    </row>
    <row r="100" spans="1:7" ht="175.15" customHeight="1" x14ac:dyDescent="0.3">
      <c r="A100" s="465" t="s">
        <v>73</v>
      </c>
      <c r="B100" s="30" t="s">
        <v>95</v>
      </c>
      <c r="C100" s="37" t="s">
        <v>9</v>
      </c>
      <c r="D100" s="28">
        <f>E100+F100+G100</f>
        <v>12435</v>
      </c>
      <c r="E100" s="38">
        <v>4145</v>
      </c>
      <c r="F100" s="31">
        <v>4145</v>
      </c>
      <c r="G100" s="31">
        <v>4145</v>
      </c>
    </row>
    <row r="101" spans="1:7" ht="112.9" customHeight="1" x14ac:dyDescent="0.3">
      <c r="A101" s="493"/>
      <c r="B101" s="32" t="s">
        <v>96</v>
      </c>
      <c r="C101" s="39"/>
      <c r="D101" s="28">
        <f t="shared" ref="D101:D107" si="8">E101+F101+G101</f>
        <v>984.30000000000007</v>
      </c>
      <c r="E101" s="40">
        <v>328.1</v>
      </c>
      <c r="F101" s="33">
        <v>328.1</v>
      </c>
      <c r="G101" s="33">
        <v>328.1</v>
      </c>
    </row>
    <row r="102" spans="1:7" ht="93.6" customHeight="1" x14ac:dyDescent="0.3">
      <c r="A102" s="493"/>
      <c r="B102" s="493" t="s">
        <v>97</v>
      </c>
      <c r="C102" s="41"/>
      <c r="D102" s="28">
        <f t="shared" si="8"/>
        <v>865.19999999999993</v>
      </c>
      <c r="E102" s="42">
        <v>288.39999999999998</v>
      </c>
      <c r="F102" s="34">
        <v>288.39999999999998</v>
      </c>
      <c r="G102" s="34">
        <v>288.39999999999998</v>
      </c>
    </row>
    <row r="103" spans="1:7" ht="69.599999999999994" customHeight="1" x14ac:dyDescent="0.3">
      <c r="A103" s="454"/>
      <c r="B103" s="466"/>
      <c r="C103" s="35" t="s">
        <v>10</v>
      </c>
      <c r="D103" s="31">
        <f t="shared" si="8"/>
        <v>16581.900000000001</v>
      </c>
      <c r="E103" s="28">
        <v>5527.3</v>
      </c>
      <c r="F103" s="28">
        <v>5527.3</v>
      </c>
      <c r="G103" s="28">
        <v>5527.3</v>
      </c>
    </row>
    <row r="104" spans="1:7" ht="78.599999999999994" customHeight="1" x14ac:dyDescent="0.3">
      <c r="A104" s="8" t="s">
        <v>75</v>
      </c>
      <c r="B104" s="13" t="s">
        <v>74</v>
      </c>
      <c r="C104" s="2" t="s">
        <v>9</v>
      </c>
      <c r="D104" s="31">
        <f t="shared" si="8"/>
        <v>450</v>
      </c>
      <c r="E104" s="31">
        <v>150</v>
      </c>
      <c r="F104" s="31">
        <v>150</v>
      </c>
      <c r="G104" s="31">
        <v>150</v>
      </c>
    </row>
    <row r="105" spans="1:7" ht="130.9" customHeight="1" x14ac:dyDescent="0.3">
      <c r="A105" s="10" t="s">
        <v>78</v>
      </c>
      <c r="B105" s="6" t="s">
        <v>81</v>
      </c>
      <c r="C105" s="2" t="s">
        <v>9</v>
      </c>
      <c r="D105" s="31">
        <f t="shared" si="8"/>
        <v>300</v>
      </c>
      <c r="E105" s="28">
        <v>100</v>
      </c>
      <c r="F105" s="28">
        <v>100</v>
      </c>
      <c r="G105" s="28">
        <v>100</v>
      </c>
    </row>
    <row r="106" spans="1:7" ht="142.9" customHeight="1" x14ac:dyDescent="0.3">
      <c r="A106" s="10" t="s">
        <v>79</v>
      </c>
      <c r="B106" s="6" t="s">
        <v>77</v>
      </c>
      <c r="C106" s="2" t="s">
        <v>9</v>
      </c>
      <c r="D106" s="31">
        <f t="shared" si="8"/>
        <v>240</v>
      </c>
      <c r="E106" s="28">
        <v>80</v>
      </c>
      <c r="F106" s="28">
        <v>80</v>
      </c>
      <c r="G106" s="28">
        <v>80</v>
      </c>
    </row>
    <row r="107" spans="1:7" ht="75" x14ac:dyDescent="0.3">
      <c r="A107" s="10" t="s">
        <v>80</v>
      </c>
      <c r="B107" s="6" t="s">
        <v>76</v>
      </c>
      <c r="C107" s="6" t="s">
        <v>9</v>
      </c>
      <c r="D107" s="28">
        <f t="shared" si="8"/>
        <v>3600</v>
      </c>
      <c r="E107" s="28">
        <v>1200</v>
      </c>
      <c r="F107" s="28">
        <v>1200</v>
      </c>
      <c r="G107" s="28">
        <v>1200</v>
      </c>
    </row>
    <row r="108" spans="1:7" ht="37.5" x14ac:dyDescent="0.3">
      <c r="A108" s="486"/>
      <c r="B108" s="487" t="s">
        <v>90</v>
      </c>
      <c r="C108" s="36" t="s">
        <v>9</v>
      </c>
      <c r="D108" s="29">
        <f>D100+D104+D105+D106+D107</f>
        <v>17025</v>
      </c>
      <c r="E108" s="29">
        <f>E100+E104+E105+E106+E107</f>
        <v>5675</v>
      </c>
      <c r="F108" s="29">
        <f>F100+F104+F105+F106+F107</f>
        <v>5675</v>
      </c>
      <c r="G108" s="29">
        <f>G100+G104+G105+G106+G107</f>
        <v>5675</v>
      </c>
    </row>
    <row r="109" spans="1:7" ht="37.5" x14ac:dyDescent="0.3">
      <c r="A109" s="486"/>
      <c r="B109" s="486"/>
      <c r="C109" s="36" t="s">
        <v>10</v>
      </c>
      <c r="D109" s="29">
        <f>D103</f>
        <v>16581.900000000001</v>
      </c>
      <c r="E109" s="29">
        <f>E103</f>
        <v>5527.3</v>
      </c>
      <c r="F109" s="29">
        <f>F103</f>
        <v>5527.3</v>
      </c>
      <c r="G109" s="29">
        <f>G103</f>
        <v>5527.3</v>
      </c>
    </row>
    <row r="110" spans="1:7" ht="37.5" x14ac:dyDescent="0.3">
      <c r="A110" s="475"/>
      <c r="B110" s="478" t="s">
        <v>98</v>
      </c>
      <c r="C110" s="36" t="s">
        <v>9</v>
      </c>
      <c r="D110" s="29">
        <f t="shared" ref="D110:G111" si="9">D30+D66+D84+D97+D108</f>
        <v>1030582.4</v>
      </c>
      <c r="E110" s="29">
        <f t="shared" si="9"/>
        <v>337948.5</v>
      </c>
      <c r="F110" s="29">
        <f t="shared" si="9"/>
        <v>346346.2</v>
      </c>
      <c r="G110" s="29">
        <f t="shared" si="9"/>
        <v>346287.69999999995</v>
      </c>
    </row>
    <row r="111" spans="1:7" ht="37.5" x14ac:dyDescent="0.3">
      <c r="A111" s="476"/>
      <c r="B111" s="476"/>
      <c r="C111" s="36" t="s">
        <v>10</v>
      </c>
      <c r="D111" s="29">
        <f t="shared" si="9"/>
        <v>78534.8</v>
      </c>
      <c r="E111" s="29">
        <f t="shared" si="9"/>
        <v>48605</v>
      </c>
      <c r="F111" s="29">
        <f t="shared" si="9"/>
        <v>14964.900000000001</v>
      </c>
      <c r="G111" s="29">
        <f t="shared" si="9"/>
        <v>14964.900000000001</v>
      </c>
    </row>
    <row r="112" spans="1:7" ht="37.5" x14ac:dyDescent="0.3">
      <c r="A112" s="477"/>
      <c r="B112" s="477"/>
      <c r="C112" s="36" t="s">
        <v>11</v>
      </c>
      <c r="D112" s="29">
        <f>D32+D68</f>
        <v>0</v>
      </c>
      <c r="E112" s="29">
        <f>E32+E68</f>
        <v>0</v>
      </c>
      <c r="F112" s="29">
        <f>F32+F68</f>
        <v>0</v>
      </c>
      <c r="G112" s="29">
        <f>G32+G68</f>
        <v>0</v>
      </c>
    </row>
  </sheetData>
  <mergeCells count="77">
    <mergeCell ref="B2:G3"/>
    <mergeCell ref="A100:A103"/>
    <mergeCell ref="B102:B103"/>
    <mergeCell ref="A91:A92"/>
    <mergeCell ref="B91:B92"/>
    <mergeCell ref="A93:A94"/>
    <mergeCell ref="B93:B94"/>
    <mergeCell ref="A99:G99"/>
    <mergeCell ref="A86:G86"/>
    <mergeCell ref="B37:B39"/>
    <mergeCell ref="A18:A20"/>
    <mergeCell ref="B18:B20"/>
    <mergeCell ref="B27:B28"/>
    <mergeCell ref="E5:G5"/>
    <mergeCell ref="A5:A6"/>
    <mergeCell ref="B5:B6"/>
    <mergeCell ref="D5:D6"/>
    <mergeCell ref="C5:C6"/>
    <mergeCell ref="A34:A36"/>
    <mergeCell ref="A27:A28"/>
    <mergeCell ref="A30:A32"/>
    <mergeCell ref="B30:B32"/>
    <mergeCell ref="A7:G7"/>
    <mergeCell ref="A14:A16"/>
    <mergeCell ref="B14:B16"/>
    <mergeCell ref="A8:A10"/>
    <mergeCell ref="B8:B10"/>
    <mergeCell ref="A11:A13"/>
    <mergeCell ref="B11:B13"/>
    <mergeCell ref="A40:A42"/>
    <mergeCell ref="B40:B42"/>
    <mergeCell ref="A21:A23"/>
    <mergeCell ref="B21:B23"/>
    <mergeCell ref="A37:A39"/>
    <mergeCell ref="A24:A26"/>
    <mergeCell ref="B24:B26"/>
    <mergeCell ref="B34:B36"/>
    <mergeCell ref="A33:G33"/>
    <mergeCell ref="A110:A112"/>
    <mergeCell ref="B110:B112"/>
    <mergeCell ref="A84:A85"/>
    <mergeCell ref="B84:B85"/>
    <mergeCell ref="A97:A98"/>
    <mergeCell ref="B97:B98"/>
    <mergeCell ref="B89:B90"/>
    <mergeCell ref="A87:A88"/>
    <mergeCell ref="A108:A109"/>
    <mergeCell ref="B108:B109"/>
    <mergeCell ref="B87:B88"/>
    <mergeCell ref="A95:A96"/>
    <mergeCell ref="B95:B96"/>
    <mergeCell ref="A89:A90"/>
    <mergeCell ref="A44:A45"/>
    <mergeCell ref="B44:B45"/>
    <mergeCell ref="B74:B75"/>
    <mergeCell ref="B62:B63"/>
    <mergeCell ref="A62:A63"/>
    <mergeCell ref="A69:G69"/>
    <mergeCell ref="A46:A48"/>
    <mergeCell ref="B46:B48"/>
    <mergeCell ref="A49:A50"/>
    <mergeCell ref="B49:B50"/>
    <mergeCell ref="A66:A68"/>
    <mergeCell ref="A52:A53"/>
    <mergeCell ref="B52:B53"/>
    <mergeCell ref="B64:B65"/>
    <mergeCell ref="A64:A65"/>
    <mergeCell ref="B66:B68"/>
    <mergeCell ref="A80:A81"/>
    <mergeCell ref="B80:B81"/>
    <mergeCell ref="B70:B71"/>
    <mergeCell ref="A70:A71"/>
    <mergeCell ref="A72:A73"/>
    <mergeCell ref="B72:B73"/>
    <mergeCell ref="A74:A75"/>
    <mergeCell ref="A76:A77"/>
    <mergeCell ref="B76:B77"/>
  </mergeCells>
  <phoneticPr fontId="0" type="noConversion"/>
  <pageMargins left="0.70866141732283472" right="0.39370078740157483" top="0.74803149606299213" bottom="0.74803149606299213" header="0.31496062992125984" footer="0.31496062992125984"/>
  <pageSetup paperSize="9" scale="45" orientation="portrait" horizontalDpi="180" verticalDpi="180" r:id="rId1"/>
  <rowBreaks count="4" manualBreakCount="4">
    <brk id="32" max="16383" man="1"/>
    <brk id="51" max="6" man="1"/>
    <brk id="68" max="16383" man="1"/>
    <brk id="8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осн меропр</vt:lpstr>
      <vt:lpstr>Лист1</vt:lpstr>
      <vt:lpstr>Лист2</vt:lpstr>
      <vt:lpstr>Лист3</vt:lpstr>
      <vt:lpstr>'осн меропр'!Заголовки_для_печати</vt:lpstr>
      <vt:lpstr>'осн меропр'!Область_печати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2023-01-12T19:50:38Z</dcterms:modified>
</cp:coreProperties>
</file>