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32760" yWindow="32760" windowWidth="14370" windowHeight="1290"/>
  </bookViews>
  <sheets>
    <sheet name="с изменениями" sheetId="4" r:id="rId1"/>
    <sheet name="Лист1" sheetId="1" r:id="rId2"/>
    <sheet name="Лист2" sheetId="2" r:id="rId3"/>
    <sheet name="Лист3" sheetId="3" r:id="rId4"/>
  </sheets>
  <definedNames>
    <definedName name="_xlnm.Print_Titles" localSheetId="0">'с изменениями'!$9:$9</definedName>
  </definedNames>
  <calcPr calcId="162913"/>
</workbook>
</file>

<file path=xl/calcChain.xml><?xml version="1.0" encoding="utf-8"?>
<calcChain xmlns="http://schemas.openxmlformats.org/spreadsheetml/2006/main">
  <c r="J14" i="4" l="1"/>
  <c r="D127" i="4"/>
  <c r="D134" i="4"/>
  <c r="J93" i="4"/>
  <c r="J33" i="4"/>
  <c r="I58" i="4" l="1"/>
  <c r="L14" i="4"/>
  <c r="L83" i="4" l="1"/>
  <c r="K31" i="4"/>
  <c r="L31" i="4"/>
  <c r="J31" i="4"/>
  <c r="K32" i="4"/>
  <c r="L32" i="4"/>
  <c r="J32" i="4"/>
  <c r="I47" i="4"/>
  <c r="I41" i="4" l="1"/>
  <c r="I137" i="4"/>
  <c r="I132" i="4"/>
  <c r="I122" i="4"/>
  <c r="I138" i="4"/>
  <c r="I141" i="4"/>
  <c r="I93" i="4"/>
  <c r="I35" i="4"/>
  <c r="I123" i="4"/>
  <c r="I108" i="4"/>
  <c r="I36" i="4"/>
  <c r="I59" i="4"/>
  <c r="I34" i="4"/>
  <c r="I33" i="4"/>
  <c r="K30" i="4"/>
  <c r="L30" i="4"/>
  <c r="J30" i="4"/>
  <c r="K43" i="4"/>
  <c r="L43" i="4"/>
  <c r="J43" i="4"/>
  <c r="D43" i="4" s="1"/>
  <c r="D44" i="4"/>
  <c r="D45" i="4"/>
  <c r="D42" i="4"/>
  <c r="I30" i="4" l="1"/>
  <c r="D41" i="4"/>
  <c r="L82" i="4" l="1"/>
  <c r="L135" i="4" l="1"/>
  <c r="K135" i="4"/>
  <c r="L144" i="4"/>
  <c r="L146" i="4"/>
  <c r="L143" i="4"/>
  <c r="I139" i="4" l="1"/>
  <c r="D18" i="4" l="1"/>
  <c r="D20" i="4"/>
  <c r="D27" i="4"/>
  <c r="D28" i="4"/>
  <c r="D39" i="4"/>
  <c r="D51" i="4"/>
  <c r="D56" i="4"/>
  <c r="D58" i="4"/>
  <c r="D59" i="4"/>
  <c r="D67" i="4"/>
  <c r="D69" i="4"/>
  <c r="F70" i="4"/>
  <c r="D75" i="4"/>
  <c r="D76" i="4"/>
  <c r="D77" i="4"/>
  <c r="D79" i="4"/>
  <c r="D80" i="4"/>
  <c r="D88" i="4"/>
  <c r="D89" i="4"/>
  <c r="D91" i="4"/>
  <c r="D101" i="4"/>
  <c r="D102" i="4"/>
  <c r="D106" i="4"/>
  <c r="D107" i="4"/>
  <c r="D110" i="4"/>
  <c r="D111" i="4"/>
  <c r="D116" i="4"/>
  <c r="D117" i="4"/>
  <c r="D119" i="4"/>
  <c r="D120" i="4"/>
  <c r="D121" i="4"/>
  <c r="D126" i="4"/>
  <c r="D130" i="4"/>
  <c r="D136" i="4"/>
  <c r="D139" i="4"/>
  <c r="L128" i="4"/>
  <c r="L118" i="4"/>
  <c r="L115" i="4"/>
  <c r="L112" i="4"/>
  <c r="L109" i="4"/>
  <c r="L105" i="4"/>
  <c r="L97" i="4"/>
  <c r="L94" i="4"/>
  <c r="L90" i="4"/>
  <c r="L87" i="4"/>
  <c r="L84" i="4"/>
  <c r="L81" i="4"/>
  <c r="L78" i="4"/>
  <c r="L74" i="4"/>
  <c r="L71" i="4"/>
  <c r="L68" i="4"/>
  <c r="L65" i="4"/>
  <c r="L62" i="4"/>
  <c r="L57" i="4"/>
  <c r="L52" i="4"/>
  <c r="L49" i="4"/>
  <c r="L46" i="4"/>
  <c r="L29" i="4"/>
  <c r="L26" i="4"/>
  <c r="L21" i="4"/>
  <c r="L16" i="4"/>
  <c r="L13" i="4"/>
  <c r="L142" i="4" l="1"/>
  <c r="I133" i="4"/>
  <c r="D133" i="4" s="1"/>
  <c r="I70" i="4"/>
  <c r="D36" i="4" l="1"/>
  <c r="I31" i="4"/>
  <c r="I146" i="4" s="1"/>
  <c r="I135" i="4" l="1"/>
  <c r="D131" i="4"/>
  <c r="I129" i="4"/>
  <c r="I32" i="4"/>
  <c r="I29" i="4" l="1"/>
  <c r="I128" i="4"/>
  <c r="D23" i="4" l="1"/>
  <c r="D22" i="4"/>
  <c r="E21" i="4" l="1"/>
  <c r="I14" i="4"/>
  <c r="J48" i="4"/>
  <c r="K48" i="4"/>
  <c r="I48" i="4"/>
  <c r="J47" i="4"/>
  <c r="J143" i="4" s="1"/>
  <c r="K47" i="4"/>
  <c r="F57" i="4"/>
  <c r="G57" i="4"/>
  <c r="H57" i="4"/>
  <c r="I57" i="4"/>
  <c r="J57" i="4"/>
  <c r="K57" i="4"/>
  <c r="E57" i="4"/>
  <c r="J15" i="4"/>
  <c r="K15" i="4"/>
  <c r="I15" i="4"/>
  <c r="K14" i="4"/>
  <c r="F14" i="4"/>
  <c r="F21" i="4"/>
  <c r="G21" i="4"/>
  <c r="H21" i="4"/>
  <c r="I21" i="4"/>
  <c r="J21" i="4"/>
  <c r="K21" i="4"/>
  <c r="D21" i="4" l="1"/>
  <c r="D57" i="4"/>
  <c r="I46" i="4"/>
  <c r="I13" i="4"/>
  <c r="H146" i="4" l="1"/>
  <c r="J135" i="4"/>
  <c r="J128" i="4"/>
  <c r="I83" i="4"/>
  <c r="I144" i="4" s="1"/>
  <c r="J83" i="4"/>
  <c r="K83" i="4"/>
  <c r="H83" i="4"/>
  <c r="I82" i="4"/>
  <c r="J82" i="4"/>
  <c r="K82" i="4"/>
  <c r="H68" i="4"/>
  <c r="J148" i="4" l="1"/>
  <c r="I148" i="4"/>
  <c r="K148" i="4"/>
  <c r="K128" i="4"/>
  <c r="K143" i="4" l="1"/>
  <c r="H35" i="4"/>
  <c r="H123" i="4" l="1"/>
  <c r="H122" i="4"/>
  <c r="H33" i="4"/>
  <c r="H125" i="4"/>
  <c r="H132" i="4"/>
  <c r="H128" i="4" s="1"/>
  <c r="H93" i="4"/>
  <c r="H40" i="4"/>
  <c r="D40" i="4" s="1"/>
  <c r="H138" i="4" l="1"/>
  <c r="H137" i="4"/>
  <c r="H141" i="4"/>
  <c r="D141" i="4" s="1"/>
  <c r="H47" i="4" l="1"/>
  <c r="F63" i="4" l="1"/>
  <c r="D63" i="4" s="1"/>
  <c r="H124" i="4" l="1"/>
  <c r="H108" i="4"/>
  <c r="D108" i="4" s="1"/>
  <c r="H85" i="4"/>
  <c r="H82" i="4" s="1"/>
  <c r="H81" i="4" s="1"/>
  <c r="H34" i="4" l="1"/>
  <c r="H30" i="4" l="1"/>
  <c r="E31" i="4"/>
  <c r="F31" i="4"/>
  <c r="G31" i="4"/>
  <c r="K146" i="4"/>
  <c r="D118" i="4"/>
  <c r="D100" i="4"/>
  <c r="D96" i="4"/>
  <c r="G74" i="4"/>
  <c r="H74" i="4"/>
  <c r="I74" i="4"/>
  <c r="J74" i="4"/>
  <c r="K74" i="4"/>
  <c r="K144" i="4"/>
  <c r="K118" i="4"/>
  <c r="K115" i="4"/>
  <c r="K112" i="4"/>
  <c r="K109" i="4"/>
  <c r="K105" i="4"/>
  <c r="K97" i="4"/>
  <c r="K94" i="4"/>
  <c r="K90" i="4"/>
  <c r="K87" i="4"/>
  <c r="K81" i="4"/>
  <c r="K84" i="4"/>
  <c r="K78" i="4"/>
  <c r="K71" i="4"/>
  <c r="K68" i="4"/>
  <c r="K65" i="4"/>
  <c r="K62" i="4"/>
  <c r="K52" i="4"/>
  <c r="K49" i="4"/>
  <c r="K46" i="4"/>
  <c r="K26" i="4"/>
  <c r="K16" i="4"/>
  <c r="K13" i="4"/>
  <c r="H15" i="4"/>
  <c r="H14" i="4"/>
  <c r="E26" i="4"/>
  <c r="F26" i="4"/>
  <c r="G26" i="4"/>
  <c r="H26" i="4"/>
  <c r="I26" i="4"/>
  <c r="J26" i="4"/>
  <c r="H32" i="4"/>
  <c r="E87" i="4"/>
  <c r="F87" i="4"/>
  <c r="G87" i="4"/>
  <c r="H87" i="4"/>
  <c r="I87" i="4"/>
  <c r="J87" i="4"/>
  <c r="H94" i="4"/>
  <c r="J46" i="4"/>
  <c r="J13" i="4"/>
  <c r="E128" i="4"/>
  <c r="F128" i="4"/>
  <c r="G24" i="4"/>
  <c r="D24" i="4" s="1"/>
  <c r="G17" i="4"/>
  <c r="D17" i="4" s="1"/>
  <c r="G132" i="4"/>
  <c r="D132" i="4" s="1"/>
  <c r="G137" i="4"/>
  <c r="G125" i="4"/>
  <c r="D125" i="4" s="1"/>
  <c r="G124" i="4"/>
  <c r="G122" i="4"/>
  <c r="J114" i="4"/>
  <c r="J113" i="4"/>
  <c r="I112" i="4"/>
  <c r="I72" i="4"/>
  <c r="I143" i="4" s="1"/>
  <c r="J72" i="4"/>
  <c r="G55" i="4"/>
  <c r="G35" i="4"/>
  <c r="G19" i="4"/>
  <c r="D19" i="4" s="1"/>
  <c r="G25" i="4"/>
  <c r="D25" i="4" s="1"/>
  <c r="G129" i="4"/>
  <c r="G93" i="4"/>
  <c r="D93" i="4" s="1"/>
  <c r="G70" i="4"/>
  <c r="G34" i="4"/>
  <c r="G32" i="4" s="1"/>
  <c r="I118" i="4"/>
  <c r="I115" i="4"/>
  <c r="I109" i="4"/>
  <c r="I105" i="4"/>
  <c r="H100" i="4"/>
  <c r="I100" i="4"/>
  <c r="I97" i="4"/>
  <c r="I94" i="4"/>
  <c r="I90" i="4"/>
  <c r="I84" i="4"/>
  <c r="I78" i="4"/>
  <c r="I68" i="4"/>
  <c r="I65" i="4"/>
  <c r="I62" i="4"/>
  <c r="I52" i="4"/>
  <c r="I49" i="4"/>
  <c r="I16" i="4"/>
  <c r="G92" i="4"/>
  <c r="G90" i="4" s="1"/>
  <c r="G100" i="4"/>
  <c r="J145" i="4"/>
  <c r="H145" i="4"/>
  <c r="F145" i="4"/>
  <c r="E145" i="4"/>
  <c r="G145" i="4"/>
  <c r="F114" i="4"/>
  <c r="F113" i="4"/>
  <c r="J118" i="4"/>
  <c r="H118" i="4"/>
  <c r="G118" i="4"/>
  <c r="F118" i="4"/>
  <c r="E118" i="4"/>
  <c r="J115" i="4"/>
  <c r="H115" i="4"/>
  <c r="G115" i="4"/>
  <c r="F115" i="4"/>
  <c r="E115" i="4"/>
  <c r="G85" i="4"/>
  <c r="G138" i="4"/>
  <c r="G86" i="4"/>
  <c r="G84" i="4" s="1"/>
  <c r="G50" i="4"/>
  <c r="G49" i="4" s="1"/>
  <c r="G53" i="4"/>
  <c r="D53" i="4" s="1"/>
  <c r="G98" i="4"/>
  <c r="D98" i="4" s="1"/>
  <c r="G99" i="4"/>
  <c r="D99" i="4" s="1"/>
  <c r="G54" i="4"/>
  <c r="G123" i="4"/>
  <c r="F74" i="4"/>
  <c r="E74" i="4"/>
  <c r="J73" i="4"/>
  <c r="J144" i="4" s="1"/>
  <c r="H73" i="4"/>
  <c r="H72" i="4"/>
  <c r="H71" i="4" s="1"/>
  <c r="H49" i="4"/>
  <c r="H46" i="4"/>
  <c r="H16" i="4"/>
  <c r="H112" i="4"/>
  <c r="H135" i="4"/>
  <c r="H109" i="4"/>
  <c r="J109" i="4"/>
  <c r="H105" i="4"/>
  <c r="J105" i="4"/>
  <c r="H97" i="4"/>
  <c r="J97" i="4"/>
  <c r="J94" i="4"/>
  <c r="H90" i="4"/>
  <c r="J90" i="4"/>
  <c r="H84" i="4"/>
  <c r="J84" i="4"/>
  <c r="H78" i="4"/>
  <c r="J78" i="4"/>
  <c r="J68" i="4"/>
  <c r="H65" i="4"/>
  <c r="J65" i="4"/>
  <c r="H62" i="4"/>
  <c r="J62" i="4"/>
  <c r="H52" i="4"/>
  <c r="J52" i="4"/>
  <c r="J49" i="4"/>
  <c r="J16" i="4"/>
  <c r="F33" i="4"/>
  <c r="F30" i="4" s="1"/>
  <c r="E49" i="4"/>
  <c r="F49" i="4"/>
  <c r="F123" i="4"/>
  <c r="F78" i="4"/>
  <c r="E78" i="4"/>
  <c r="G78" i="4"/>
  <c r="F64" i="4"/>
  <c r="D64" i="4" s="1"/>
  <c r="F55" i="4"/>
  <c r="F35" i="4"/>
  <c r="G112" i="4"/>
  <c r="G71" i="4"/>
  <c r="F140" i="4"/>
  <c r="F124" i="4"/>
  <c r="F86" i="4"/>
  <c r="F83" i="4" s="1"/>
  <c r="F137" i="4"/>
  <c r="F122" i="4"/>
  <c r="F85" i="4"/>
  <c r="F34" i="4"/>
  <c r="F48" i="4"/>
  <c r="F90" i="4"/>
  <c r="E90" i="4"/>
  <c r="G15" i="4"/>
  <c r="F15" i="4"/>
  <c r="F16" i="4"/>
  <c r="E16" i="4"/>
  <c r="F73" i="4"/>
  <c r="F71" i="4" s="1"/>
  <c r="F72" i="4"/>
  <c r="F68" i="4"/>
  <c r="F138" i="4"/>
  <c r="D138" i="4" s="1"/>
  <c r="F52" i="4"/>
  <c r="E52" i="4"/>
  <c r="E33" i="4"/>
  <c r="E123" i="4"/>
  <c r="E140" i="4"/>
  <c r="G109" i="4"/>
  <c r="F109" i="4"/>
  <c r="E109" i="4"/>
  <c r="E124" i="4"/>
  <c r="E122" i="4"/>
  <c r="E14" i="4"/>
  <c r="E13" i="4" s="1"/>
  <c r="E47" i="4"/>
  <c r="E46" i="4" s="1"/>
  <c r="E137" i="4"/>
  <c r="E135" i="4" s="1"/>
  <c r="E83" i="4"/>
  <c r="E35" i="4"/>
  <c r="E32" i="4" s="1"/>
  <c r="E97" i="4"/>
  <c r="E95" i="4"/>
  <c r="D95" i="4" s="1"/>
  <c r="G94" i="4"/>
  <c r="F94" i="4"/>
  <c r="F105" i="4"/>
  <c r="G105" i="4"/>
  <c r="E105" i="4"/>
  <c r="E82" i="4"/>
  <c r="E65" i="4"/>
  <c r="F65" i="4"/>
  <c r="G65" i="4"/>
  <c r="E71" i="4"/>
  <c r="F97" i="4"/>
  <c r="E62" i="4"/>
  <c r="G62" i="4"/>
  <c r="D66" i="4"/>
  <c r="E68" i="4"/>
  <c r="E109" i="1"/>
  <c r="F109" i="1"/>
  <c r="G109" i="1"/>
  <c r="E108" i="1"/>
  <c r="F108" i="1"/>
  <c r="G108" i="1"/>
  <c r="E98" i="1"/>
  <c r="F98" i="1"/>
  <c r="G98" i="1"/>
  <c r="E97" i="1"/>
  <c r="F97" i="1"/>
  <c r="G97" i="1"/>
  <c r="D81" i="1"/>
  <c r="D80" i="1"/>
  <c r="E71" i="1"/>
  <c r="E85" i="1"/>
  <c r="F71" i="1"/>
  <c r="F85" i="1" s="1"/>
  <c r="G71" i="1"/>
  <c r="G85" i="1"/>
  <c r="E56" i="1"/>
  <c r="F56" i="1"/>
  <c r="G56" i="1"/>
  <c r="E36" i="1"/>
  <c r="E68" i="1" s="1"/>
  <c r="F36" i="1"/>
  <c r="F68" i="1" s="1"/>
  <c r="G36" i="1"/>
  <c r="G68" i="1" s="1"/>
  <c r="E35" i="1"/>
  <c r="E67" i="1" s="1"/>
  <c r="F35" i="1"/>
  <c r="F67" i="1" s="1"/>
  <c r="G35" i="1"/>
  <c r="G67" i="1" s="1"/>
  <c r="E34" i="1"/>
  <c r="E10" i="1"/>
  <c r="F10" i="1"/>
  <c r="G10" i="1"/>
  <c r="G32" i="1" s="1"/>
  <c r="G112" i="1" s="1"/>
  <c r="G20" i="1"/>
  <c r="E9" i="1"/>
  <c r="F9" i="1"/>
  <c r="E8" i="1"/>
  <c r="E30" i="1" s="1"/>
  <c r="E18" i="1"/>
  <c r="D65" i="1"/>
  <c r="D64" i="1"/>
  <c r="D63" i="1"/>
  <c r="D62" i="1"/>
  <c r="F55" i="1"/>
  <c r="F54" i="1"/>
  <c r="G54" i="1" s="1"/>
  <c r="D54" i="1" s="1"/>
  <c r="G15" i="1"/>
  <c r="G9" i="1" s="1"/>
  <c r="G31" i="1" s="1"/>
  <c r="G111" i="1" s="1"/>
  <c r="G19" i="1"/>
  <c r="D93" i="1"/>
  <c r="D87" i="1"/>
  <c r="D89" i="1"/>
  <c r="D91" i="1"/>
  <c r="D95" i="1"/>
  <c r="G72" i="1"/>
  <c r="G70" i="1" s="1"/>
  <c r="G84" i="1" s="1"/>
  <c r="F72" i="1"/>
  <c r="F70" i="1" s="1"/>
  <c r="F84" i="1" s="1"/>
  <c r="E72" i="1"/>
  <c r="E70" i="1" s="1"/>
  <c r="E84" i="1" s="1"/>
  <c r="D96" i="1"/>
  <c r="F37" i="1"/>
  <c r="F11" i="1"/>
  <c r="G11" i="1" s="1"/>
  <c r="D41" i="1"/>
  <c r="D101" i="1"/>
  <c r="D102" i="1"/>
  <c r="D103" i="1"/>
  <c r="D109" i="1"/>
  <c r="D104" i="1"/>
  <c r="D105" i="1"/>
  <c r="D106" i="1"/>
  <c r="D107" i="1"/>
  <c r="D100" i="1"/>
  <c r="D88" i="1"/>
  <c r="D90" i="1"/>
  <c r="D98" i="1" s="1"/>
  <c r="D92" i="1"/>
  <c r="D94" i="1"/>
  <c r="D83" i="1"/>
  <c r="D82" i="1"/>
  <c r="D73" i="1"/>
  <c r="D71" i="1" s="1"/>
  <c r="D85" i="1" s="1"/>
  <c r="D75" i="1"/>
  <c r="D77" i="1"/>
  <c r="D74" i="1"/>
  <c r="D76" i="1"/>
  <c r="D78" i="1"/>
  <c r="D79" i="1"/>
  <c r="D38" i="1"/>
  <c r="D35" i="1" s="1"/>
  <c r="D67" i="1" s="1"/>
  <c r="D45" i="1"/>
  <c r="D47" i="1"/>
  <c r="D50" i="1"/>
  <c r="D53" i="1"/>
  <c r="D39" i="1"/>
  <c r="D42" i="1"/>
  <c r="D36" i="1" s="1"/>
  <c r="D68" i="1" s="1"/>
  <c r="D48" i="1"/>
  <c r="D40" i="1"/>
  <c r="D43" i="1"/>
  <c r="D44" i="1"/>
  <c r="D46" i="1"/>
  <c r="D49" i="1"/>
  <c r="D51" i="1"/>
  <c r="D52" i="1"/>
  <c r="D57" i="1"/>
  <c r="D58" i="1"/>
  <c r="D59" i="1"/>
  <c r="D60" i="1"/>
  <c r="D61" i="1"/>
  <c r="E19" i="1"/>
  <c r="E31" i="1" s="1"/>
  <c r="E111" i="1" s="1"/>
  <c r="F19" i="1"/>
  <c r="F18" i="1"/>
  <c r="G18" i="1"/>
  <c r="D12" i="1"/>
  <c r="D22" i="1"/>
  <c r="D19" i="1" s="1"/>
  <c r="D25" i="1"/>
  <c r="D28" i="1"/>
  <c r="D13" i="1"/>
  <c r="D10" i="1" s="1"/>
  <c r="D16" i="1"/>
  <c r="D14" i="1"/>
  <c r="D17" i="1"/>
  <c r="D21" i="1"/>
  <c r="D18" i="1" s="1"/>
  <c r="D24" i="1"/>
  <c r="D23" i="1"/>
  <c r="D26" i="1"/>
  <c r="D27" i="1"/>
  <c r="D29" i="1"/>
  <c r="F8" i="1"/>
  <c r="F30" i="1"/>
  <c r="F34" i="1"/>
  <c r="F20" i="1"/>
  <c r="E20" i="1" s="1"/>
  <c r="D105" i="4"/>
  <c r="F32" i="1"/>
  <c r="F31" i="1"/>
  <c r="D72" i="1"/>
  <c r="D70" i="1" s="1"/>
  <c r="D84" i="1" s="1"/>
  <c r="D97" i="1"/>
  <c r="F66" i="1"/>
  <c r="G55" i="1"/>
  <c r="D55" i="1" s="1"/>
  <c r="G16" i="4"/>
  <c r="J29" i="4"/>
  <c r="D65" i="4"/>
  <c r="J81" i="4"/>
  <c r="E81" i="4"/>
  <c r="D115" i="4"/>
  <c r="F13" i="4"/>
  <c r="F112" i="4"/>
  <c r="G82" i="4" l="1"/>
  <c r="F135" i="4"/>
  <c r="D55" i="4"/>
  <c r="F84" i="4"/>
  <c r="D114" i="4"/>
  <c r="J112" i="4"/>
  <c r="G97" i="4"/>
  <c r="F47" i="4"/>
  <c r="F46" i="4" s="1"/>
  <c r="D122" i="4"/>
  <c r="F62" i="4"/>
  <c r="D140" i="4"/>
  <c r="D86" i="4"/>
  <c r="E94" i="4"/>
  <c r="D109" i="4"/>
  <c r="D123" i="4"/>
  <c r="J146" i="4"/>
  <c r="D146" i="4" s="1"/>
  <c r="D31" i="4"/>
  <c r="K29" i="4"/>
  <c r="F82" i="4"/>
  <c r="D82" i="4" s="1"/>
  <c r="D85" i="4"/>
  <c r="D50" i="4"/>
  <c r="D49" i="4" s="1"/>
  <c r="G47" i="4"/>
  <c r="E144" i="4"/>
  <c r="D137" i="4"/>
  <c r="E30" i="4"/>
  <c r="E143" i="4" s="1"/>
  <c r="D33" i="4"/>
  <c r="D78" i="4"/>
  <c r="D74" i="4"/>
  <c r="D145" i="4"/>
  <c r="G68" i="4"/>
  <c r="D70" i="4"/>
  <c r="D68" i="4" s="1"/>
  <c r="I71" i="4"/>
  <c r="G135" i="4"/>
  <c r="G48" i="4"/>
  <c r="D54" i="4"/>
  <c r="D52" i="4" s="1"/>
  <c r="D72" i="4"/>
  <c r="D15" i="4"/>
  <c r="D48" i="4"/>
  <c r="D113" i="4"/>
  <c r="D92" i="4"/>
  <c r="D90" i="4" s="1"/>
  <c r="H144" i="4"/>
  <c r="G14" i="4"/>
  <c r="G13" i="4" s="1"/>
  <c r="G52" i="4"/>
  <c r="D35" i="4"/>
  <c r="D124" i="4"/>
  <c r="D73" i="4"/>
  <c r="D34" i="4"/>
  <c r="F32" i="4"/>
  <c r="D32" i="4" s="1"/>
  <c r="D129" i="4"/>
  <c r="D128" i="4" s="1"/>
  <c r="G128" i="4"/>
  <c r="H143" i="4"/>
  <c r="I142" i="4"/>
  <c r="D26" i="4"/>
  <c r="D16" i="4"/>
  <c r="D84" i="4"/>
  <c r="D87" i="4"/>
  <c r="I81" i="4"/>
  <c r="K142" i="4"/>
  <c r="D20" i="1"/>
  <c r="D32" i="1" s="1"/>
  <c r="D112" i="1" s="1"/>
  <c r="E32" i="1"/>
  <c r="E112" i="1" s="1"/>
  <c r="F111" i="1"/>
  <c r="H13" i="4"/>
  <c r="D56" i="1"/>
  <c r="F110" i="1"/>
  <c r="D62" i="4"/>
  <c r="G46" i="4"/>
  <c r="G83" i="4"/>
  <c r="G144" i="4" s="1"/>
  <c r="J71" i="4"/>
  <c r="D97" i="4"/>
  <c r="D108" i="1"/>
  <c r="D15" i="1"/>
  <c r="D9" i="1" s="1"/>
  <c r="D31" i="1" s="1"/>
  <c r="D111" i="1" s="1"/>
  <c r="E66" i="1"/>
  <c r="H29" i="4"/>
  <c r="E110" i="1"/>
  <c r="F81" i="4"/>
  <c r="F112" i="1"/>
  <c r="G8" i="1"/>
  <c r="G30" i="1" s="1"/>
  <c r="D11" i="1"/>
  <c r="D8" i="1" s="1"/>
  <c r="D30" i="1" s="1"/>
  <c r="G29" i="4"/>
  <c r="G37" i="1"/>
  <c r="G34" i="1" s="1"/>
  <c r="G66" i="1" s="1"/>
  <c r="F143" i="4" l="1"/>
  <c r="D47" i="4"/>
  <c r="D135" i="4"/>
  <c r="H142" i="4"/>
  <c r="D112" i="4"/>
  <c r="G143" i="4"/>
  <c r="G142" i="4" s="1"/>
  <c r="D83" i="4"/>
  <c r="D81" i="4" s="1"/>
  <c r="D71" i="4"/>
  <c r="G81" i="4"/>
  <c r="J142" i="4"/>
  <c r="F29" i="4"/>
  <c r="D46" i="4"/>
  <c r="F144" i="4"/>
  <c r="D144" i="4" s="1"/>
  <c r="D143" i="4"/>
  <c r="E29" i="4"/>
  <c r="D30" i="4"/>
  <c r="D29" i="4" s="1"/>
  <c r="D14" i="4"/>
  <c r="D13" i="4" s="1"/>
  <c r="G110" i="1"/>
  <c r="E142" i="4"/>
  <c r="D37" i="1"/>
  <c r="D34" i="1" s="1"/>
  <c r="D66" i="1" s="1"/>
  <c r="D110" i="1" s="1"/>
  <c r="D94" i="4"/>
  <c r="F142" i="4" l="1"/>
  <c r="D142" i="4" s="1"/>
</calcChain>
</file>

<file path=xl/sharedStrings.xml><?xml version="1.0" encoding="utf-8"?>
<sst xmlns="http://schemas.openxmlformats.org/spreadsheetml/2006/main" count="582" uniqueCount="313">
  <si>
    <t>№ п/п</t>
  </si>
  <si>
    <t>Наименование подпрограммы, входящих в прграмму</t>
  </si>
  <si>
    <t>всего, тыс. руб.</t>
  </si>
  <si>
    <t>финансирование, тыс. руб.</t>
  </si>
  <si>
    <t>источник финансирования</t>
  </si>
  <si>
    <t>Создание условий для содеражания детей в муниципальных дошкольных образовательных организациях, в том числе:</t>
  </si>
  <si>
    <t>1.1.</t>
  </si>
  <si>
    <t>Реализация образовательных программ дошкольного образования (муниципальное задание: оплата труда и начисления на  выплаты по оплате труда, приобретение материальных запасов, общехозяйственные нужды, содержание имущества)</t>
  </si>
  <si>
    <t>1.2.</t>
  </si>
  <si>
    <t>районный бюджет</t>
  </si>
  <si>
    <t>краевой бюджет</t>
  </si>
  <si>
    <t>федеральный бюджет</t>
  </si>
  <si>
    <t>1.3.</t>
  </si>
  <si>
    <t>1. Развитие системы дошкольного образования</t>
  </si>
  <si>
    <t>1.1.2.</t>
  </si>
  <si>
    <t>1.1.1.</t>
  </si>
  <si>
    <t>1.2.1.</t>
  </si>
  <si>
    <t>1.2.2.</t>
  </si>
  <si>
    <t>Строительство пристроек к существующим муниципальным дошкольным организациям</t>
  </si>
  <si>
    <t>1.4.</t>
  </si>
  <si>
    <t>Выплаты премий администрации муниципального образования Тимашевский район и администрации Краснодарского края победителям краевого конкудошкольных образовательных учреждений, внедряющих инновационные образовательные программы</t>
  </si>
  <si>
    <t>2. Развитие начального общего, основного общего, среднего (полного) общего образования</t>
  </si>
  <si>
    <t>2.1.</t>
  </si>
  <si>
    <t>Создание условий для содеражания детей в муниципальных общеобразовательных организациях, в том числе:</t>
  </si>
  <si>
    <t>Реализация общеобразовательных программ начального общего, основного общего и среднего (полного) общего образования (муниципальное задание: оплата труда и начисления на  выплаты по оплате труда, приобретение материальных запасов, общехозяйственные нужды, содержание имущества)</t>
  </si>
  <si>
    <t>2.1.1.</t>
  </si>
  <si>
    <t>2.1.2.</t>
  </si>
  <si>
    <t>Организация  предоставления общедоступного и бесплатного начального общего, основного общего, среднего (полного) общего образования по основным общеобразовательным программам (увеличение пропускной способности и оплата Интернет-трафика)</t>
  </si>
  <si>
    <t>Компенсация расходов на оплату жилых помещений, отопления и освещения педагогическим работникам, проживающим и работающим в сельской местности</t>
  </si>
  <si>
    <t xml:space="preserve">2.2. </t>
  </si>
  <si>
    <t>2.1.3.</t>
  </si>
  <si>
    <t>Капитальный ремонт муниципальных общеобразовательных организаций  с целью улучшения условий содержания учащихся</t>
  </si>
  <si>
    <t>Капитальный ремонт муниципальных дошкольных образовательных организаций  с целью улучшения условий содержания воспитанников</t>
  </si>
  <si>
    <t>Проведение капитального и текущего ремонта спортивных залов общеобразовательных организаций, помещений при них, других помещений физкультурно-спортивного назначения, физкультурно-оздоровительных комплексов, устройство в них автоматичес-кой пожарной сигнализации и изготовление проектно-сметной документации</t>
  </si>
  <si>
    <t>2.3.</t>
  </si>
  <si>
    <t>Финансирование мероприятий, возникающих в связи с участием в организации и проведении государственной (итоговой) аттестации выпускников общеобразовательных организаций муниципального образования Тимашевский район</t>
  </si>
  <si>
    <t>2.4.</t>
  </si>
  <si>
    <t>2.5.</t>
  </si>
  <si>
    <t>Создание школьно-базовой столовой, в том числе: аудит (диагностика) технологического оборудования, помещений, инженерных коммуникаций столовой, проектирование помещений пищеблоков; составление локального сметного расчета; приобретение строительного материала, проведение капитального и текущего ремонта;  проведение работ по увеличению энергетической мощности объектов; приобретение посуды, мебели для школьной столовой; приобретение транспорта для доставки продукции в пищеблоки сети обслуживаемых школ, приобретение оборудования</t>
  </si>
  <si>
    <t xml:space="preserve">Приобретение транспортных средств, в том числе софинансирование на приобретение автобусов и микроавтобусов  для образовательных организаций, оплата расходов по их регистрации, гарантийное техническое обслуживание и оплата стоянки </t>
  </si>
  <si>
    <t>2.7.</t>
  </si>
  <si>
    <t>2.8.</t>
  </si>
  <si>
    <t>Организация торжественных приемов одаренных школьников главой муниципального образования Тимашевский район, выплата премий главы муниципального образования Тимашевский район одаренным школьникам</t>
  </si>
  <si>
    <t>Проведение районных и краевых конкурсов, праздников, мероприятий  для работников дошкольных образовательных организаций, том числе: "Воспитель года", "День дошкольного работника"</t>
  </si>
  <si>
    <t>Организация и проведение районных и краевых массовых мероприятий, в том числе:</t>
  </si>
  <si>
    <t>Проведение районных и краевых конкурсов, праздников для учащихся и работников общеобразовательных учреждений:«Бал выпускников», «Губернаторский бал», «День учителя», «Парад первоклассников»,  «Юные инспекторы движения»  и другие</t>
  </si>
  <si>
    <t>Проведение районных казачьих игр</t>
  </si>
  <si>
    <t>Организация военно-патриотической работы с учащимися, в том числе: посещение музеев, проведение экскурсионных выездов</t>
  </si>
  <si>
    <t>Проведение учебных сборов учащихся (юношей) образовательных организаций муниципального образования Тимашевский район</t>
  </si>
  <si>
    <t>3. Развитие системы дополнительного образования детей</t>
  </si>
  <si>
    <t>Создание условий для содеражания детей в образовательных организациях дополнительного образования детей, в том числе:</t>
  </si>
  <si>
    <t>Реализация образовательных программ дополнительного образования детей в организациях общей направленности (муниципальное задание: оплата труда и начисления на  выплаты по оплате труда, приобретение материальных запасов, общехозяйственные нужды, содержание имущества)</t>
  </si>
  <si>
    <t>3.1.</t>
  </si>
  <si>
    <t>3.2.</t>
  </si>
  <si>
    <t>3.1.1.</t>
  </si>
  <si>
    <t>3.1.2.</t>
  </si>
  <si>
    <t>3.1.3.</t>
  </si>
  <si>
    <t>Реализация образовательных программ  дополнительного образования детей в учреждениях дополнительного образования детей спортивной направленности</t>
  </si>
  <si>
    <t>3.1.4.</t>
  </si>
  <si>
    <t>Капитальный ремонт муниципальных образовательных организаций  дополнительного образования детей с целью улучшения условий содержания учащихся</t>
  </si>
  <si>
    <t>Финансирование работы педагогов дополнительного образования с детьми в вечернее время в спортивных залах общеобразовательных организаций и организаций  дополнительного образования детей физкультурно-оздоровительной направленности системы образования муниципального образования Тимашевский район</t>
  </si>
  <si>
    <t>3.3.</t>
  </si>
  <si>
    <t>Финансирование работы педагогов дополнительного образования с детьми в спортивных клубах образовательных организаций (за исключением вечерних), гимназиях и лицеях</t>
  </si>
  <si>
    <t xml:space="preserve">Обеспечение деятельности образовательного учреждения по организации отдыха детей </t>
  </si>
  <si>
    <t>4.1.</t>
  </si>
  <si>
    <t>Реализация общеобразовательных программ дополнительного образования в соответствии с состоянием соматического и психического здоровья детей</t>
  </si>
  <si>
    <t>Методическая поддержка педагогических работников образовательных учреждений</t>
  </si>
  <si>
    <t>Обеспечение организации и осуществления бухгалтерского учета</t>
  </si>
  <si>
    <t xml:space="preserve">4.2. </t>
  </si>
  <si>
    <t>4.3.</t>
  </si>
  <si>
    <t>4.4.</t>
  </si>
  <si>
    <t>5. Организация отдыха учащихся образовательных организаций в каникулярное время</t>
  </si>
  <si>
    <t>Муниципальная программа Тимашевского района "Развитие образования" на 2015-2017 годы</t>
  </si>
  <si>
    <t>5.1.</t>
  </si>
  <si>
    <t>Организация отдыха, оздоровления детей-учащихся детско-юношеской спортивной школы   г.Тимашевска</t>
  </si>
  <si>
    <t>5.2.</t>
  </si>
  <si>
    <t>Трудоустройство несовершеннолетних в возрасте от 14 до 18 лет, в том числе в каникулярное время</t>
  </si>
  <si>
    <t>Организация подвоза спортсменов  к местам отдыха и обратно в каникулярное время, в том числе приобретение горюче-смазочных материалов (в том числе осуществление страхования детей)</t>
  </si>
  <si>
    <t>5.3.</t>
  </si>
  <si>
    <t>5.4.</t>
  </si>
  <si>
    <t>5.5.</t>
  </si>
  <si>
    <t>Организация подвоза детей к местам отдыха и обратно в каникулярное время, в том числе приобретение горюче-смазочных материалов  (в том числе осуществление страхования детей)</t>
  </si>
  <si>
    <t>3.4.</t>
  </si>
  <si>
    <t xml:space="preserve">Создание условий для укрепления здоровья детей и педагогических работников за счет обеспечения их сбалансированным горячим питанием (частичную компенсацию удорожания стоимости питания учащихся дневных муниципальных образовательных организаций, реализующих общеобразовательные программы, из расчета 6,0 рублей в день на одного обучающегося и педагогических работников дневных муниципальных образовательных организаций, реализующих общеобразовательные программы, из расчета 12,5 рублей в день на одного педагога) </t>
  </si>
  <si>
    <t>Обеспечение реализации инициативы губернатора по обеспечению молоком и молочными продуктами в качестве дополнительного питания учащихся дневных муниципальных общеобразовательных учреждений из расчета 2 раза в неделю на одного обучающегося дневных муниципальных образовательных организаций</t>
  </si>
  <si>
    <t>2.9.</t>
  </si>
  <si>
    <t>2.10.</t>
  </si>
  <si>
    <t xml:space="preserve">Изготовление проектно-сметной документации по объекту (дополнительный корпус на 70 для МБДОУ д/с № 11 г. Тимашевска) </t>
  </si>
  <si>
    <t xml:space="preserve">Строительство дополнительного корпуса на 70 мест для МБДОУ д/с № 11 г. Тимашевска </t>
  </si>
  <si>
    <t>ИТОГО по подпрограмме:</t>
  </si>
  <si>
    <t>ИТОГО по подпрограмме</t>
  </si>
  <si>
    <t>1.1.3.</t>
  </si>
  <si>
    <t>3.5.</t>
  </si>
  <si>
    <t>Оплата проведения ТО для нового автобуса "Ивеко"</t>
  </si>
  <si>
    <t>Оплата охраняемой стоянки автобуса "Ивеко" с предрейсовым и послерейсовым обследованием</t>
  </si>
  <si>
    <t xml:space="preserve">Организация отдыха, оздоровления  и занятость детей (в том числе детей состоящих на различных видах учетах, победителей творческих конкурсов) в краевых и районных лагерях, многодневных походах, экспедициях, экскурсиях, посещение спектаклей и прочее,в том числе на: </t>
  </si>
  <si>
    <t xml:space="preserve"> мероприятия по организации отдыха детей в каникулярное время на базе муниципальных учреждений, осуществляющих организацию отдыха детей</t>
  </si>
  <si>
    <t>Мероприятия по организации отдыха детей в каникулярное время в лагерях дневного пребывания на базе муниципальных образовательных организаций</t>
  </si>
  <si>
    <t>ВСЕГО по программе</t>
  </si>
  <si>
    <t>4.5.</t>
  </si>
  <si>
    <t xml:space="preserve">Участие тренеров-преподавателей,  учащихся и лиц их сопровождающих МБОУ ДОД ДЮСШ в районных, краевых, всероссийских и международ-
ных соревнованиях и турнирах, по культивируемым ими видам спорта, а также в мероприятиях спортивной направленности
</t>
  </si>
  <si>
    <t>2.11.</t>
  </si>
  <si>
    <t>2.6.</t>
  </si>
  <si>
    <t>2.9.1.</t>
  </si>
  <si>
    <t>2.9.2.</t>
  </si>
  <si>
    <t>2.9.3.</t>
  </si>
  <si>
    <t>2.9.4.</t>
  </si>
  <si>
    <t>2.9.5.</t>
  </si>
  <si>
    <t>4. Обеспечение деятельности прочих учреждений, относящихся к системе образования</t>
  </si>
  <si>
    <t>Управление образования в сфере установленных функций</t>
  </si>
  <si>
    <t>Оплата молодым и заслуженным специалистам (не точно пока)</t>
  </si>
  <si>
    <t>Организация и проведение прочих мероприятий в сфере общего образования, в том числе:</t>
  </si>
  <si>
    <t>Наименование мероприятия</t>
  </si>
  <si>
    <t>Источники финансирования</t>
  </si>
  <si>
    <t>Непосредственный результат реализации мероприятия</t>
  </si>
  <si>
    <t>Цель</t>
  </si>
  <si>
    <t>Задача</t>
  </si>
  <si>
    <t>Создание условий для обучения детей в муниципальных общеобразовательных организациях</t>
  </si>
  <si>
    <t>Модернизация муниципальной системы общего образования</t>
  </si>
  <si>
    <t>2</t>
  </si>
  <si>
    <t>3</t>
  </si>
  <si>
    <t>Создание в системе общего образования равных возможностей для современного качественного образования и позитивной социализации детей</t>
  </si>
  <si>
    <t>Предоставление субсидий муниципальным  организациям образования, учреждениям, установленных в соответствии с федеральным законодательством, возникающих в связи с участием в организации и проведении государственной (итоговой) аттестации выпускников общеобразовательных организаций муниципального образования Тимашевский район</t>
  </si>
  <si>
    <t>Создание условий для проведения мероприятий в сфере  общего образования</t>
  </si>
  <si>
    <t>Предоставление субсидии на осуществление отдельных государственных полномочий по обеспечению льготного питания учащихся из многодетных семей муниципальным общеобразовательным организациям</t>
  </si>
  <si>
    <t>Объем финансирования всего                                                           (тыс. руб.)</t>
  </si>
  <si>
    <t>Предоставление субсидий муниципальным образовательным организациям, оказывающим муниципальные услуги по предоставолению общеобразовательных программ начального общего, основного общего и среднего общего образования на:</t>
  </si>
  <si>
    <t>Управление образования администрации муниципального образования Тимашевский район - ответственный за выполнение мероприятия</t>
  </si>
  <si>
    <t>Организация и проведение районных и краевых конкурсов, мероприятий, праздников для учащихся и работников образовательных организаций:«Бал выпускников», «Губернаторский бал», «День учителя», «Парад первоклассников»,  «Юные инспекторы движения»  и другие</t>
  </si>
  <si>
    <t>Предоставление субсидии муниципальным образовательным организациям на обеспечение реализации инициативы губернатора по обеспечению молоком и молочными продуктами в качестве дополнительного питания учащихся дневных муниципальных общеобразовательных организаций из расчета 1 раз в неделю на одного обучающегося дневных муниципальных образовательных организаций</t>
  </si>
  <si>
    <t>1.2</t>
  </si>
  <si>
    <t>1.2.1</t>
  </si>
  <si>
    <t>2.2</t>
  </si>
  <si>
    <t>2.5</t>
  </si>
  <si>
    <t>Изготовление технического плана спортивно-игровой площадки</t>
  </si>
  <si>
    <t>В том числе</t>
  </si>
  <si>
    <t>Муниципальный заказчик, главный распорядитель бюджетных средств, исполнитель</t>
  </si>
  <si>
    <t xml:space="preserve">Финансовое обеспечение выполнения муниципального задания на оказание муниципальных услуг на предоставление начального общего, основного общего, среднего общего образования в муниципальных общеобразовательных организациях образования </t>
  </si>
  <si>
    <t>Всего</t>
  </si>
  <si>
    <t>Районный бюджет</t>
  </si>
  <si>
    <t>Краевой бюджет</t>
  </si>
  <si>
    <t xml:space="preserve">Предоставление субсидии муниципальным образовательным организациям на создание условий для укрепления здоровья детей  за счет обеспечения их сбалансированным горячим питанием (частичную компенсацию удорожания стоимости питания учащихся дневных муниципальных образовательных организаций, реализующих общеобразовательные программы, из расчета 6,0 рублей в день на одного обучающегося) </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</si>
  <si>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общеобразовательных организаций, проживающим и работающим в сельской местности, рабочих поселках (поселках городского типа) Краснодарского края</t>
  </si>
  <si>
    <t>2018 г.</t>
  </si>
  <si>
    <t>2019 г.</t>
  </si>
  <si>
    <t>2020 г.</t>
  </si>
  <si>
    <t>Отдел строительства администрации муниципального образвания Тимашевский район - получатели субсидии; управление образования администрации муниципального образования Тимашевский район - ответственный за выполнение мероприятия</t>
  </si>
  <si>
    <t>Муниципальные бюджетные и автономные организации - получатели субсидии;  управление образования администрации муниципального образования Тимашевский район - ответственный за выполнение мероприятия</t>
  </si>
  <si>
    <t>Отдел строительства администрации муниципального образования Тимашевский район - получатели субсидии; управление образования администрации муниципального образования Тимашевский район - ответственный за выполнение мероприятия</t>
  </si>
  <si>
    <t>Муниципальные образовательные организации - получатели субсидии;  управление образования администрации муниципального образования Тимашевский район - ответственный за выполнение мероприятия</t>
  </si>
  <si>
    <t>Муниципальные образовательые организации - получатели субсидии;  управление образования администрации муниципального образования Тимашевский район - ответственный за выполнение мероприятия</t>
  </si>
  <si>
    <t>МБУ ЗСЛОО «Золой колос» - получатель субсидии, управление образования администрации муниципального образования Тимашевский район - ответственный за выполнение мероприятия</t>
  </si>
  <si>
    <t>Муниципальные организации дополнительного образования - получатели субсидии;  управление образования администрации муниципального образования Тимашевский район - ответственный за выполнение мероприятия</t>
  </si>
  <si>
    <t>1.2.2</t>
  </si>
  <si>
    <t>2.1</t>
  </si>
  <si>
    <t>2.3</t>
  </si>
  <si>
    <t>2.4</t>
  </si>
  <si>
    <t>2.6</t>
  </si>
  <si>
    <t>2.7</t>
  </si>
  <si>
    <t>3.1</t>
  </si>
  <si>
    <t>3.2</t>
  </si>
  <si>
    <t>3.3</t>
  </si>
  <si>
    <t>3.4</t>
  </si>
  <si>
    <t>Проведение районных и краевых конкурсов, праздников для обучающихся работниками образовательных организаций дополнительного образования: «День защиты детей», «Сердце отдаю детям», «Новогоднее представление»  и другие</t>
  </si>
  <si>
    <t>1.1</t>
  </si>
  <si>
    <t>Ежегодно обеспеченность учащихся из многодетных семей льготным питанием с охватом - 100 %</t>
  </si>
  <si>
    <t>Ежегодно проведение не менее 44 экскурсий, в том числе с посещением музеев</t>
  </si>
  <si>
    <t>Создание условий для оказания первичной медико-санитарной помощи обучающимся в муниципальных образовательных организациях посредством предоставления помещений, соответствующих условиям и требованиям для оказания указанной помощи (в рамках софинансирования)</t>
  </si>
  <si>
    <t>1.3</t>
  </si>
  <si>
    <t>Предоставление субсидий муниципальным бюджетным организациям образования на приобретение автобусов и микроавтобусов  для образовательных организаций  (в рамках софинансирования)</t>
  </si>
  <si>
    <t>Предоставление субсидий муниципальным организациям образования на проведение капитального ремонта спортивных залов муниципальных общеобразовательных организаций, помещений при них, других помещений физкультурно-спортивного назначения, физкультурно-оздоровительных комплексов (в рамках софинансирования)</t>
  </si>
  <si>
    <t>2.5.1</t>
  </si>
  <si>
    <t xml:space="preserve">Предоставление субсидий муниципальным бюджетным организациям образования на приобретение автобусов и микроавтобусов  для образовательных организаций  </t>
  </si>
  <si>
    <t>2.4.1</t>
  </si>
  <si>
    <t>1.1.1</t>
  </si>
  <si>
    <t>1.1.3</t>
  </si>
  <si>
    <t>Аминистрация муниципального образвания Тимашевский район - получатели субсидии; управление образования администрации муниципального образования Тимашевский район - ответственный за выполнение мероприятия</t>
  </si>
  <si>
    <t>2.5.2</t>
  </si>
  <si>
    <t>Предоставление субсидии на организацию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рамках реализации мероприятий регионального проекта Краснодарского края «Современная школа», в том числе:</t>
  </si>
  <si>
    <t>Строительство универсальных спортивных залов на территориях муниципальных общеобразовательных организациях, в том числе:</t>
  </si>
  <si>
    <t>1.1.4</t>
  </si>
  <si>
    <t>Авторский надзор</t>
  </si>
  <si>
    <t>Технологическое присоединение энергопринимающих устройств заявителя "Электроустановки земельного участка - для объектов образовательного назначения"</t>
  </si>
  <si>
    <t xml:space="preserve">п </t>
  </si>
  <si>
    <t>2.5.3</t>
  </si>
  <si>
    <t>Капитальный и текущий ремонт  общеобразовательных организаций, в том числе:</t>
  </si>
  <si>
    <t>1.3.3</t>
  </si>
  <si>
    <t>Строительство универсального спортивного зала на территории МБОУ ООШ № 21</t>
  </si>
  <si>
    <t>тыс. руб.</t>
  </si>
  <si>
    <t>2.4.2</t>
  </si>
  <si>
    <t>Ежегодное количество проведенных районных  и краевых мероприятий - не менее 4</t>
  </si>
  <si>
    <t>1.3.1</t>
  </si>
  <si>
    <t>1.3.4</t>
  </si>
  <si>
    <t>1.3.2</t>
  </si>
  <si>
    <t>3.5</t>
  </si>
  <si>
    <t>Отдел строительства администрации муниципального образвания Тимашевский район - получатели субсидии; управление образования администрации муниципального                               образования Тимашевский                                                      район - ответственный за выполнение мероприятия</t>
  </si>
  <si>
    <t>Строительство универсальных спортивных залов путем строительства и (или) реконструкции зданий и сооружений муниципальных образовательных организаций</t>
  </si>
  <si>
    <t>2021 г.</t>
  </si>
  <si>
    <t>2022 г.</t>
  </si>
  <si>
    <t xml:space="preserve">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общеобразовательным,а также по организации предоставления дополнительного образования детям, за исключением дополнительного образования детей, финансовое обеспечение которого осуществляется органами государственной власти Краснодарского края, в муниципальных образовательных организациях (создание универсальных спортивных залов путем строительства и (или) реконструкции зданий и сооружений  муниципальных образовательных организаций ) </t>
  </si>
  <si>
    <t xml:space="preserve">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t>
  </si>
  <si>
    <t xml:space="preserve">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общеобразовательных организациях) </t>
  </si>
  <si>
    <t xml:space="preserve">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 в муниципальных образовательных организациях для создания новых мест в общеобразовательных организациях  (капитальный ремонт зданий и сооружений образовательных организаций) </t>
  </si>
  <si>
    <t xml:space="preserve">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рамках реализации мероприятий регионального проекта Краснодарского края "Современная школа"( обновление материально-технической базы для формирования у обучающихся современных навыков по предметной области «Технология» и других предметных областей)                                                       
</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</si>
  <si>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 приобретение автобусов и микроавтобусов для обеспечения подвоза учащихся) в рамках  реализации  мероприятий регионального проекта Краснодарского края "Безопасность дорожного движения"  </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</si>
  <si>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расположенных в сельской местности и малых городах (создание (обновление) материально-технической базы для реалиализации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в рамках реализации мероприятий федерального проекта "Современная школа"</t>
  </si>
  <si>
    <t>2.4.3</t>
  </si>
  <si>
    <t>Предоставление субсидий муниципальным бюджетным организациям образования на приобретение автобусов и микроавтобусов</t>
  </si>
  <si>
    <t>ПЕРЕЧЕНЬ                                                                                                                                                                                                                                                                                                                                                                                                                                                                                    основных мероприятий подпрограммы  «Развитие начального общего, основного общего, среднего общего образования»</t>
  </si>
  <si>
    <t>Дополнительная финансовую помощь для решения социально значимых вопросов местного значения (капитальный и текущий ремонт, благоустройство территории, материально-техническое обеспечение общеобразовательных организаций)</t>
  </si>
  <si>
    <t>Внедрение целевой модели цифровой образовательной среды в образовательных организациях в рамках регионального проекта "Цифровая образовательная среда"</t>
  </si>
  <si>
    <t>Внебюджетные средства</t>
  </si>
  <si>
    <t>3.8</t>
  </si>
  <si>
    <t>3.9</t>
  </si>
  <si>
    <t>3.10</t>
  </si>
  <si>
    <t>3.4.1</t>
  </si>
  <si>
    <t>3.4.2</t>
  </si>
  <si>
    <t>3.6</t>
  </si>
  <si>
    <t>3.7</t>
  </si>
  <si>
    <t>3.11</t>
  </si>
  <si>
    <t>Осуществление технологического присоединения энергопринимающих устройств  и тепловым сетям для эксплуатации объектов учреждений и организаций образования</t>
  </si>
  <si>
    <t>1.2.3</t>
  </si>
  <si>
    <t>2.8</t>
  </si>
  <si>
    <t xml:space="preserve">Обеспечение непредвиденных расходов по организации предоставления общедоступного и бесплатного начального общего,основного общего, среднего общего образования по основным общеобразовательным программам в муниципальных образовательных организациях, созданию условий для осуществления содержания детей  муниципальных образовательных организациях на софинансирование мероприятий в части оснащения муниципальных общеобразовательных организаций оборудованием для обеззараживания воздуха, предназначенным для работы в присутствии людей </t>
  </si>
  <si>
    <t xml:space="preserve"> </t>
  </si>
  <si>
    <t>2023 г.</t>
  </si>
  <si>
    <t xml:space="preserve"> Организация бесплатного горячего питания обучающихся, получающих начальное общее образование в муниципальных образовательных организациях (оплата услуги по организации горячего питания)</t>
  </si>
  <si>
    <t>3.12</t>
  </si>
  <si>
    <t>3.10.1</t>
  </si>
  <si>
    <t>МКУ «Центр развития образования», муниципальные образовательные организации - получатели субсидии;  управление образования администрации муни-ципального образования Тимашевский район - ответственный за выполнение мероприятия</t>
  </si>
  <si>
    <t>Реконструкция МБОУ СОШ № 4                            по адресу: г.Тимашевск, микрорайон Сахарный завод с увеличением вместимости и выделением блока начального образования на 400 мест                                                                                                                                                                                                                                                                                                                                    (II этап. Блок начального образования  на 400 мест)</t>
  </si>
  <si>
    <t xml:space="preserve">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 в муниципальных образовательных организациях  (приобретение движимого имущества для оснащения  муниципальных общеобразовательных организаций, в том числе приобретение оборудования для пищеблоков, музеев  и т.д.) </t>
  </si>
  <si>
    <t>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</si>
  <si>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2.5.4</t>
  </si>
  <si>
    <t xml:space="preserve">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и переоснащение пищевых блоков муниципальных общеобразовательных организаций) </t>
  </si>
  <si>
    <t>Реконструкция МАОУ СОШ № 11по адресу: г. Тимашевск, ул. Степанова,170А</t>
  </si>
  <si>
    <t>2024 г.</t>
  </si>
  <si>
    <t>Основное мероприятие</t>
  </si>
  <si>
    <t>Федеральный бюджет</t>
  </si>
  <si>
    <t xml:space="preserve">Начальник управления образования администрации муниципального образования Тимашевский район   
</t>
  </si>
  <si>
    <t>С.В. Проценко</t>
  </si>
  <si>
    <t>100 % обеспеченность школ (пунктов) проведения ОГЭ и ЕГЭ оргтехникой (принтер, ксерокс,видеозаписывающая аппаратура), компьютерной техни-кой, телевизорами(экра-нами), комплектующими и т.д, рециркуляторами, монтаж видеонаблюдения,  компенсация педагогическим работникам, участвующим в проведение ЕГЭ , командировочные расходы</t>
  </si>
  <si>
    <t>Капитальный ремонт спортивных залов муниципальных общеобразовательных организаций, расположенных в сельской местности, в том числе устройство в них пожарной сигнализации и изготовление проектно-сметной документации                                                                                                                                                                                                                    (в рамках софинансирования)</t>
  </si>
  <si>
    <t>1.2.4</t>
  </si>
  <si>
    <t xml:space="preserve">Предоставление субсидий муниципальным бюджетным и автономным общеобразовательных организаций на выплату дополнительной меры социальной поддержки отдельным категориям работников </t>
  </si>
  <si>
    <t>».</t>
  </si>
  <si>
    <r>
      <rPr>
        <sz val="18"/>
        <color theme="0"/>
        <rFont val="Times New Roman"/>
        <family val="1"/>
        <charset val="204"/>
      </rPr>
      <t xml:space="preserve">иииииииииииииииииииииииииииииииииииииииаааааааааааааааааааааааа                                               </t>
    </r>
    <r>
      <rPr>
        <sz val="18"/>
        <color theme="1"/>
        <rFont val="Times New Roman"/>
        <family val="1"/>
        <charset val="204"/>
      </rPr>
      <t xml:space="preserve">             
</t>
    </r>
  </si>
  <si>
    <t>3.12.1</t>
  </si>
  <si>
    <t>3.12.2</t>
  </si>
  <si>
    <t>3.12.3</t>
  </si>
  <si>
    <t>3.12.4</t>
  </si>
  <si>
    <t>3.12.5</t>
  </si>
  <si>
    <t>3.13</t>
  </si>
  <si>
    <t xml:space="preserve">Предоставление субвенции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 </t>
  </si>
  <si>
    <t>1.3.5</t>
  </si>
  <si>
    <t>Строительство пристроек к существующим зданиям и сооружениям муниципальных образовательных организаций,строительство общеобразовательных организаций, в том числе:</t>
  </si>
  <si>
    <t>Разработка проектно-сметной документации по объекту "Реконструкция МБОУ СОШ № 4 по адресу: г.Тимашевск, микрорайон Сахарный завод с увеличением вместимости и выделением блока начального образования на 400 мест                                                                                                                                                                                                            (II этап. Блок начального образования на 400 мест)</t>
  </si>
  <si>
    <t>Разработка проектно-сметной документации для строительства школы на 825 мест в ст. Медведовской</t>
  </si>
  <si>
    <t>Строительство общеобразовательной организации на 825 мест в станице Медведовской</t>
  </si>
  <si>
    <t>Предоставление субсидии на организацию и обеспечение бесплатным горячим питанием обучающихся с ограниченными возможностями здоровья в муниципальных общеобразовательных организациях</t>
  </si>
  <si>
    <t>Предоставление субсидий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</si>
  <si>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Реконструкция МБОУ ООШ № 21 в ст. Роговской Тимашевского района (I этап. Строительство универсального спортивного комплекса (зала) (Корректировка)</t>
  </si>
  <si>
    <t>1.1.5</t>
  </si>
  <si>
    <t>1.1.6.</t>
  </si>
  <si>
    <t>1.1.7.</t>
  </si>
  <si>
    <t>Количество общеобразовательных организаций, в которых проведена реконструкция с вводом мест: 2019-2020 гг. - 1/400</t>
  </si>
  <si>
    <t>2025 г.</t>
  </si>
  <si>
    <t>Количество присоединенных энергопринимающих устройств:    2019-2020 гг. - 1 шт.</t>
  </si>
  <si>
    <t>Ежегодно обеспеченность  учащихся дополнительным питанием (молоком) с охватом не менее   100 %</t>
  </si>
  <si>
    <t>Обеспеченность учащихся с ОВЗ двухразовым питанием 100 % с 2020 по 2025 гг.</t>
  </si>
  <si>
    <t>Обеспеченность детей- инвалидов (инвалидов) двухразовым питанием 100 % с 2020 по 2025 гг.</t>
  </si>
  <si>
    <t>Количество районных и краевых конкурсов и праздников, проведенных для учащихся работниками дополнительного образования: 2018 год  по  3 мероприятия,  2019-2025 гг.  по 2 мероприятия</t>
  </si>
  <si>
    <t xml:space="preserve">Количество трудоустроенных несовершеннолетних   от 14 до 18 лет в    2021 - 2025 гг. не менее  400 чел. </t>
  </si>
  <si>
    <t>Ежегодно  количество педагогов,  получателей мер социальнй поддержки в виде  компенсации 2018 - 2019 гг. - 747 чел.,  2020 - 709 чел., 2021 г.- 701 чел., 2022 - 2025- 622 чел.</t>
  </si>
  <si>
    <t>Капитальный  и текущий ремонт зданий и сооружений, благоустройство территорий, прилегающих к зданиям и сооружениям муниципальных общеобразовательных организаций, в том числе устройство в них автоматической пожарной сигнализации, изготовление проектно-сметной документации, проведение госэкспертизы</t>
  </si>
  <si>
    <t xml:space="preserve"> Ежегодно обеспеченность  сбалансированным горячим питанием  учащихся с охватом не менее  98 %</t>
  </si>
  <si>
    <t>1.2.5</t>
  </si>
  <si>
    <t>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"Патриотическое воспитание граждан Российской Федерации"</t>
  </si>
  <si>
    <t>1.2.6</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</si>
  <si>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в муниципальных образовательных организациях в рамках реализациимероприятий регионального проекта "Патриотическое воспитание граждан Российской Федерации" (приобретение товаров (работ, услуг) в целях оснащения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</si>
  <si>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Количество советников-получателей выплат -2022 - 2025 г г. - 19 чел.</t>
  </si>
  <si>
    <r>
      <rPr>
        <sz val="18"/>
        <color theme="0"/>
        <rFont val="Times New Roman"/>
        <family val="1"/>
        <charset val="204"/>
      </rPr>
      <t>ииииииииииииииииииииииииии</t>
    </r>
    <r>
      <rPr>
        <sz val="18"/>
        <color theme="1"/>
        <rFont val="Times New Roman"/>
        <family val="1"/>
        <charset val="204"/>
      </rPr>
      <t xml:space="preserve">                                                                                                                                                                                                                                                                                   Приложение № 4
к постановлению администрации 
муниципального образования 
Тимашевский район
от________________№______</t>
    </r>
    <r>
      <rPr>
        <sz val="18"/>
        <color theme="0"/>
        <rFont val="Times New Roman"/>
        <family val="1"/>
        <charset val="204"/>
      </rPr>
      <t xml:space="preserve">_ииииииииииииииииииииииииии                                                       </t>
    </r>
    <r>
      <rPr>
        <sz val="18"/>
        <color theme="1"/>
        <rFont val="Times New Roman"/>
        <family val="1"/>
        <charset val="204"/>
      </rPr>
      <t xml:space="preserve">                                                                                                                                                                                                                            «Приложение 
к подпрограмме  «Развитие начального                                                                                                                                                                                                                                               общего, основного общего, среднего                                                                                                                                                                            общего образования»
(в редакции постановления
администрации  муниципального 
образования Тимашевский район       
от _____________№_________)</t>
    </r>
  </si>
  <si>
    <t>Количество подготовительных мероприятий для строительства пристроек: 2018 год - 2 шт., 2024-2025 гг.- 2 учр.</t>
  </si>
  <si>
    <t>Количество разработанных ПСД: 2019 год - 1 шт., 2020 год - 1 шт.</t>
  </si>
  <si>
    <t>Количество комплектов проектной документации и инженерных изысканий, получивших положительное заключение государственной экспертизы: -    2023 год- 1 учр.</t>
  </si>
  <si>
    <t>Количество объектов проверенных авторским надзором - 2020 год - 1 шт.</t>
  </si>
  <si>
    <t>Количество комплектов проектной документации и инженерных изысканий, получивших положительное заключение государственной экспертизы: 2022 год- 0, 2023 - 2025 гг. - 1.</t>
  </si>
  <si>
    <t>Ежегодно 100 % выполнение муниципального задания, количество учащихся в 2018 год не менее  12646 чел., в 2019 год не менее 12690 чел., в 2020- 2021 гг. не менее 12630 чел.,                                                                                                                                                                                                                                                                                                                                                      в 2022- 2025 гг. не менее 12892 чел.</t>
  </si>
  <si>
    <t>Количество педагогов, получающих выплату 2020 год не менее 500 чел., 2021 год не менее 503, 2022- 2025 гг. не менее                                                                                                                    504 чел.</t>
  </si>
  <si>
    <t>Количество работников , получающих ежегодно выплату не менее в 2021 год-714 чел.</t>
  </si>
  <si>
    <t>Количество организаций, получивших государственные символы - в 2023 год - 2;                                в 2024 год - 4.</t>
  </si>
  <si>
    <t xml:space="preserve">Кол-во электроустановок земельного участка: 2019 год - 1;           </t>
  </si>
  <si>
    <t>Количество спортивных залов, расположенных в г. Тимашевске, которые подготовлены к  проведению капитального и текущего ремонта: 2018 год - 1. Количество отремонтированных спортивных залов:                          2019 год - 2.</t>
  </si>
  <si>
    <t xml:space="preserve">Количество спортивных залов, расположенных в сельской местности, которые подготовлены к проведению капитального и текущего ремонта:   2018 год -1.              </t>
  </si>
  <si>
    <t xml:space="preserve">Количество приобретенных  автобусов для общеобразовательных организаций: 2018 год -  6  шт.; 2019 год - 8 шт.                 </t>
  </si>
  <si>
    <t xml:space="preserve">Количество приобретенных  автобусов для общеобразовательных организаций:   2020 год - 2;                                                                                                                                                                  2021 год - 1.           </t>
  </si>
  <si>
    <t>Количество изготовленных технических планов спортивно-игровых площадок: 2018 год - 4 шт. (МБОУ СОШ № 3, 7, 15, 10), 2020 год - 1 шт. (МБОУСОШ                                              № 13)</t>
  </si>
  <si>
    <t>Количество введеных новых мест после капитального ремонта зданий  и сооружений школ :   2018 год - 60  (МБОУ СОШ                                                                                                          № 16);  2020 год - 46 (МБОУ СОШ №5); 2021 год - 0.</t>
  </si>
  <si>
    <t>Оснащение помещений муниципальных организаций оборудованием для обеззараживания воздуха                                                                                                                                                 2020 год не менее 30 % от общего числа помещений</t>
  </si>
  <si>
    <t>Количество приобретеных классов -комплектов (оборудование) для вновь созданных мест: 2018 год - не менее 3; 2020 год- не менее 3</t>
  </si>
  <si>
    <t>Количество  школ, в которых приобретено оборудование ( в том числе для пищеблоков):                                                                                                                                                                        2020 год- 1 (МБОУ СОШ № 10); 2021 год- 5 (МБОУ СОШ                                                                                                                                                                                                                                                           № 2,1,13,16,5);                                                                                                                                                                                                                                                                                                                                        2022 год - 5 учр. (СОШ 4,6,12,15,21).</t>
  </si>
  <si>
    <t>Количество помещений, соответствующих  условиям и требованиям для оказания медико-санитарной помощи: 2018 год - 3</t>
  </si>
  <si>
    <t>Количество учреждений, в которых обновлена материально-техническая база для формирования современных технологических и гуманитарных навыков: 2019 год - 4 учр.</t>
  </si>
  <si>
    <t>Количество учреждений, в которых обновлена материально-техническая база для формирования современных навыков по предметной области «Технология» и других предметных областей:                                                                                                                                                                                                                                                                                                                                 2019 год - 4 учр.;                                  2020 год - 2 учр.</t>
  </si>
  <si>
    <t>Количество организаций, в которых внедрена целевая модель цифровой образовательной среды:   2020 год- 5 (МБОУ СОШ 1, 4, 5,18, МАОУ СОШ                                                               № 11); 2022 год- 1 (МБОУ СОШ № 4)</t>
  </si>
  <si>
    <t xml:space="preserve">Обеспеченность учащихся  1-4 классов бесплатным горячим питанием с 2020 по 2025 гг. -                                                                                                                                                                               100 % </t>
  </si>
  <si>
    <t>Количество одаренных детей, участвующих в приеме                                                                                                                                                                                                                                                                  2019 год - 70 чел. 2020 год -                                                                                                                                                                                                                                                                                                                          20 чел., 2021 г. - 50 чел.,                                                                                                                                                                                                                                                                              2022-2025 гг. - 60 чел.</t>
  </si>
  <si>
    <t xml:space="preserve">Охват  юношей призывного возраста в учебных сборах:                                                                                                                                                                                                                                                      2018 год - 68 %, 2019 г. - 70 %,                                                                                                                                                                                                          2020 год - 0 %, 2021 год - 0 %,                                                                                                                                                                                                                                                                                                                            2022 год - 2025 г. -73 %                                                                                                                                                                                                                                                                                                                                              </t>
  </si>
  <si>
    <t>Обеспечение питанием детей граждан, участвующих в СВО</t>
  </si>
  <si>
    <t>3.9.1</t>
  </si>
  <si>
    <t>Расходы на орагинацию питания обучающихся на дому</t>
  </si>
  <si>
    <t xml:space="preserve">Количество построеных универсальных спортивных залов  на территории школ, в том числе с разработка ПСД, экспертиза стоимости ПСД и т.п.    2018 год (МБОУ ООШ  № 21) -  1;                                                                                                                                                                                                                                                                                                                                                   2019 год - (МБОУ ООШ № 21) - 1; 2020 год - 1, 2021 год - 1,                                                                                                                                                                                                                                                2022 год -1; 2023- 1                                                                           </t>
  </si>
  <si>
    <t>Количество общеобразовательных организаций, в которых проведен текущий и капитальный ремонт:  2018 год - 10 учреждений (СОШ № 1, 15, 6, 14, 21, 2, 13,10,12 ,5);         2019 год - 12 учреждений (СОШ № 9, 12, 14, 15, 18, 7,13,16,19, 10, 2, 6);    2020 год-. 7 учреждений МБОУ СОШ 1, 10, 14, 18, МАОУ СОШ 11, 12, 9); 2021 год -12 уч. (МБОУ СОШ 2, 5, 7, 6, 9, 15, 12, 14, 16, 3, 1, 2); Разработана ПСД -1 (СОШ 3); 2022 год - 9 уч.;                                                                                                                                                                                                      2023 год - 8 учр. (СОШ 7, 5, 14,12,1,19,8,10); 2025 год - 1 учр.</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</si>
</sst>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7" x14ac:knownFonts="1">
    <font>
      <sz val="11"/>
      <color theme="1"/>
      <name val="Calibri"/>
      <family val="2"/>
      <charset val="204"/>
      <scheme val="minor"/>
    </font>
    <font>
      <b/>
      <sz val="14"/>
      <color indexed="8"/>
      <name val="Times New Roman"/>
      <family val="1"/>
      <charset val="204"/>
    </font>
    <font>
      <sz val="14"/>
      <color indexed="8"/>
      <name val="Times New Roman"/>
      <family val="1"/>
      <charset val="204"/>
    </font>
    <font>
      <b/>
      <sz val="16"/>
      <color indexed="8"/>
      <name val="Times New Roman"/>
      <family val="1"/>
      <charset val="204"/>
    </font>
    <font>
      <sz val="14"/>
      <color indexed="8"/>
      <name val="Times New Roman"/>
      <family val="1"/>
      <charset val="204"/>
    </font>
    <font>
      <sz val="18"/>
      <color indexed="8"/>
      <name val="Times New Roman"/>
      <family val="1"/>
      <charset val="204"/>
    </font>
    <font>
      <sz val="20"/>
      <color indexed="8"/>
      <name val="Times New Roman"/>
      <family val="1"/>
      <charset val="204"/>
    </font>
    <font>
      <b/>
      <sz val="18"/>
      <color indexed="8"/>
      <name val="Times New Roman"/>
      <family val="1"/>
      <charset val="204"/>
    </font>
    <font>
      <sz val="16"/>
      <color indexed="8"/>
      <name val="Times New Roman"/>
      <family val="1"/>
      <charset val="204"/>
    </font>
    <font>
      <sz val="16"/>
      <name val="Times New Roman"/>
      <family val="1"/>
      <charset val="204"/>
    </font>
    <font>
      <b/>
      <sz val="16"/>
      <name val="Times New Roman"/>
      <family val="1"/>
      <charset val="204"/>
    </font>
    <font>
      <sz val="22"/>
      <color indexed="8"/>
      <name val="Times New Roman"/>
      <family val="1"/>
      <charset val="204"/>
    </font>
    <font>
      <sz val="11"/>
      <name val="Times New Roman"/>
      <family val="1"/>
      <charset val="204"/>
    </font>
    <font>
      <sz val="18"/>
      <name val="Times New Roman"/>
      <family val="1"/>
      <charset val="204"/>
    </font>
    <font>
      <b/>
      <sz val="14"/>
      <name val="Times New Roman"/>
      <family val="1"/>
      <charset val="204"/>
    </font>
    <font>
      <sz val="16"/>
      <color theme="1"/>
      <name val="Times New Roman"/>
      <family val="1"/>
      <charset val="204"/>
    </font>
    <font>
      <sz val="16"/>
      <color theme="1"/>
      <name val="Calibri"/>
      <family val="2"/>
      <charset val="204"/>
      <scheme val="minor"/>
    </font>
    <font>
      <sz val="14"/>
      <color theme="1"/>
      <name val="Times New Roman"/>
      <family val="1"/>
      <charset val="204"/>
    </font>
    <font>
      <sz val="16"/>
      <color theme="0"/>
      <name val="Calibri"/>
      <family val="2"/>
      <charset val="204"/>
      <scheme val="minor"/>
    </font>
    <font>
      <sz val="18"/>
      <color theme="0"/>
      <name val="Times New Roman"/>
      <family val="1"/>
      <charset val="204"/>
    </font>
    <font>
      <sz val="22"/>
      <color theme="1"/>
      <name val="Times New Roman"/>
      <family val="1"/>
      <charset val="204"/>
    </font>
    <font>
      <sz val="12"/>
      <color theme="1"/>
      <name val="Times New Roman"/>
      <family val="1"/>
      <charset val="204"/>
    </font>
    <font>
      <sz val="16"/>
      <name val="Calibri"/>
      <family val="2"/>
      <charset val="204"/>
      <scheme val="minor"/>
    </font>
    <font>
      <sz val="11"/>
      <color theme="1"/>
      <name val="Times New Roman"/>
      <family val="1"/>
      <charset val="204"/>
    </font>
    <font>
      <sz val="11"/>
      <name val="Calibri"/>
      <family val="2"/>
      <charset val="204"/>
      <scheme val="minor"/>
    </font>
    <font>
      <sz val="18"/>
      <color theme="1"/>
      <name val="Times New Roman"/>
      <family val="1"/>
      <charset val="204"/>
    </font>
    <font>
      <sz val="22"/>
      <color theme="1"/>
      <name val="Calibri"/>
      <family val="2"/>
      <charset val="204"/>
      <scheme val="minor"/>
    </font>
  </fonts>
  <fills count="5">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1">
    <xf numFmtId="0" fontId="0" fillId="0" borderId="0"/>
  </cellStyleXfs>
  <cellXfs count="425">
    <xf numFmtId="0" fontId="0" fillId="0" borderId="0" xfId="0"/>
    <xf numFmtId="0" fontId="0" fillId="0" borderId="0" xfId="0" applyAlignment="1">
      <alignment wrapText="1"/>
    </xf>
    <xf numFmtId="0" fontId="2" fillId="0" borderId="1" xfId="0" applyFont="1" applyBorder="1" applyAlignment="1">
      <alignment vertical="top" wrapText="1"/>
    </xf>
    <xf numFmtId="0" fontId="2" fillId="0" borderId="2" xfId="0" applyFont="1" applyBorder="1" applyAlignment="1">
      <alignment vertical="top" wrapText="1"/>
    </xf>
    <xf numFmtId="0" fontId="4" fillId="0" borderId="0" xfId="0" applyFont="1"/>
    <xf numFmtId="0" fontId="2" fillId="0" borderId="3" xfId="0" applyFont="1" applyBorder="1" applyAlignment="1">
      <alignment wrapText="1"/>
    </xf>
    <xf numFmtId="0" fontId="2" fillId="0" borderId="3" xfId="0" applyFont="1" applyBorder="1" applyAlignment="1">
      <alignment vertical="top" wrapText="1"/>
    </xf>
    <xf numFmtId="164" fontId="2" fillId="0" borderId="3" xfId="0" applyNumberFormat="1" applyFont="1" applyBorder="1" applyAlignment="1">
      <alignment vertical="center" wrapText="1"/>
    </xf>
    <xf numFmtId="0" fontId="2" fillId="0" borderId="1" xfId="0" applyFont="1" applyBorder="1" applyAlignment="1">
      <alignment vertical="top"/>
    </xf>
    <xf numFmtId="0" fontId="2" fillId="0" borderId="2" xfId="0" applyFont="1" applyBorder="1" applyAlignment="1">
      <alignment vertical="top"/>
    </xf>
    <xf numFmtId="0" fontId="2" fillId="0" borderId="3" xfId="0" applyFont="1" applyBorder="1" applyAlignment="1">
      <alignment vertical="top"/>
    </xf>
    <xf numFmtId="0" fontId="1" fillId="0" borderId="3" xfId="0" applyFont="1" applyBorder="1" applyAlignment="1">
      <alignment vertical="top" wrapText="1"/>
    </xf>
    <xf numFmtId="164" fontId="1" fillId="0" borderId="3" xfId="0" applyNumberFormat="1" applyFont="1" applyBorder="1" applyAlignment="1">
      <alignment vertical="center" wrapText="1"/>
    </xf>
    <xf numFmtId="0" fontId="2" fillId="0" borderId="1" xfId="0" applyFont="1" applyBorder="1" applyAlignment="1">
      <alignment wrapText="1"/>
    </xf>
    <xf numFmtId="164" fontId="2" fillId="0" borderId="3" xfId="0" applyNumberFormat="1" applyFont="1" applyFill="1" applyBorder="1" applyAlignment="1">
      <alignment vertical="center" wrapText="1"/>
    </xf>
    <xf numFmtId="164" fontId="2" fillId="0" borderId="1" xfId="0" applyNumberFormat="1" applyFont="1" applyBorder="1" applyAlignment="1">
      <alignment vertical="center" wrapText="1"/>
    </xf>
    <xf numFmtId="164" fontId="2" fillId="0" borderId="3" xfId="0" applyNumberFormat="1" applyFont="1" applyBorder="1" applyAlignment="1">
      <alignment vertical="center"/>
    </xf>
    <xf numFmtId="0" fontId="2" fillId="0" borderId="4" xfId="0" applyFont="1" applyBorder="1" applyAlignment="1">
      <alignment vertical="top" wrapText="1"/>
    </xf>
    <xf numFmtId="0" fontId="2" fillId="0" borderId="0" xfId="0" applyFont="1" applyBorder="1" applyAlignment="1">
      <alignment vertical="top" wrapText="1"/>
    </xf>
    <xf numFmtId="0" fontId="2" fillId="0" borderId="3" xfId="0" applyNumberFormat="1" applyFont="1" applyBorder="1" applyAlignment="1">
      <alignment vertical="top"/>
    </xf>
    <xf numFmtId="0" fontId="2" fillId="0" borderId="3" xfId="0" applyNumberFormat="1" applyFont="1" applyFill="1" applyBorder="1" applyAlignment="1">
      <alignment vertical="top"/>
    </xf>
    <xf numFmtId="0" fontId="2" fillId="0" borderId="3" xfId="0" applyFont="1" applyBorder="1" applyAlignment="1">
      <alignment horizontal="justify" vertical="top"/>
    </xf>
    <xf numFmtId="0" fontId="2" fillId="0" borderId="0" xfId="0" applyFont="1" applyAlignment="1">
      <alignment wrapText="1"/>
    </xf>
    <xf numFmtId="164" fontId="2" fillId="0" borderId="3" xfId="0" applyNumberFormat="1" applyFont="1" applyFill="1" applyBorder="1" applyAlignment="1">
      <alignment vertical="center"/>
    </xf>
    <xf numFmtId="0" fontId="2" fillId="0" borderId="5" xfId="0" applyNumberFormat="1" applyFont="1" applyBorder="1" applyAlignment="1">
      <alignment vertical="top"/>
    </xf>
    <xf numFmtId="164" fontId="2" fillId="0" borderId="1" xfId="0" applyNumberFormat="1" applyFont="1" applyBorder="1" applyAlignment="1">
      <alignment vertical="center"/>
    </xf>
    <xf numFmtId="0" fontId="1" fillId="0" borderId="1" xfId="0" applyFont="1" applyBorder="1" applyAlignment="1">
      <alignment vertical="top" wrapText="1"/>
    </xf>
    <xf numFmtId="164" fontId="1" fillId="0" borderId="1" xfId="0" applyNumberFormat="1" applyFont="1" applyBorder="1" applyAlignment="1">
      <alignment vertical="center"/>
    </xf>
    <xf numFmtId="164" fontId="2" fillId="0" borderId="3" xfId="0" applyNumberFormat="1" applyFont="1" applyBorder="1"/>
    <xf numFmtId="164" fontId="1" fillId="0" borderId="3" xfId="0" applyNumberFormat="1" applyFont="1" applyBorder="1"/>
    <xf numFmtId="0" fontId="2" fillId="0" borderId="6" xfId="0" applyFont="1" applyBorder="1" applyAlignment="1">
      <alignment wrapText="1"/>
    </xf>
    <xf numFmtId="164" fontId="2" fillId="0" borderId="1" xfId="0" applyNumberFormat="1" applyFont="1" applyBorder="1"/>
    <xf numFmtId="0" fontId="2" fillId="0" borderId="2" xfId="0" applyFont="1" applyBorder="1" applyAlignment="1">
      <alignment wrapText="1"/>
    </xf>
    <xf numFmtId="164" fontId="2" fillId="0" borderId="2" xfId="0" applyNumberFormat="1" applyFont="1" applyBorder="1"/>
    <xf numFmtId="164" fontId="2" fillId="0" borderId="5" xfId="0" applyNumberFormat="1" applyFont="1" applyBorder="1"/>
    <xf numFmtId="0" fontId="2" fillId="0" borderId="7" xfId="0" applyFont="1" applyBorder="1" applyAlignment="1">
      <alignment vertical="top" wrapText="1"/>
    </xf>
    <xf numFmtId="0" fontId="1" fillId="0" borderId="3" xfId="0" applyFont="1" applyFill="1" applyBorder="1" applyAlignment="1">
      <alignment vertical="top" wrapText="1"/>
    </xf>
    <xf numFmtId="0" fontId="2" fillId="0" borderId="6" xfId="0" applyFont="1" applyBorder="1" applyAlignment="1">
      <alignment vertical="top" wrapText="1"/>
    </xf>
    <xf numFmtId="164" fontId="2" fillId="0" borderId="8" xfId="0" applyNumberFormat="1" applyFont="1" applyBorder="1"/>
    <xf numFmtId="0" fontId="4" fillId="0" borderId="9" xfId="0" applyFont="1" applyBorder="1"/>
    <xf numFmtId="164" fontId="2" fillId="0" borderId="10" xfId="0" applyNumberFormat="1" applyFont="1" applyBorder="1"/>
    <xf numFmtId="0" fontId="4" fillId="0" borderId="11" xfId="0" applyFont="1" applyBorder="1"/>
    <xf numFmtId="164" fontId="2" fillId="0" borderId="12" xfId="0" applyNumberFormat="1" applyFont="1" applyBorder="1"/>
    <xf numFmtId="0" fontId="0" fillId="0" borderId="0" xfId="0" applyBorder="1"/>
    <xf numFmtId="0" fontId="5" fillId="0" borderId="0" xfId="0" applyFont="1" applyBorder="1"/>
    <xf numFmtId="0" fontId="6" fillId="0" borderId="0" xfId="0" applyFont="1" applyBorder="1" applyAlignment="1">
      <alignment horizontal="right"/>
    </xf>
    <xf numFmtId="49" fontId="8" fillId="0" borderId="3" xfId="0" applyNumberFormat="1" applyFont="1" applyFill="1" applyBorder="1" applyAlignment="1">
      <alignment horizontal="center" vertical="top"/>
    </xf>
    <xf numFmtId="0" fontId="3" fillId="0" borderId="3" xfId="0" applyFont="1" applyFill="1" applyBorder="1" applyAlignment="1">
      <alignment horizontal="center"/>
    </xf>
    <xf numFmtId="49" fontId="15" fillId="0" borderId="3" xfId="0" applyNumberFormat="1" applyFont="1" applyFill="1" applyBorder="1" applyAlignment="1">
      <alignment vertical="top" wrapText="1"/>
    </xf>
    <xf numFmtId="49" fontId="3" fillId="0" borderId="3" xfId="0" applyNumberFormat="1" applyFont="1" applyFill="1" applyBorder="1" applyAlignment="1">
      <alignment horizontal="center" vertical="top"/>
    </xf>
    <xf numFmtId="49" fontId="16" fillId="0" borderId="3" xfId="0" applyNumberFormat="1" applyFont="1" applyFill="1" applyBorder="1" applyAlignment="1">
      <alignment horizontal="center" vertical="top"/>
    </xf>
    <xf numFmtId="49" fontId="8" fillId="0" borderId="5" xfId="0" applyNumberFormat="1" applyFont="1" applyFill="1" applyBorder="1" applyAlignment="1">
      <alignment horizontal="center" vertical="top" wrapText="1"/>
    </xf>
    <xf numFmtId="165" fontId="9" fillId="3" borderId="3" xfId="0" applyNumberFormat="1" applyFont="1" applyFill="1" applyBorder="1" applyAlignment="1">
      <alignment horizontal="center" vertical="top" wrapText="1"/>
    </xf>
    <xf numFmtId="0" fontId="3" fillId="3" borderId="3" xfId="0" applyFont="1" applyFill="1" applyBorder="1" applyAlignment="1">
      <alignment horizontal="center" vertical="center" wrapText="1"/>
    </xf>
    <xf numFmtId="165" fontId="10" fillId="3" borderId="3" xfId="0" applyNumberFormat="1" applyFont="1" applyFill="1" applyBorder="1" applyAlignment="1">
      <alignment vertical="top" wrapText="1"/>
    </xf>
    <xf numFmtId="49" fontId="15" fillId="0" borderId="1" xfId="0" applyNumberFormat="1" applyFont="1" applyFill="1" applyBorder="1" applyAlignment="1">
      <alignment horizontal="center" vertical="top" wrapText="1"/>
    </xf>
    <xf numFmtId="49" fontId="8" fillId="0" borderId="3" xfId="0" applyNumberFormat="1" applyFont="1" applyFill="1" applyBorder="1" applyAlignment="1">
      <alignment horizontal="center" vertical="top" wrapText="1"/>
    </xf>
    <xf numFmtId="0" fontId="8" fillId="3" borderId="3" xfId="0" applyFont="1" applyFill="1" applyBorder="1" applyAlignment="1">
      <alignment horizontal="left" vertical="center" wrapText="1"/>
    </xf>
    <xf numFmtId="164" fontId="8" fillId="3" borderId="3" xfId="0" applyNumberFormat="1" applyFont="1" applyFill="1" applyBorder="1" applyAlignment="1">
      <alignment horizontal="center" vertical="top" wrapText="1"/>
    </xf>
    <xf numFmtId="2" fontId="15" fillId="3" borderId="3" xfId="0" applyNumberFormat="1" applyFont="1" applyFill="1" applyBorder="1" applyAlignment="1">
      <alignment horizontal="left" vertical="top" wrapText="1"/>
    </xf>
    <xf numFmtId="165" fontId="10" fillId="3" borderId="3" xfId="0" applyNumberFormat="1" applyFont="1" applyFill="1" applyBorder="1" applyAlignment="1">
      <alignment horizontal="center" vertical="top"/>
    </xf>
    <xf numFmtId="165" fontId="9" fillId="3" borderId="3" xfId="0" applyNumberFormat="1" applyFont="1" applyFill="1" applyBorder="1" applyAlignment="1">
      <alignment vertical="top" wrapText="1"/>
    </xf>
    <xf numFmtId="0" fontId="15" fillId="3" borderId="3" xfId="0" applyFont="1" applyFill="1" applyBorder="1" applyAlignment="1">
      <alignment vertical="top" wrapText="1"/>
    </xf>
    <xf numFmtId="0" fontId="0" fillId="0" borderId="3" xfId="0" applyBorder="1"/>
    <xf numFmtId="0" fontId="16" fillId="0" borderId="0" xfId="0" applyFont="1" applyAlignment="1">
      <alignment horizontal="center" vertical="center" textRotation="180"/>
    </xf>
    <xf numFmtId="3" fontId="9" fillId="0" borderId="9" xfId="0" applyNumberFormat="1" applyFont="1" applyFill="1" applyBorder="1" applyAlignment="1">
      <alignment horizontal="center" vertical="center" textRotation="180" wrapText="1"/>
    </xf>
    <xf numFmtId="0" fontId="8" fillId="3" borderId="3" xfId="0" applyFont="1" applyFill="1" applyBorder="1" applyAlignment="1">
      <alignment horizontal="left" vertical="top" wrapText="1"/>
    </xf>
    <xf numFmtId="0" fontId="8" fillId="3" borderId="5" xfId="0" applyFont="1" applyFill="1" applyBorder="1" applyAlignment="1">
      <alignment vertical="top" wrapText="1"/>
    </xf>
    <xf numFmtId="49" fontId="8" fillId="3" borderId="1" xfId="0" applyNumberFormat="1" applyFont="1" applyFill="1" applyBorder="1" applyAlignment="1">
      <alignment horizontal="center" vertical="top"/>
    </xf>
    <xf numFmtId="0" fontId="3" fillId="3" borderId="3" xfId="0" applyFont="1" applyFill="1" applyBorder="1" applyAlignment="1">
      <alignment horizontal="center" wrapText="1"/>
    </xf>
    <xf numFmtId="164" fontId="9" fillId="3" borderId="3" xfId="0" applyNumberFormat="1" applyFont="1" applyFill="1" applyBorder="1" applyAlignment="1">
      <alignment horizontal="center" vertical="top" wrapText="1"/>
    </xf>
    <xf numFmtId="164" fontId="8" fillId="3" borderId="3" xfId="0" applyNumberFormat="1" applyFont="1" applyFill="1" applyBorder="1" applyAlignment="1">
      <alignment horizontal="left" vertical="top" wrapText="1"/>
    </xf>
    <xf numFmtId="165" fontId="9" fillId="3" borderId="3" xfId="0" applyNumberFormat="1" applyFont="1" applyFill="1" applyBorder="1" applyAlignment="1">
      <alignment horizontal="left" vertical="center" wrapText="1"/>
    </xf>
    <xf numFmtId="165" fontId="9" fillId="3" borderId="3" xfId="0" applyNumberFormat="1" applyFont="1" applyFill="1" applyBorder="1" applyAlignment="1">
      <alignment horizontal="center" vertical="center" wrapText="1"/>
    </xf>
    <xf numFmtId="0" fontId="8" fillId="3" borderId="3" xfId="0" applyFont="1" applyFill="1" applyBorder="1" applyAlignment="1">
      <alignment vertical="top" wrapText="1"/>
    </xf>
    <xf numFmtId="0" fontId="9" fillId="3" borderId="3" xfId="0" applyFont="1" applyFill="1" applyBorder="1" applyAlignment="1">
      <alignment vertical="top"/>
    </xf>
    <xf numFmtId="164" fontId="9" fillId="3" borderId="3" xfId="0" applyNumberFormat="1" applyFont="1" applyFill="1" applyBorder="1" applyAlignment="1">
      <alignment horizontal="center" vertical="top"/>
    </xf>
    <xf numFmtId="164" fontId="9" fillId="3" borderId="1" xfId="0" applyNumberFormat="1" applyFont="1" applyFill="1" applyBorder="1" applyAlignment="1">
      <alignment horizontal="center" vertical="top"/>
    </xf>
    <xf numFmtId="0" fontId="8" fillId="3" borderId="3" xfId="0" applyFont="1" applyFill="1" applyBorder="1" applyAlignment="1">
      <alignment wrapText="1"/>
    </xf>
    <xf numFmtId="165" fontId="9" fillId="3" borderId="2" xfId="0" applyNumberFormat="1" applyFont="1" applyFill="1" applyBorder="1" applyAlignment="1">
      <alignment horizontal="center" vertical="top" wrapText="1"/>
    </xf>
    <xf numFmtId="165" fontId="9" fillId="3" borderId="3" xfId="0" applyNumberFormat="1" applyFont="1" applyFill="1" applyBorder="1" applyAlignment="1">
      <alignment horizontal="center" vertical="top"/>
    </xf>
    <xf numFmtId="165" fontId="9" fillId="3"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top" wrapText="1"/>
    </xf>
    <xf numFmtId="165" fontId="9" fillId="3" borderId="5" xfId="0" applyNumberFormat="1" applyFont="1" applyFill="1" applyBorder="1"/>
    <xf numFmtId="164" fontId="8" fillId="3" borderId="5" xfId="0" applyNumberFormat="1" applyFont="1" applyFill="1" applyBorder="1" applyAlignment="1">
      <alignment vertical="top" wrapText="1"/>
    </xf>
    <xf numFmtId="164" fontId="8" fillId="3" borderId="3" xfId="0" applyNumberFormat="1" applyFont="1" applyFill="1" applyBorder="1" applyAlignment="1">
      <alignment vertical="top" wrapText="1"/>
    </xf>
    <xf numFmtId="3" fontId="13" fillId="0" borderId="9" xfId="0" applyNumberFormat="1" applyFont="1" applyFill="1" applyBorder="1" applyAlignment="1">
      <alignment horizontal="center" vertical="center" textRotation="180" wrapText="1"/>
    </xf>
    <xf numFmtId="0" fontId="18" fillId="0" borderId="0" xfId="0" applyFont="1" applyAlignment="1">
      <alignment horizontal="center" vertical="center" textRotation="180"/>
    </xf>
    <xf numFmtId="0" fontId="19" fillId="0" borderId="0" xfId="0" applyFont="1" applyAlignment="1">
      <alignment horizontal="center" vertical="center" textRotation="180"/>
    </xf>
    <xf numFmtId="3" fontId="19" fillId="0" borderId="9" xfId="0" applyNumberFormat="1" applyFont="1" applyFill="1" applyBorder="1" applyAlignment="1">
      <alignment horizontal="center" vertical="center" textRotation="180" wrapText="1"/>
    </xf>
    <xf numFmtId="0" fontId="20" fillId="0" borderId="0" xfId="0" applyFont="1" applyAlignment="1">
      <alignment wrapText="1"/>
    </xf>
    <xf numFmtId="165" fontId="9" fillId="3" borderId="3" xfId="0" applyNumberFormat="1" applyFont="1" applyFill="1" applyBorder="1" applyAlignment="1">
      <alignment horizontal="left" vertical="center" wrapText="1"/>
    </xf>
    <xf numFmtId="165" fontId="9" fillId="3" borderId="3" xfId="0" applyNumberFormat="1" applyFont="1" applyFill="1" applyBorder="1" applyAlignment="1">
      <alignment vertical="top" wrapText="1"/>
    </xf>
    <xf numFmtId="164" fontId="8" fillId="3" borderId="5" xfId="0" applyNumberFormat="1" applyFont="1" applyFill="1" applyBorder="1" applyAlignment="1">
      <alignment horizontal="center" vertical="top" wrapText="1"/>
    </xf>
    <xf numFmtId="0" fontId="4" fillId="0" borderId="3" xfId="0" applyFont="1" applyBorder="1"/>
    <xf numFmtId="0" fontId="3" fillId="0" borderId="3" xfId="0" applyFont="1" applyBorder="1" applyAlignment="1">
      <alignment wrapText="1"/>
    </xf>
    <xf numFmtId="0" fontId="15" fillId="3" borderId="3" xfId="0" applyFont="1" applyFill="1" applyBorder="1" applyAlignment="1">
      <alignment horizontal="center" vertical="top" wrapText="1"/>
    </xf>
    <xf numFmtId="165" fontId="10" fillId="3" borderId="3" xfId="0" applyNumberFormat="1" applyFont="1" applyFill="1" applyBorder="1" applyAlignment="1">
      <alignment horizontal="center" vertical="center" wrapText="1"/>
    </xf>
    <xf numFmtId="0" fontId="3" fillId="0" borderId="3" xfId="0" applyFont="1" applyBorder="1" applyAlignment="1">
      <alignment horizontal="center" vertical="center"/>
    </xf>
    <xf numFmtId="0" fontId="21" fillId="0" borderId="3" xfId="0" applyFont="1" applyBorder="1" applyAlignment="1">
      <alignment horizontal="right" vertical="center"/>
    </xf>
    <xf numFmtId="0" fontId="1" fillId="3" borderId="3" xfId="0" applyFont="1" applyFill="1" applyBorder="1" applyAlignment="1">
      <alignment horizontal="left" vertical="center" wrapText="1"/>
    </xf>
    <xf numFmtId="49" fontId="1" fillId="0" borderId="3" xfId="0" applyNumberFormat="1" applyFont="1" applyFill="1" applyBorder="1" applyAlignment="1">
      <alignment horizontal="center" vertical="top"/>
    </xf>
    <xf numFmtId="0" fontId="1" fillId="0" borderId="3" xfId="0" applyFont="1" applyFill="1" applyBorder="1" applyAlignment="1">
      <alignment horizontal="center"/>
    </xf>
    <xf numFmtId="0" fontId="1" fillId="0" borderId="3" xfId="0" applyFont="1" applyFill="1" applyBorder="1" applyAlignment="1">
      <alignment horizontal="center" vertical="top"/>
    </xf>
    <xf numFmtId="165" fontId="9" fillId="3" borderId="3" xfId="0" applyNumberFormat="1" applyFont="1" applyFill="1" applyBorder="1" applyAlignment="1">
      <alignment vertical="top" wrapText="1"/>
    </xf>
    <xf numFmtId="0" fontId="15" fillId="3" borderId="5" xfId="0" applyFont="1" applyFill="1" applyBorder="1" applyAlignment="1">
      <alignment vertical="top" wrapText="1"/>
    </xf>
    <xf numFmtId="0" fontId="15" fillId="3" borderId="5" xfId="0" applyFont="1" applyFill="1" applyBorder="1" applyAlignment="1">
      <alignment horizontal="left" vertical="top" wrapText="1"/>
    </xf>
    <xf numFmtId="49" fontId="15" fillId="3" borderId="5" xfId="0" applyNumberFormat="1" applyFont="1" applyFill="1" applyBorder="1" applyAlignment="1">
      <alignment horizontal="center" vertical="top"/>
    </xf>
    <xf numFmtId="0" fontId="4" fillId="0" borderId="0" xfId="0" applyFont="1" applyBorder="1"/>
    <xf numFmtId="0" fontId="3" fillId="0" borderId="0" xfId="0" applyFont="1" applyBorder="1" applyAlignment="1">
      <alignment wrapText="1"/>
    </xf>
    <xf numFmtId="165" fontId="10" fillId="3" borderId="0" xfId="0" applyNumberFormat="1" applyFont="1" applyFill="1" applyBorder="1" applyAlignment="1">
      <alignment horizontal="center" vertical="center" wrapText="1"/>
    </xf>
    <xf numFmtId="0" fontId="3" fillId="0" borderId="0" xfId="0" applyFont="1" applyBorder="1" applyAlignment="1">
      <alignment horizontal="center" vertical="center"/>
    </xf>
    <xf numFmtId="0" fontId="15" fillId="0" borderId="0" xfId="0" applyFont="1" applyBorder="1" applyAlignment="1">
      <alignment horizontal="right" vertical="center"/>
    </xf>
    <xf numFmtId="0" fontId="15" fillId="3" borderId="3" xfId="0" applyFont="1" applyFill="1" applyBorder="1" applyAlignment="1">
      <alignment vertical="top" wrapText="1"/>
    </xf>
    <xf numFmtId="0" fontId="15" fillId="3" borderId="5" xfId="0" applyFont="1" applyFill="1" applyBorder="1" applyAlignment="1">
      <alignment vertical="top" wrapText="1"/>
    </xf>
    <xf numFmtId="165" fontId="9" fillId="3" borderId="3" xfId="0" applyNumberFormat="1" applyFont="1" applyFill="1" applyBorder="1" applyAlignment="1">
      <alignment horizontal="left" vertical="top" wrapText="1"/>
    </xf>
    <xf numFmtId="165" fontId="9" fillId="3" borderId="3" xfId="0" applyNumberFormat="1" applyFont="1" applyFill="1" applyBorder="1" applyAlignment="1">
      <alignment vertical="top" wrapText="1"/>
    </xf>
    <xf numFmtId="0" fontId="9" fillId="3" borderId="3" xfId="0" applyFont="1" applyFill="1" applyBorder="1" applyAlignment="1">
      <alignment vertical="top" wrapText="1"/>
    </xf>
    <xf numFmtId="0" fontId="24" fillId="3" borderId="3" xfId="0" applyFont="1" applyFill="1" applyBorder="1" applyAlignment="1">
      <alignment vertical="top" wrapText="1"/>
    </xf>
    <xf numFmtId="0" fontId="9" fillId="3" borderId="1" xfId="0" applyFont="1" applyFill="1" applyBorder="1" applyAlignment="1">
      <alignment vertical="top" wrapText="1"/>
    </xf>
    <xf numFmtId="165" fontId="10" fillId="3" borderId="3" xfId="0" applyNumberFormat="1" applyFont="1" applyFill="1" applyBorder="1" applyAlignment="1">
      <alignment horizontal="center" vertical="center" wrapText="1"/>
    </xf>
    <xf numFmtId="0" fontId="15" fillId="3" borderId="5" xfId="0" applyFont="1" applyFill="1" applyBorder="1" applyAlignment="1">
      <alignment vertical="top" wrapText="1"/>
    </xf>
    <xf numFmtId="49" fontId="8" fillId="3" borderId="1" xfId="0" applyNumberFormat="1" applyFont="1" applyFill="1" applyBorder="1" applyAlignment="1">
      <alignment horizontal="center" vertical="top"/>
    </xf>
    <xf numFmtId="0" fontId="8" fillId="3" borderId="3" xfId="0" applyFont="1" applyFill="1" applyBorder="1" applyAlignment="1">
      <alignment horizontal="left" vertical="top" wrapText="1"/>
    </xf>
    <xf numFmtId="0" fontId="0" fillId="3" borderId="5" xfId="0" applyFill="1" applyBorder="1" applyAlignment="1">
      <alignment vertical="top" wrapText="1"/>
    </xf>
    <xf numFmtId="0" fontId="15" fillId="3" borderId="5" xfId="0" applyFont="1" applyFill="1" applyBorder="1" applyAlignment="1">
      <alignment horizontal="left" vertical="top" wrapText="1"/>
    </xf>
    <xf numFmtId="0" fontId="0" fillId="3" borderId="5" xfId="0" applyFill="1" applyBorder="1" applyAlignment="1">
      <alignment horizontal="left" vertical="top" wrapText="1"/>
    </xf>
    <xf numFmtId="0" fontId="9" fillId="3" borderId="3" xfId="0" applyFont="1" applyFill="1" applyBorder="1" applyAlignment="1">
      <alignment vertical="top" wrapText="1"/>
    </xf>
    <xf numFmtId="165" fontId="9" fillId="3" borderId="3" xfId="0" applyNumberFormat="1" applyFont="1" applyFill="1" applyBorder="1" applyAlignment="1">
      <alignment vertical="top" wrapText="1"/>
    </xf>
    <xf numFmtId="0" fontId="24" fillId="3" borderId="3" xfId="0" applyFont="1" applyFill="1" applyBorder="1" applyAlignment="1">
      <alignment vertical="top" wrapText="1"/>
    </xf>
    <xf numFmtId="165" fontId="9" fillId="0" borderId="3" xfId="0" applyNumberFormat="1" applyFont="1" applyFill="1" applyBorder="1" applyAlignment="1">
      <alignment vertical="top" wrapText="1"/>
    </xf>
    <xf numFmtId="165" fontId="9" fillId="0" borderId="3" xfId="0" applyNumberFormat="1" applyFont="1" applyFill="1" applyBorder="1" applyAlignment="1">
      <alignment horizontal="center" vertical="top" wrapText="1"/>
    </xf>
    <xf numFmtId="0" fontId="9" fillId="0" borderId="3" xfId="0" applyFont="1" applyFill="1" applyBorder="1" applyAlignment="1">
      <alignment horizontal="center" vertical="top"/>
    </xf>
    <xf numFmtId="164" fontId="9" fillId="0" borderId="3" xfId="0" applyNumberFormat="1" applyFont="1" applyFill="1" applyBorder="1" applyAlignment="1">
      <alignment horizontal="center" vertical="top" wrapText="1"/>
    </xf>
    <xf numFmtId="164" fontId="9" fillId="0" borderId="3" xfId="0" applyNumberFormat="1" applyFont="1" applyFill="1" applyBorder="1" applyAlignment="1">
      <alignment horizontal="center" vertical="top"/>
    </xf>
    <xf numFmtId="165" fontId="9" fillId="0" borderId="3" xfId="0" applyNumberFormat="1" applyFont="1" applyFill="1" applyBorder="1" applyAlignment="1">
      <alignment horizontal="center" vertical="top"/>
    </xf>
    <xf numFmtId="165" fontId="9" fillId="0" borderId="1" xfId="0" applyNumberFormat="1" applyFont="1" applyFill="1" applyBorder="1" applyAlignment="1">
      <alignment vertical="top" wrapText="1"/>
    </xf>
    <xf numFmtId="165" fontId="9" fillId="0" borderId="1" xfId="0" applyNumberFormat="1" applyFont="1" applyFill="1" applyBorder="1" applyAlignment="1">
      <alignment horizontal="center" vertical="top"/>
    </xf>
    <xf numFmtId="165" fontId="9" fillId="0" borderId="5" xfId="0" applyNumberFormat="1" applyFont="1" applyFill="1" applyBorder="1" applyAlignment="1">
      <alignment horizontal="center" vertical="top"/>
    </xf>
    <xf numFmtId="165" fontId="9" fillId="0" borderId="5" xfId="0" applyNumberFormat="1" applyFont="1" applyFill="1" applyBorder="1" applyAlignment="1">
      <alignment vertical="top" wrapText="1"/>
    </xf>
    <xf numFmtId="165" fontId="9" fillId="0" borderId="5" xfId="0" applyNumberFormat="1" applyFont="1" applyFill="1" applyBorder="1" applyAlignment="1">
      <alignment horizontal="center" vertical="top" wrapText="1"/>
    </xf>
    <xf numFmtId="0" fontId="3" fillId="3" borderId="3"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9" fillId="3" borderId="1" xfId="0" applyNumberFormat="1" applyFont="1" applyFill="1" applyBorder="1" applyAlignment="1">
      <alignment horizontal="center" vertical="top" wrapText="1"/>
    </xf>
    <xf numFmtId="0" fontId="0" fillId="3" borderId="0" xfId="0" applyFill="1"/>
    <xf numFmtId="0" fontId="20" fillId="3" borderId="0" xfId="0" applyFont="1" applyFill="1" applyAlignment="1">
      <alignment wrapText="1"/>
    </xf>
    <xf numFmtId="0" fontId="17" fillId="3" borderId="0" xfId="0" applyFont="1" applyFill="1" applyAlignment="1">
      <alignment vertical="top" wrapText="1"/>
    </xf>
    <xf numFmtId="0" fontId="25" fillId="3" borderId="0" xfId="0" applyFont="1" applyFill="1" applyAlignment="1">
      <alignment horizontal="left" vertical="top" wrapText="1"/>
    </xf>
    <xf numFmtId="164" fontId="9" fillId="3" borderId="1" xfId="0" applyNumberFormat="1" applyFont="1" applyFill="1" applyBorder="1" applyAlignment="1">
      <alignment horizontal="center" vertical="top" wrapText="1"/>
    </xf>
    <xf numFmtId="164" fontId="9" fillId="3" borderId="5" xfId="0" applyNumberFormat="1" applyFont="1" applyFill="1" applyBorder="1" applyAlignment="1">
      <alignment horizontal="center" vertical="top" wrapText="1"/>
    </xf>
    <xf numFmtId="165" fontId="9" fillId="3" borderId="1" xfId="0" applyNumberFormat="1" applyFont="1" applyFill="1" applyBorder="1" applyAlignment="1">
      <alignment horizontal="center" vertical="top"/>
    </xf>
    <xf numFmtId="165" fontId="3" fillId="3" borderId="3" xfId="0" applyNumberFormat="1" applyFont="1" applyFill="1" applyBorder="1" applyAlignment="1">
      <alignment horizontal="center" vertical="center"/>
    </xf>
    <xf numFmtId="165" fontId="3" fillId="3" borderId="0" xfId="0" applyNumberFormat="1" applyFont="1" applyFill="1" applyBorder="1" applyAlignment="1">
      <alignment horizontal="center" vertical="center"/>
    </xf>
    <xf numFmtId="0" fontId="5" fillId="3" borderId="0" xfId="0" applyFont="1" applyFill="1" applyBorder="1"/>
    <xf numFmtId="165" fontId="19" fillId="3" borderId="0" xfId="0" applyNumberFormat="1" applyFont="1" applyFill="1" applyBorder="1"/>
    <xf numFmtId="0" fontId="0" fillId="3" borderId="0" xfId="0" applyFill="1" applyBorder="1"/>
    <xf numFmtId="0" fontId="3" fillId="3" borderId="3" xfId="0" applyFont="1" applyFill="1" applyBorder="1" applyAlignment="1">
      <alignment horizontal="center" vertical="center" wrapText="1"/>
    </xf>
    <xf numFmtId="165" fontId="9" fillId="3" borderId="1" xfId="0" applyNumberFormat="1" applyFont="1" applyFill="1" applyBorder="1" applyAlignment="1">
      <alignment horizontal="center" vertical="top" wrapText="1"/>
    </xf>
    <xf numFmtId="164" fontId="8" fillId="3" borderId="2" xfId="0" applyNumberFormat="1" applyFont="1" applyFill="1" applyBorder="1" applyAlignment="1">
      <alignment horizontal="center" vertical="top" wrapText="1"/>
    </xf>
    <xf numFmtId="0" fontId="15" fillId="3" borderId="5" xfId="0" applyFont="1" applyFill="1" applyBorder="1" applyAlignment="1">
      <alignment horizontal="center" vertical="top" wrapText="1"/>
    </xf>
    <xf numFmtId="165" fontId="9" fillId="3" borderId="2" xfId="0" applyNumberFormat="1" applyFont="1" applyFill="1" applyBorder="1" applyAlignment="1">
      <alignment horizontal="center" vertical="top"/>
    </xf>
    <xf numFmtId="165" fontId="3" fillId="0" borderId="3" xfId="0" applyNumberFormat="1" applyFont="1" applyFill="1" applyBorder="1" applyAlignment="1">
      <alignment horizontal="center" vertical="center"/>
    </xf>
    <xf numFmtId="0" fontId="15" fillId="3" borderId="3" xfId="0" applyFont="1" applyFill="1" applyBorder="1" applyAlignment="1">
      <alignment vertical="top" wrapText="1"/>
    </xf>
    <xf numFmtId="0" fontId="9" fillId="3" borderId="3" xfId="0" applyFont="1" applyFill="1" applyBorder="1" applyAlignment="1">
      <alignment vertical="top" wrapText="1"/>
    </xf>
    <xf numFmtId="165" fontId="9" fillId="0" borderId="3" xfId="0" applyNumberFormat="1" applyFont="1" applyFill="1" applyBorder="1" applyAlignment="1">
      <alignment horizontal="center" vertical="center" wrapText="1"/>
    </xf>
    <xf numFmtId="0" fontId="15" fillId="0" borderId="3" xfId="0" applyFont="1" applyFill="1" applyBorder="1" applyAlignment="1">
      <alignment horizontal="center" vertical="top" wrapText="1"/>
    </xf>
    <xf numFmtId="165" fontId="10" fillId="0" borderId="3" xfId="0" applyNumberFormat="1" applyFont="1" applyFill="1" applyBorder="1" applyAlignment="1">
      <alignment horizontal="center" vertical="top"/>
    </xf>
    <xf numFmtId="165" fontId="10" fillId="0" borderId="3" xfId="0" applyNumberFormat="1" applyFont="1" applyFill="1" applyBorder="1" applyAlignment="1">
      <alignment horizontal="center" vertical="center" wrapText="1"/>
    </xf>
    <xf numFmtId="165" fontId="3" fillId="0" borderId="0" xfId="0" applyNumberFormat="1" applyFont="1" applyFill="1" applyBorder="1" applyAlignment="1">
      <alignment horizontal="center" vertical="center"/>
    </xf>
    <xf numFmtId="165" fontId="9" fillId="0" borderId="1" xfId="0" applyNumberFormat="1" applyFont="1" applyFill="1" applyBorder="1" applyAlignment="1">
      <alignment horizontal="center" vertical="top" wrapText="1"/>
    </xf>
    <xf numFmtId="0" fontId="0" fillId="0" borderId="2" xfId="0" applyFill="1" applyBorder="1" applyAlignment="1">
      <alignment horizontal="center" vertical="top" wrapText="1"/>
    </xf>
    <xf numFmtId="0" fontId="0" fillId="0" borderId="5" xfId="0" applyFill="1" applyBorder="1" applyAlignment="1">
      <alignment horizontal="center" vertical="top" wrapText="1"/>
    </xf>
    <xf numFmtId="0" fontId="15" fillId="0" borderId="5" xfId="0" applyFont="1" applyFill="1" applyBorder="1" applyAlignment="1">
      <alignment horizontal="center" vertical="top" wrapText="1"/>
    </xf>
    <xf numFmtId="0" fontId="3" fillId="0" borderId="3" xfId="0" applyFont="1" applyFill="1" applyBorder="1" applyAlignment="1">
      <alignment horizontal="center" vertical="center" wrapText="1"/>
    </xf>
    <xf numFmtId="0" fontId="0" fillId="0" borderId="5" xfId="0" applyBorder="1" applyAlignment="1">
      <alignment vertical="top" wrapText="1"/>
    </xf>
    <xf numFmtId="0" fontId="15" fillId="3" borderId="1" xfId="0" applyFont="1" applyFill="1" applyBorder="1" applyAlignment="1">
      <alignment vertical="top" wrapText="1"/>
    </xf>
    <xf numFmtId="0" fontId="15" fillId="3" borderId="5" xfId="0" applyFont="1" applyFill="1" applyBorder="1" applyAlignment="1">
      <alignment vertical="top" wrapText="1"/>
    </xf>
    <xf numFmtId="49" fontId="8" fillId="3" borderId="1" xfId="0" applyNumberFormat="1" applyFont="1" applyFill="1" applyBorder="1" applyAlignment="1">
      <alignment horizontal="center" vertical="top"/>
    </xf>
    <xf numFmtId="0" fontId="0" fillId="0" borderId="0" xfId="0" applyFill="1"/>
    <xf numFmtId="0" fontId="17" fillId="0" borderId="0" xfId="0" applyFont="1" applyFill="1" applyAlignment="1">
      <alignment vertical="top" wrapText="1"/>
    </xf>
    <xf numFmtId="0" fontId="3" fillId="0" borderId="3" xfId="0" applyFont="1" applyFill="1" applyBorder="1" applyAlignment="1">
      <alignment horizontal="center" wrapText="1"/>
    </xf>
    <xf numFmtId="164" fontId="8" fillId="0" borderId="3" xfId="0" applyNumberFormat="1" applyFont="1" applyFill="1" applyBorder="1" applyAlignment="1">
      <alignment horizontal="center" vertical="top" wrapText="1"/>
    </xf>
    <xf numFmtId="164" fontId="9" fillId="0" borderId="1" xfId="0" applyNumberFormat="1" applyFont="1" applyFill="1" applyBorder="1" applyAlignment="1">
      <alignment horizontal="center" vertical="top"/>
    </xf>
    <xf numFmtId="165" fontId="9" fillId="0" borderId="2" xfId="0" applyNumberFormat="1" applyFont="1" applyFill="1" applyBorder="1" applyAlignment="1">
      <alignment horizontal="center" vertical="top" wrapText="1"/>
    </xf>
    <xf numFmtId="165" fontId="19" fillId="0" borderId="0" xfId="0" applyNumberFormat="1" applyFont="1" applyFill="1" applyBorder="1"/>
    <xf numFmtId="0" fontId="0" fillId="0" borderId="0" xfId="0" applyFill="1" applyBorder="1"/>
    <xf numFmtId="0" fontId="20" fillId="4" borderId="0" xfId="0" applyFont="1" applyFill="1" applyAlignment="1">
      <alignment wrapText="1"/>
    </xf>
    <xf numFmtId="0" fontId="25" fillId="4" borderId="0" xfId="0" applyFont="1" applyFill="1" applyAlignment="1">
      <alignment horizontal="left" vertical="top" wrapText="1"/>
    </xf>
    <xf numFmtId="0" fontId="3" fillId="4" borderId="3" xfId="0" applyFont="1" applyFill="1" applyBorder="1" applyAlignment="1">
      <alignment horizontal="center" vertical="center" wrapText="1"/>
    </xf>
    <xf numFmtId="0" fontId="3" fillId="4" borderId="3" xfId="0" applyFont="1" applyFill="1" applyBorder="1" applyAlignment="1">
      <alignment horizontal="center" wrapText="1"/>
    </xf>
    <xf numFmtId="164" fontId="8" fillId="4" borderId="3" xfId="0" applyNumberFormat="1" applyFont="1" applyFill="1" applyBorder="1" applyAlignment="1">
      <alignment horizontal="center" vertical="top" wrapText="1"/>
    </xf>
    <xf numFmtId="164" fontId="8" fillId="4" borderId="5" xfId="0" applyNumberFormat="1" applyFont="1" applyFill="1" applyBorder="1" applyAlignment="1">
      <alignment horizontal="center" vertical="top" wrapText="1"/>
    </xf>
    <xf numFmtId="165" fontId="9" fillId="4" borderId="3" xfId="0" applyNumberFormat="1" applyFont="1" applyFill="1" applyBorder="1" applyAlignment="1">
      <alignment horizontal="center" vertical="center" wrapText="1"/>
    </xf>
    <xf numFmtId="165" fontId="9" fillId="4" borderId="3" xfId="0" applyNumberFormat="1" applyFont="1" applyFill="1" applyBorder="1" applyAlignment="1">
      <alignment horizontal="center" vertical="top" wrapText="1"/>
    </xf>
    <xf numFmtId="0" fontId="15" fillId="4" borderId="3" xfId="0" applyFont="1" applyFill="1" applyBorder="1" applyAlignment="1">
      <alignment horizontal="center" vertical="top" wrapText="1"/>
    </xf>
    <xf numFmtId="164" fontId="9" fillId="4" borderId="3" xfId="0" applyNumberFormat="1" applyFont="1" applyFill="1" applyBorder="1" applyAlignment="1">
      <alignment horizontal="center" vertical="top"/>
    </xf>
    <xf numFmtId="164" fontId="9" fillId="4" borderId="1" xfId="0" applyNumberFormat="1" applyFont="1" applyFill="1" applyBorder="1" applyAlignment="1">
      <alignment horizontal="center" vertical="top"/>
    </xf>
    <xf numFmtId="165" fontId="9" fillId="4" borderId="5" xfId="0" applyNumberFormat="1" applyFont="1" applyFill="1" applyBorder="1" applyAlignment="1">
      <alignment horizontal="center" vertical="top" wrapText="1"/>
    </xf>
    <xf numFmtId="165" fontId="9" fillId="4" borderId="3" xfId="0" applyNumberFormat="1" applyFont="1" applyFill="1" applyBorder="1" applyAlignment="1">
      <alignment horizontal="center" vertical="top"/>
    </xf>
    <xf numFmtId="165" fontId="9" fillId="4" borderId="5" xfId="0" applyNumberFormat="1" applyFont="1" applyFill="1" applyBorder="1" applyAlignment="1">
      <alignment horizontal="center" vertical="top"/>
    </xf>
    <xf numFmtId="165" fontId="9" fillId="4" borderId="2" xfId="0" applyNumberFormat="1" applyFont="1" applyFill="1" applyBorder="1" applyAlignment="1">
      <alignment horizontal="center" vertical="top" wrapText="1"/>
    </xf>
    <xf numFmtId="165" fontId="9" fillId="4" borderId="1" xfId="0" applyNumberFormat="1" applyFont="1" applyFill="1" applyBorder="1" applyAlignment="1">
      <alignment horizontal="center" vertical="top" wrapText="1"/>
    </xf>
    <xf numFmtId="164" fontId="9" fillId="4" borderId="1" xfId="0" applyNumberFormat="1" applyFont="1" applyFill="1" applyBorder="1" applyAlignment="1">
      <alignment horizontal="center" vertical="top" wrapText="1"/>
    </xf>
    <xf numFmtId="164" fontId="9" fillId="4" borderId="3" xfId="0" applyNumberFormat="1" applyFont="1" applyFill="1" applyBorder="1" applyAlignment="1">
      <alignment horizontal="center" vertical="top" wrapText="1"/>
    </xf>
    <xf numFmtId="164" fontId="9" fillId="4" borderId="5" xfId="0" applyNumberFormat="1" applyFont="1" applyFill="1" applyBorder="1" applyAlignment="1">
      <alignment horizontal="center" vertical="top" wrapText="1"/>
    </xf>
    <xf numFmtId="165" fontId="10" fillId="4" borderId="3" xfId="0" applyNumberFormat="1" applyFont="1" applyFill="1" applyBorder="1" applyAlignment="1">
      <alignment horizontal="center" vertical="top"/>
    </xf>
    <xf numFmtId="165" fontId="10" fillId="4" borderId="3" xfId="0" applyNumberFormat="1" applyFont="1" applyFill="1" applyBorder="1" applyAlignment="1">
      <alignment horizontal="center" vertical="center" wrapText="1"/>
    </xf>
    <xf numFmtId="165" fontId="3" fillId="4" borderId="3" xfId="0" applyNumberFormat="1" applyFont="1" applyFill="1" applyBorder="1" applyAlignment="1">
      <alignment horizontal="center" vertical="center"/>
    </xf>
    <xf numFmtId="165" fontId="3" fillId="4" borderId="0" xfId="0" applyNumberFormat="1" applyFont="1" applyFill="1" applyBorder="1" applyAlignment="1">
      <alignment horizontal="center" vertical="center"/>
    </xf>
    <xf numFmtId="165" fontId="19" fillId="4" borderId="0" xfId="0" applyNumberFormat="1" applyFont="1" applyFill="1" applyBorder="1"/>
    <xf numFmtId="0" fontId="0" fillId="4" borderId="0" xfId="0" applyFill="1" applyBorder="1"/>
    <xf numFmtId="0" fontId="0" fillId="4" borderId="0" xfId="0" applyFill="1"/>
    <xf numFmtId="49" fontId="1" fillId="4" borderId="3" xfId="0" applyNumberFormat="1" applyFont="1" applyFill="1" applyBorder="1" applyAlignment="1">
      <alignment horizontal="center" vertical="center"/>
    </xf>
    <xf numFmtId="0" fontId="1" fillId="4" borderId="3" xfId="0" applyFont="1" applyFill="1" applyBorder="1" applyAlignment="1">
      <alignment horizontal="left" vertical="center" wrapText="1"/>
    </xf>
    <xf numFmtId="0" fontId="0" fillId="4" borderId="5" xfId="0" applyFill="1" applyBorder="1" applyAlignment="1">
      <alignment vertical="top" wrapText="1"/>
    </xf>
    <xf numFmtId="49" fontId="3" fillId="4" borderId="3" xfId="0" applyNumberFormat="1" applyFont="1" applyFill="1" applyBorder="1" applyAlignment="1">
      <alignment horizontal="center" vertical="top"/>
    </xf>
    <xf numFmtId="49" fontId="15" fillId="0" borderId="2" xfId="0" applyNumberFormat="1" applyFont="1" applyBorder="1" applyAlignment="1">
      <alignment horizontal="center" vertical="top"/>
    </xf>
    <xf numFmtId="0" fontId="15" fillId="0" borderId="2" xfId="0" applyFont="1" applyBorder="1" applyAlignment="1">
      <alignment vertical="top" wrapText="1"/>
    </xf>
    <xf numFmtId="165" fontId="9" fillId="3" borderId="1" xfId="0" applyNumberFormat="1" applyFont="1" applyFill="1" applyBorder="1" applyAlignment="1">
      <alignment vertical="top" wrapText="1"/>
    </xf>
    <xf numFmtId="0" fontId="0" fillId="0" borderId="2" xfId="0" applyBorder="1" applyAlignment="1">
      <alignment vertical="top" wrapText="1"/>
    </xf>
    <xf numFmtId="0" fontId="0" fillId="0" borderId="5" xfId="0" applyBorder="1" applyAlignment="1">
      <alignment vertical="top" wrapText="1"/>
    </xf>
    <xf numFmtId="0" fontId="8" fillId="3" borderId="1" xfId="0" applyFont="1" applyFill="1" applyBorder="1" applyAlignment="1">
      <alignment vertical="top" wrapText="1"/>
    </xf>
    <xf numFmtId="0" fontId="8" fillId="3" borderId="3" xfId="0" applyFont="1" applyFill="1" applyBorder="1" applyAlignment="1">
      <alignment horizontal="left" vertical="top" wrapText="1"/>
    </xf>
    <xf numFmtId="49" fontId="15" fillId="0" borderId="3" xfId="0" applyNumberFormat="1" applyFont="1" applyFill="1" applyBorder="1" applyAlignment="1">
      <alignment horizontal="center" vertical="top" wrapText="1"/>
    </xf>
    <xf numFmtId="0" fontId="25" fillId="0" borderId="0" xfId="0" applyFont="1" applyAlignment="1">
      <alignment wrapText="1"/>
    </xf>
    <xf numFmtId="0" fontId="8" fillId="3" borderId="3" xfId="0" applyFont="1" applyFill="1" applyBorder="1" applyAlignment="1">
      <alignment vertical="top" wrapText="1"/>
    </xf>
    <xf numFmtId="0" fontId="0" fillId="3" borderId="3" xfId="0" applyFill="1" applyBorder="1" applyAlignment="1">
      <alignment vertical="top" wrapText="1"/>
    </xf>
    <xf numFmtId="0" fontId="16" fillId="3" borderId="3" xfId="0" applyFont="1" applyFill="1" applyBorder="1" applyAlignment="1">
      <alignment vertical="top" wrapText="1"/>
    </xf>
    <xf numFmtId="165" fontId="9" fillId="3" borderId="2" xfId="0" applyNumberFormat="1" applyFont="1" applyFill="1" applyBorder="1" applyAlignment="1">
      <alignment vertical="top" wrapText="1"/>
    </xf>
    <xf numFmtId="0" fontId="24" fillId="3" borderId="2" xfId="0" applyFont="1" applyFill="1" applyBorder="1" applyAlignment="1">
      <alignment vertical="top" wrapText="1"/>
    </xf>
    <xf numFmtId="0" fontId="24" fillId="3" borderId="5" xfId="0" applyFont="1" applyFill="1" applyBorder="1" applyAlignment="1">
      <alignment vertical="top" wrapText="1"/>
    </xf>
    <xf numFmtId="0" fontId="1" fillId="3" borderId="3" xfId="0" applyFont="1" applyFill="1" applyBorder="1" applyAlignment="1">
      <alignment horizontal="left" vertical="center" wrapText="1"/>
    </xf>
    <xf numFmtId="0" fontId="0" fillId="3" borderId="2" xfId="0" applyFill="1" applyBorder="1" applyAlignment="1">
      <alignment vertical="top" wrapText="1"/>
    </xf>
    <xf numFmtId="0" fontId="0" fillId="3" borderId="5" xfId="0" applyFill="1" applyBorder="1" applyAlignment="1">
      <alignment vertical="top" wrapText="1"/>
    </xf>
    <xf numFmtId="164" fontId="8" fillId="3" borderId="1" xfId="0" applyNumberFormat="1" applyFont="1" applyFill="1" applyBorder="1" applyAlignment="1">
      <alignment horizontal="left" vertical="top" wrapText="1"/>
    </xf>
    <xf numFmtId="164" fontId="8" fillId="3" borderId="2" xfId="0" applyNumberFormat="1" applyFont="1" applyFill="1" applyBorder="1" applyAlignment="1">
      <alignment horizontal="left" vertical="top" wrapText="1"/>
    </xf>
    <xf numFmtId="0" fontId="0" fillId="3" borderId="2" xfId="0" applyFill="1" applyBorder="1" applyAlignment="1">
      <alignment horizontal="left" vertical="top" wrapText="1"/>
    </xf>
    <xf numFmtId="0" fontId="0" fillId="3" borderId="5" xfId="0" applyFill="1" applyBorder="1" applyAlignment="1">
      <alignment horizontal="left" vertical="top" wrapText="1"/>
    </xf>
    <xf numFmtId="0" fontId="8" fillId="3" borderId="1" xfId="0" applyFont="1" applyFill="1" applyBorder="1" applyAlignment="1">
      <alignment horizontal="left" vertical="top" wrapText="1"/>
    </xf>
    <xf numFmtId="0" fontId="0" fillId="0" borderId="2" xfId="0" applyBorder="1" applyAlignment="1">
      <alignment horizontal="left" vertical="top" wrapText="1"/>
    </xf>
    <xf numFmtId="0" fontId="0" fillId="0" borderId="5" xfId="0" applyBorder="1" applyAlignment="1">
      <alignment horizontal="left" vertical="top" wrapText="1"/>
    </xf>
    <xf numFmtId="165" fontId="9" fillId="3" borderId="1" xfId="0" applyNumberFormat="1" applyFont="1" applyFill="1" applyBorder="1" applyAlignment="1">
      <alignment horizontal="center" vertical="top" wrapText="1"/>
    </xf>
    <xf numFmtId="0" fontId="0" fillId="3" borderId="2" xfId="0" applyFill="1" applyBorder="1" applyAlignment="1">
      <alignment horizontal="center" vertical="top" wrapText="1"/>
    </xf>
    <xf numFmtId="0" fontId="0" fillId="3" borderId="5" xfId="0" applyFill="1" applyBorder="1" applyAlignment="1">
      <alignment horizontal="center" vertical="top" wrapText="1"/>
    </xf>
    <xf numFmtId="0" fontId="6" fillId="0" borderId="0" xfId="0" applyFont="1" applyAlignment="1">
      <alignment horizontal="left" vertical="top" wrapText="1"/>
    </xf>
    <xf numFmtId="0" fontId="3" fillId="3" borderId="3" xfId="0" applyFont="1" applyFill="1" applyBorder="1" applyAlignment="1">
      <alignment horizontal="center" vertical="center" wrapText="1"/>
    </xf>
    <xf numFmtId="0" fontId="11" fillId="0" borderId="0" xfId="0" applyFont="1" applyAlignment="1">
      <alignment vertical="top" wrapText="1"/>
    </xf>
    <xf numFmtId="0" fontId="26" fillId="0" borderId="0" xfId="0" applyFont="1" applyAlignment="1">
      <alignment wrapText="1"/>
    </xf>
    <xf numFmtId="0" fontId="15" fillId="3" borderId="3" xfId="0" applyFont="1" applyFill="1" applyBorder="1" applyAlignment="1">
      <alignment vertical="top" wrapText="1"/>
    </xf>
    <xf numFmtId="165" fontId="14" fillId="4" borderId="3" xfId="0" applyNumberFormat="1" applyFont="1" applyFill="1" applyBorder="1" applyAlignment="1">
      <alignment horizontal="center" vertical="center" wrapText="1"/>
    </xf>
    <xf numFmtId="0" fontId="6" fillId="0" borderId="0" xfId="0" applyFont="1" applyBorder="1" applyAlignment="1">
      <alignment wrapText="1"/>
    </xf>
    <xf numFmtId="165" fontId="10" fillId="3" borderId="3" xfId="0" applyNumberFormat="1" applyFont="1" applyFill="1" applyBorder="1" applyAlignment="1">
      <alignment horizontal="center" vertical="center" wrapText="1"/>
    </xf>
    <xf numFmtId="49" fontId="8" fillId="0" borderId="3" xfId="0" applyNumberFormat="1" applyFont="1" applyFill="1" applyBorder="1" applyAlignment="1">
      <alignment horizontal="center" vertical="top" wrapText="1"/>
    </xf>
    <xf numFmtId="0" fontId="3" fillId="3" borderId="3" xfId="0" applyFont="1" applyFill="1" applyBorder="1" applyAlignment="1">
      <alignment vertical="top" wrapText="1"/>
    </xf>
    <xf numFmtId="49" fontId="8" fillId="0" borderId="3" xfId="0" applyNumberFormat="1" applyFont="1" applyFill="1" applyBorder="1" applyAlignment="1">
      <alignment vertical="top"/>
    </xf>
    <xf numFmtId="2" fontId="15" fillId="3" borderId="3" xfId="0" applyNumberFormat="1" applyFont="1" applyFill="1" applyBorder="1" applyAlignment="1">
      <alignment horizontal="left" vertical="top" wrapText="1"/>
    </xf>
    <xf numFmtId="0" fontId="8" fillId="3" borderId="3" xfId="0" applyFont="1" applyFill="1" applyBorder="1" applyAlignment="1"/>
    <xf numFmtId="165" fontId="9" fillId="3" borderId="3" xfId="0" applyNumberFormat="1" applyFont="1" applyFill="1" applyBorder="1" applyAlignment="1">
      <alignment horizontal="left" vertical="top" wrapText="1"/>
    </xf>
    <xf numFmtId="49" fontId="8" fillId="0" borderId="3" xfId="0" applyNumberFormat="1" applyFont="1" applyFill="1" applyBorder="1" applyAlignment="1">
      <alignment horizontal="center" vertical="top"/>
    </xf>
    <xf numFmtId="0" fontId="16" fillId="0" borderId="3" xfId="0" applyFont="1" applyFill="1" applyBorder="1" applyAlignment="1">
      <alignment horizontal="center" vertical="top"/>
    </xf>
    <xf numFmtId="0" fontId="15" fillId="3" borderId="1" xfId="0" applyFont="1" applyFill="1" applyBorder="1" applyAlignment="1">
      <alignment vertical="top" wrapText="1"/>
    </xf>
    <xf numFmtId="0" fontId="15" fillId="3" borderId="2" xfId="0" applyFont="1" applyFill="1" applyBorder="1" applyAlignment="1">
      <alignment vertical="top" wrapText="1"/>
    </xf>
    <xf numFmtId="0" fontId="15" fillId="3" borderId="5" xfId="0" applyFont="1" applyFill="1" applyBorder="1" applyAlignment="1">
      <alignment vertical="top" wrapText="1"/>
    </xf>
    <xf numFmtId="0" fontId="9" fillId="3" borderId="1" xfId="0" applyFont="1" applyFill="1" applyBorder="1" applyAlignment="1">
      <alignment horizontal="left" vertical="top" wrapText="1"/>
    </xf>
    <xf numFmtId="0" fontId="9" fillId="3" borderId="2" xfId="0" applyFont="1" applyFill="1" applyBorder="1" applyAlignment="1">
      <alignment horizontal="left" vertical="top" wrapText="1"/>
    </xf>
    <xf numFmtId="0" fontId="9" fillId="3" borderId="5" xfId="0" applyFont="1" applyFill="1" applyBorder="1" applyAlignment="1">
      <alignment horizontal="left" vertical="top" wrapText="1"/>
    </xf>
    <xf numFmtId="49" fontId="8" fillId="0" borderId="1" xfId="0" applyNumberFormat="1" applyFont="1" applyFill="1" applyBorder="1" applyAlignment="1">
      <alignment horizontal="center" vertical="top"/>
    </xf>
    <xf numFmtId="0" fontId="0" fillId="0" borderId="5" xfId="0" applyBorder="1" applyAlignment="1">
      <alignment horizontal="center" vertical="top"/>
    </xf>
    <xf numFmtId="0" fontId="0" fillId="0" borderId="2" xfId="0" applyBorder="1" applyAlignment="1">
      <alignment horizontal="center" vertical="top"/>
    </xf>
    <xf numFmtId="49" fontId="9" fillId="0" borderId="1" xfId="0" applyNumberFormat="1" applyFont="1" applyBorder="1" applyAlignment="1">
      <alignment horizontal="center" vertical="top" wrapText="1"/>
    </xf>
    <xf numFmtId="49" fontId="9" fillId="0" borderId="2" xfId="0" applyNumberFormat="1" applyFont="1" applyBorder="1" applyAlignment="1">
      <alignment horizontal="center" vertical="top" wrapText="1"/>
    </xf>
    <xf numFmtId="49" fontId="9" fillId="0" borderId="5" xfId="0" applyNumberFormat="1" applyFont="1" applyBorder="1" applyAlignment="1">
      <alignment horizontal="center" vertical="top" wrapText="1"/>
    </xf>
    <xf numFmtId="0" fontId="8" fillId="3" borderId="2" xfId="0" applyFont="1" applyFill="1" applyBorder="1" applyAlignment="1">
      <alignment vertical="top" wrapText="1"/>
    </xf>
    <xf numFmtId="0" fontId="8" fillId="3" borderId="5" xfId="0" applyFont="1" applyFill="1" applyBorder="1" applyAlignment="1">
      <alignment vertical="top" wrapText="1"/>
    </xf>
    <xf numFmtId="0" fontId="9" fillId="3" borderId="3" xfId="0" applyFont="1" applyFill="1" applyBorder="1" applyAlignment="1">
      <alignment vertical="top" wrapText="1"/>
    </xf>
    <xf numFmtId="0" fontId="12" fillId="3" borderId="3" xfId="0" applyFont="1" applyFill="1" applyBorder="1" applyAlignment="1">
      <alignment vertical="top" wrapText="1"/>
    </xf>
    <xf numFmtId="0" fontId="9" fillId="3" borderId="1" xfId="0" applyFont="1" applyFill="1" applyBorder="1" applyAlignment="1">
      <alignment vertical="top" wrapText="1"/>
    </xf>
    <xf numFmtId="0" fontId="23" fillId="3" borderId="2" xfId="0" applyFont="1" applyFill="1" applyBorder="1" applyAlignment="1">
      <alignment vertical="top" wrapText="1"/>
    </xf>
    <xf numFmtId="0" fontId="23" fillId="3" borderId="5" xfId="0" applyFont="1" applyFill="1" applyBorder="1" applyAlignment="1">
      <alignment vertical="top" wrapText="1"/>
    </xf>
    <xf numFmtId="0" fontId="12" fillId="3" borderId="1" xfId="0" applyFont="1" applyFill="1" applyBorder="1" applyAlignment="1">
      <alignment vertical="top" wrapText="1"/>
    </xf>
    <xf numFmtId="0" fontId="12" fillId="3" borderId="2" xfId="0" applyFont="1" applyFill="1" applyBorder="1" applyAlignment="1">
      <alignment vertical="top" wrapText="1"/>
    </xf>
    <xf numFmtId="0" fontId="12" fillId="3" borderId="5" xfId="0" applyFont="1" applyFill="1" applyBorder="1" applyAlignment="1">
      <alignment vertical="top" wrapText="1"/>
    </xf>
    <xf numFmtId="0" fontId="16" fillId="3" borderId="2" xfId="0" applyFont="1" applyFill="1" applyBorder="1" applyAlignment="1">
      <alignment vertical="top" wrapText="1"/>
    </xf>
    <xf numFmtId="0" fontId="22" fillId="3" borderId="3" xfId="0" applyFont="1" applyFill="1" applyBorder="1" applyAlignment="1">
      <alignment horizontal="left" vertical="top" wrapText="1"/>
    </xf>
    <xf numFmtId="0" fontId="24" fillId="3" borderId="3" xfId="0" applyFont="1" applyFill="1" applyBorder="1" applyAlignment="1">
      <alignment horizontal="left" vertical="top" wrapText="1"/>
    </xf>
    <xf numFmtId="0" fontId="22" fillId="3" borderId="3" xfId="0" applyFont="1" applyFill="1" applyBorder="1" applyAlignment="1">
      <alignment vertical="top" wrapText="1"/>
    </xf>
    <xf numFmtId="49" fontId="15" fillId="0" borderId="1" xfId="0" applyNumberFormat="1" applyFont="1" applyFill="1" applyBorder="1" applyAlignment="1">
      <alignment horizontal="center" vertical="top" wrapText="1"/>
    </xf>
    <xf numFmtId="49" fontId="15" fillId="0" borderId="2" xfId="0" applyNumberFormat="1" applyFont="1" applyFill="1" applyBorder="1" applyAlignment="1">
      <alignment horizontal="center" vertical="top" wrapText="1"/>
    </xf>
    <xf numFmtId="49" fontId="15" fillId="0" borderId="5" xfId="0" applyNumberFormat="1" applyFont="1" applyFill="1" applyBorder="1" applyAlignment="1">
      <alignment horizontal="center" vertical="top" wrapText="1"/>
    </xf>
    <xf numFmtId="49" fontId="8" fillId="0" borderId="1" xfId="0" applyNumberFormat="1" applyFont="1" applyFill="1" applyBorder="1" applyAlignment="1">
      <alignment horizontal="center" vertical="top" wrapText="1"/>
    </xf>
    <xf numFmtId="49" fontId="8" fillId="0" borderId="2" xfId="0" applyNumberFormat="1" applyFont="1" applyFill="1" applyBorder="1" applyAlignment="1">
      <alignment horizontal="center" vertical="top" wrapText="1"/>
    </xf>
    <xf numFmtId="49" fontId="8" fillId="0" borderId="5" xfId="0" applyNumberFormat="1" applyFont="1" applyFill="1" applyBorder="1" applyAlignment="1">
      <alignment horizontal="center" vertical="top" wrapText="1"/>
    </xf>
    <xf numFmtId="0" fontId="0" fillId="0" borderId="3" xfId="0" applyFill="1" applyBorder="1" applyAlignment="1">
      <alignment horizontal="center" vertical="top" wrapText="1"/>
    </xf>
    <xf numFmtId="0" fontId="0" fillId="0" borderId="2" xfId="0" applyBorder="1" applyAlignment="1">
      <alignment horizontal="center" vertical="top" wrapText="1"/>
    </xf>
    <xf numFmtId="0" fontId="0" fillId="0" borderId="5" xfId="0" applyBorder="1" applyAlignment="1">
      <alignment horizontal="center" vertical="top" wrapText="1"/>
    </xf>
    <xf numFmtId="0" fontId="15" fillId="3" borderId="1" xfId="0" applyFont="1" applyFill="1" applyBorder="1" applyAlignment="1">
      <alignment horizontal="left" vertical="top" wrapText="1"/>
    </xf>
    <xf numFmtId="0" fontId="15" fillId="3" borderId="2" xfId="0" applyFont="1" applyFill="1" applyBorder="1" applyAlignment="1">
      <alignment horizontal="left" vertical="top" wrapText="1"/>
    </xf>
    <xf numFmtId="0" fontId="15" fillId="3" borderId="5" xfId="0" applyFont="1" applyFill="1" applyBorder="1" applyAlignment="1">
      <alignment horizontal="left" vertical="top" wrapText="1"/>
    </xf>
    <xf numFmtId="164" fontId="8" fillId="3" borderId="3" xfId="0" applyNumberFormat="1" applyFont="1" applyFill="1" applyBorder="1" applyAlignment="1">
      <alignment horizontal="left" vertical="top" wrapText="1"/>
    </xf>
    <xf numFmtId="0" fontId="16" fillId="3" borderId="3" xfId="0" applyFont="1" applyFill="1" applyBorder="1" applyAlignment="1">
      <alignment horizontal="left" vertical="top" wrapText="1"/>
    </xf>
    <xf numFmtId="0" fontId="23" fillId="3" borderId="1" xfId="0" applyFont="1" applyFill="1" applyBorder="1" applyAlignment="1">
      <alignment vertical="top" wrapText="1"/>
    </xf>
    <xf numFmtId="0" fontId="0" fillId="3" borderId="3" xfId="0" applyFill="1" applyBorder="1" applyAlignment="1">
      <alignment horizontal="left" vertical="top" wrapText="1"/>
    </xf>
    <xf numFmtId="0" fontId="3" fillId="3" borderId="13"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0" fillId="3" borderId="14" xfId="0" applyFill="1" applyBorder="1" applyAlignment="1">
      <alignment horizontal="center" vertical="center" wrapText="1"/>
    </xf>
    <xf numFmtId="0" fontId="0" fillId="0" borderId="14" xfId="0" applyBorder="1" applyAlignment="1">
      <alignment horizontal="center" vertical="center" wrapText="1"/>
    </xf>
    <xf numFmtId="0" fontId="0" fillId="0" borderId="7" xfId="0" applyBorder="1" applyAlignment="1">
      <alignment horizontal="center" vertical="center" wrapText="1"/>
    </xf>
    <xf numFmtId="0" fontId="3" fillId="3" borderId="13" xfId="0" applyFont="1" applyFill="1" applyBorder="1" applyAlignment="1">
      <alignment horizontal="center" vertical="center"/>
    </xf>
    <xf numFmtId="0" fontId="3" fillId="3" borderId="14" xfId="0" applyFont="1" applyFill="1" applyBorder="1" applyAlignment="1">
      <alignment horizontal="center" vertical="center"/>
    </xf>
    <xf numFmtId="0" fontId="0" fillId="3" borderId="14" xfId="0" applyFill="1" applyBorder="1" applyAlignment="1">
      <alignment horizontal="center" vertical="center"/>
    </xf>
    <xf numFmtId="0" fontId="0" fillId="0" borderId="14" xfId="0" applyBorder="1" applyAlignment="1">
      <alignment horizontal="center" vertical="center"/>
    </xf>
    <xf numFmtId="0" fontId="0" fillId="0" borderId="7" xfId="0" applyBorder="1" applyAlignment="1">
      <alignment horizontal="center" vertical="center"/>
    </xf>
    <xf numFmtId="49" fontId="15" fillId="3" borderId="1" xfId="0" applyNumberFormat="1" applyFont="1" applyFill="1" applyBorder="1" applyAlignment="1">
      <alignment horizontal="center" vertical="top" wrapText="1"/>
    </xf>
    <xf numFmtId="0" fontId="8" fillId="3" borderId="3" xfId="0" applyFont="1" applyFill="1" applyBorder="1" applyAlignment="1">
      <alignment horizontal="left" vertical="center" wrapText="1"/>
    </xf>
    <xf numFmtId="49" fontId="16" fillId="0" borderId="1" xfId="0" applyNumberFormat="1" applyFont="1" applyFill="1" applyBorder="1" applyAlignment="1">
      <alignment horizontal="center" vertical="top"/>
    </xf>
    <xf numFmtId="49" fontId="16" fillId="0" borderId="2" xfId="0" applyNumberFormat="1" applyFont="1" applyFill="1" applyBorder="1" applyAlignment="1">
      <alignment horizontal="center" vertical="top"/>
    </xf>
    <xf numFmtId="49" fontId="16" fillId="0" borderId="5" xfId="0" applyNumberFormat="1" applyFont="1" applyFill="1" applyBorder="1" applyAlignment="1">
      <alignment horizontal="center" vertical="top"/>
    </xf>
    <xf numFmtId="49" fontId="16" fillId="3" borderId="1" xfId="0" applyNumberFormat="1" applyFont="1" applyFill="1" applyBorder="1" applyAlignment="1">
      <alignment horizontal="center" vertical="top" wrapText="1"/>
    </xf>
    <xf numFmtId="49" fontId="16" fillId="0" borderId="3" xfId="0" applyNumberFormat="1" applyFont="1" applyFill="1" applyBorder="1" applyAlignment="1">
      <alignment horizontal="center" vertical="top" wrapText="1"/>
    </xf>
    <xf numFmtId="49" fontId="8" fillId="3" borderId="1" xfId="0" applyNumberFormat="1" applyFont="1" applyFill="1" applyBorder="1" applyAlignment="1">
      <alignment horizontal="center" vertical="top" wrapText="1"/>
    </xf>
    <xf numFmtId="49" fontId="8" fillId="3" borderId="2" xfId="0" applyNumberFormat="1" applyFont="1" applyFill="1" applyBorder="1" applyAlignment="1">
      <alignment horizontal="center" vertical="top" wrapText="1"/>
    </xf>
    <xf numFmtId="49" fontId="8" fillId="3" borderId="5" xfId="0" applyNumberFormat="1" applyFont="1" applyFill="1" applyBorder="1" applyAlignment="1">
      <alignment horizontal="center" vertical="top" wrapText="1"/>
    </xf>
    <xf numFmtId="165" fontId="10" fillId="4" borderId="3"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top"/>
    </xf>
    <xf numFmtId="49" fontId="8" fillId="0" borderId="5" xfId="0" applyNumberFormat="1" applyFont="1" applyFill="1" applyBorder="1" applyAlignment="1">
      <alignment horizontal="center" vertical="top"/>
    </xf>
    <xf numFmtId="164" fontId="9" fillId="3" borderId="3" xfId="0" applyNumberFormat="1" applyFont="1" applyFill="1" applyBorder="1" applyAlignment="1">
      <alignment horizontal="left" vertical="top" wrapText="1"/>
    </xf>
    <xf numFmtId="165" fontId="9" fillId="4" borderId="1" xfId="0" applyNumberFormat="1" applyFont="1" applyFill="1" applyBorder="1" applyAlignment="1">
      <alignment horizontal="center" vertical="top" wrapText="1"/>
    </xf>
    <xf numFmtId="0" fontId="0" fillId="4" borderId="2" xfId="0" applyFill="1" applyBorder="1" applyAlignment="1">
      <alignment horizontal="center" vertical="top" wrapText="1"/>
    </xf>
    <xf numFmtId="0" fontId="0" fillId="4" borderId="5" xfId="0" applyFill="1" applyBorder="1" applyAlignment="1">
      <alignment horizontal="center" vertical="top" wrapText="1"/>
    </xf>
    <xf numFmtId="0" fontId="16" fillId="0" borderId="1" xfId="0" applyFont="1" applyFill="1" applyBorder="1" applyAlignment="1">
      <alignment horizontal="center" vertical="top"/>
    </xf>
    <xf numFmtId="0" fontId="0" fillId="0" borderId="2" xfId="0" applyFill="1" applyBorder="1" applyAlignment="1">
      <alignment horizontal="center" vertical="top"/>
    </xf>
    <xf numFmtId="49" fontId="8" fillId="3" borderId="1" xfId="0" applyNumberFormat="1" applyFont="1" applyFill="1" applyBorder="1" applyAlignment="1">
      <alignment horizontal="center" vertical="top"/>
    </xf>
    <xf numFmtId="0" fontId="0" fillId="3" borderId="2" xfId="0" applyFill="1" applyBorder="1" applyAlignment="1">
      <alignment horizontal="center" vertical="top"/>
    </xf>
    <xf numFmtId="165" fontId="9" fillId="0" borderId="3" xfId="0" applyNumberFormat="1" applyFont="1" applyFill="1" applyBorder="1" applyAlignment="1">
      <alignment horizontal="left" vertical="center" wrapText="1"/>
    </xf>
    <xf numFmtId="165" fontId="9" fillId="3" borderId="3" xfId="0" applyNumberFormat="1" applyFont="1" applyFill="1" applyBorder="1" applyAlignment="1">
      <alignment vertical="top" wrapText="1"/>
    </xf>
    <xf numFmtId="165" fontId="14" fillId="3" borderId="3" xfId="0" applyNumberFormat="1" applyFont="1" applyFill="1" applyBorder="1" applyAlignment="1">
      <alignment horizontal="center" vertical="center" wrapText="1"/>
    </xf>
    <xf numFmtId="0" fontId="24" fillId="3" borderId="3" xfId="0" applyFont="1" applyFill="1" applyBorder="1" applyAlignment="1">
      <alignment vertical="top" wrapText="1"/>
    </xf>
    <xf numFmtId="165" fontId="9" fillId="0" borderId="1" xfId="0" applyNumberFormat="1" applyFont="1" applyFill="1" applyBorder="1" applyAlignment="1">
      <alignment horizontal="center" vertical="top" wrapText="1"/>
    </xf>
    <xf numFmtId="0" fontId="0" fillId="0" borderId="2" xfId="0" applyFill="1" applyBorder="1" applyAlignment="1">
      <alignment horizontal="center" vertical="top" wrapText="1"/>
    </xf>
    <xf numFmtId="0" fontId="0" fillId="0" borderId="5" xfId="0" applyFill="1" applyBorder="1" applyAlignment="1">
      <alignment horizontal="center" vertical="top" wrapText="1"/>
    </xf>
    <xf numFmtId="49" fontId="15" fillId="0" borderId="3" xfId="0" applyNumberFormat="1" applyFont="1" applyFill="1" applyBorder="1" applyAlignment="1">
      <alignment vertical="top"/>
    </xf>
    <xf numFmtId="49" fontId="16" fillId="0" borderId="3" xfId="0" applyNumberFormat="1" applyFont="1" applyFill="1" applyBorder="1" applyAlignment="1">
      <alignment vertical="top"/>
    </xf>
    <xf numFmtId="49" fontId="15" fillId="0" borderId="3" xfId="0" applyNumberFormat="1" applyFont="1" applyFill="1" applyBorder="1" applyAlignment="1">
      <alignment vertical="top" wrapText="1"/>
    </xf>
    <xf numFmtId="49" fontId="16" fillId="0" borderId="1" xfId="0" applyNumberFormat="1" applyFont="1" applyFill="1" applyBorder="1" applyAlignment="1">
      <alignment vertical="top"/>
    </xf>
    <xf numFmtId="49" fontId="16" fillId="0" borderId="2" xfId="0" applyNumberFormat="1" applyFont="1" applyFill="1" applyBorder="1" applyAlignment="1">
      <alignment vertical="top"/>
    </xf>
    <xf numFmtId="49" fontId="16" fillId="0" borderId="5" xfId="0" applyNumberFormat="1" applyFont="1" applyFill="1" applyBorder="1" applyAlignment="1">
      <alignment vertical="top"/>
    </xf>
    <xf numFmtId="49" fontId="15" fillId="0" borderId="1" xfId="0" applyNumberFormat="1" applyFont="1" applyFill="1" applyBorder="1" applyAlignment="1">
      <alignment vertical="top" wrapText="1"/>
    </xf>
    <xf numFmtId="0" fontId="9" fillId="0" borderId="1" xfId="0" applyFont="1" applyBorder="1" applyAlignment="1">
      <alignment vertical="top" wrapText="1"/>
    </xf>
    <xf numFmtId="0" fontId="9" fillId="0" borderId="2" xfId="0" applyFont="1" applyBorder="1" applyAlignment="1">
      <alignment vertical="top" wrapText="1"/>
    </xf>
    <xf numFmtId="0" fontId="9" fillId="0" borderId="5" xfId="0" applyFont="1" applyBorder="1" applyAlignment="1">
      <alignment vertical="top" wrapText="1"/>
    </xf>
    <xf numFmtId="0" fontId="15" fillId="0" borderId="1" xfId="0" applyFont="1" applyBorder="1" applyAlignment="1">
      <alignment vertical="top" wrapText="1"/>
    </xf>
    <xf numFmtId="0" fontId="15" fillId="0" borderId="1" xfId="0" applyFont="1" applyBorder="1" applyAlignment="1">
      <alignment horizontal="left" vertical="top" wrapText="1"/>
    </xf>
    <xf numFmtId="0" fontId="15" fillId="0" borderId="2" xfId="0" applyFont="1" applyBorder="1" applyAlignment="1">
      <alignment horizontal="left" vertical="top" wrapText="1"/>
    </xf>
    <xf numFmtId="0" fontId="15" fillId="0" borderId="5" xfId="0" applyFont="1" applyBorder="1" applyAlignment="1">
      <alignment horizontal="left" vertical="top" wrapText="1"/>
    </xf>
    <xf numFmtId="0" fontId="25" fillId="0" borderId="0" xfId="0" applyFont="1" applyAlignment="1">
      <alignment horizontal="left" vertical="top" wrapText="1"/>
    </xf>
    <xf numFmtId="0" fontId="0" fillId="0" borderId="0" xfId="0" applyAlignment="1">
      <alignment horizontal="left" vertical="top" wrapText="1"/>
    </xf>
    <xf numFmtId="0" fontId="23" fillId="3" borderId="3" xfId="0" applyFont="1" applyFill="1" applyBorder="1" applyAlignment="1">
      <alignment vertical="top" wrapText="1"/>
    </xf>
    <xf numFmtId="0" fontId="7" fillId="0" borderId="0" xfId="0" applyFont="1" applyAlignment="1">
      <alignment horizontal="center" vertical="center" wrapText="1"/>
    </xf>
    <xf numFmtId="0" fontId="3" fillId="0" borderId="3" xfId="0" applyFont="1" applyFill="1" applyBorder="1" applyAlignment="1">
      <alignment horizontal="center" vertical="center" wrapText="1"/>
    </xf>
    <xf numFmtId="0" fontId="1" fillId="3" borderId="3" xfId="0" applyFont="1" applyFill="1" applyBorder="1" applyAlignment="1">
      <alignment horizontal="left" vertical="top" wrapText="1"/>
    </xf>
    <xf numFmtId="165" fontId="9" fillId="3" borderId="1" xfId="0" applyNumberFormat="1" applyFont="1" applyFill="1" applyBorder="1" applyAlignment="1">
      <alignment horizontal="left" vertical="top" wrapText="1"/>
    </xf>
    <xf numFmtId="165" fontId="9" fillId="3" borderId="2" xfId="0" applyNumberFormat="1" applyFont="1" applyFill="1" applyBorder="1" applyAlignment="1">
      <alignment horizontal="left" vertical="top" wrapText="1"/>
    </xf>
    <xf numFmtId="0" fontId="1" fillId="0" borderId="1" xfId="0" applyFont="1" applyBorder="1" applyAlignment="1"/>
    <xf numFmtId="0" fontId="1" fillId="0" borderId="2" xfId="0" applyFont="1" applyBorder="1" applyAlignment="1"/>
    <xf numFmtId="0" fontId="1" fillId="0" borderId="5" xfId="0" applyFont="1" applyBorder="1" applyAlignment="1"/>
    <xf numFmtId="0" fontId="1" fillId="0" borderId="1" xfId="0" applyFont="1" applyFill="1" applyBorder="1" applyAlignment="1">
      <alignment vertical="top" wrapText="1"/>
    </xf>
    <xf numFmtId="0" fontId="1" fillId="0" borderId="1" xfId="0" applyFont="1" applyBorder="1" applyAlignment="1">
      <alignment vertical="top"/>
    </xf>
    <xf numFmtId="0" fontId="1" fillId="0" borderId="5" xfId="0" applyFont="1" applyBorder="1" applyAlignment="1">
      <alignment vertical="top"/>
    </xf>
    <xf numFmtId="0" fontId="1" fillId="0" borderId="1" xfId="0" applyFont="1" applyBorder="1" applyAlignment="1">
      <alignment vertical="top" wrapText="1"/>
    </xf>
    <xf numFmtId="0" fontId="1" fillId="0" borderId="5" xfId="0" applyFont="1" applyBorder="1" applyAlignment="1">
      <alignment vertical="top" wrapText="1"/>
    </xf>
    <xf numFmtId="0" fontId="1" fillId="0" borderId="15" xfId="0" applyFont="1" applyFill="1" applyBorder="1" applyAlignment="1">
      <alignment vertical="top"/>
    </xf>
    <xf numFmtId="0" fontId="1" fillId="0" borderId="16" xfId="0" applyFont="1" applyFill="1" applyBorder="1" applyAlignment="1">
      <alignment vertical="top"/>
    </xf>
    <xf numFmtId="0" fontId="1" fillId="0" borderId="3" xfId="0" applyFont="1" applyBorder="1" applyAlignment="1">
      <alignment vertical="top"/>
    </xf>
    <xf numFmtId="0" fontId="1" fillId="0" borderId="3" xfId="0" applyFont="1" applyBorder="1" applyAlignment="1"/>
    <xf numFmtId="0" fontId="1" fillId="0" borderId="3" xfId="0" applyFont="1" applyFill="1" applyBorder="1" applyAlignment="1">
      <alignment vertical="top" wrapText="1"/>
    </xf>
    <xf numFmtId="0" fontId="2" fillId="0" borderId="1" xfId="0" applyFont="1" applyBorder="1" applyAlignment="1">
      <alignment vertical="top" wrapText="1"/>
    </xf>
    <xf numFmtId="0" fontId="2" fillId="0" borderId="2" xfId="0" applyFont="1" applyBorder="1" applyAlignment="1">
      <alignment vertical="top" wrapText="1"/>
    </xf>
    <xf numFmtId="0" fontId="2" fillId="0" borderId="5" xfId="0" applyFont="1" applyBorder="1" applyAlignment="1">
      <alignment vertical="top"/>
    </xf>
    <xf numFmtId="0" fontId="4" fillId="0" borderId="5" xfId="0" applyFont="1" applyBorder="1" applyAlignment="1">
      <alignment vertical="top"/>
    </xf>
    <xf numFmtId="0" fontId="2" fillId="0" borderId="1" xfId="0" applyFont="1" applyBorder="1" applyAlignment="1">
      <alignment vertical="top"/>
    </xf>
    <xf numFmtId="0" fontId="2" fillId="0" borderId="1" xfId="0" applyFont="1" applyFill="1" applyBorder="1" applyAlignment="1">
      <alignment vertical="top" wrapText="1"/>
    </xf>
    <xf numFmtId="0" fontId="4" fillId="0" borderId="5" xfId="0" applyFont="1" applyFill="1" applyBorder="1" applyAlignment="1">
      <alignment vertical="top"/>
    </xf>
    <xf numFmtId="0" fontId="1" fillId="0" borderId="15" xfId="0" applyFont="1" applyBorder="1" applyAlignment="1">
      <alignment horizontal="center"/>
    </xf>
    <xf numFmtId="0" fontId="2" fillId="0" borderId="3" xfId="0" applyFont="1" applyBorder="1" applyAlignment="1">
      <alignment vertical="top"/>
    </xf>
    <xf numFmtId="0" fontId="2" fillId="0" borderId="3" xfId="0" applyFont="1" applyFill="1" applyBorder="1" applyAlignment="1">
      <alignment vertical="top"/>
    </xf>
    <xf numFmtId="0" fontId="1" fillId="0" borderId="1" xfId="0" applyFont="1" applyBorder="1" applyAlignment="1">
      <alignment horizontal="center" vertical="center"/>
    </xf>
    <xf numFmtId="0" fontId="2" fillId="0" borderId="3" xfId="0" applyFont="1" applyBorder="1" applyAlignment="1">
      <alignment vertical="top" wrapText="1"/>
    </xf>
    <xf numFmtId="0" fontId="4" fillId="0" borderId="3" xfId="0" applyFont="1" applyBorder="1" applyAlignment="1">
      <alignment vertical="top"/>
    </xf>
    <xf numFmtId="0" fontId="2" fillId="0" borderId="3" xfId="0" applyFont="1" applyFill="1" applyBorder="1" applyAlignment="1">
      <alignment vertical="top" wrapText="1"/>
    </xf>
    <xf numFmtId="14" fontId="2" fillId="0" borderId="3" xfId="0" applyNumberFormat="1" applyFont="1" applyBorder="1" applyAlignment="1">
      <alignment vertical="top"/>
    </xf>
    <xf numFmtId="0" fontId="4" fillId="0" borderId="3" xfId="0" applyFont="1" applyBorder="1" applyAlignment="1"/>
    <xf numFmtId="0" fontId="2" fillId="0" borderId="2" xfId="0" applyFont="1" applyBorder="1" applyAlignment="1">
      <alignment vertical="top"/>
    </xf>
    <xf numFmtId="0" fontId="4" fillId="0" borderId="2" xfId="0" applyFont="1" applyBorder="1" applyAlignment="1">
      <alignment vertical="top"/>
    </xf>
    <xf numFmtId="0" fontId="2" fillId="0" borderId="3" xfId="0" applyFont="1" applyBorder="1" applyAlignment="1">
      <alignment horizontal="left" vertical="top" wrapText="1"/>
    </xf>
    <xf numFmtId="0" fontId="1" fillId="0" borderId="13" xfId="0" applyFont="1" applyBorder="1" applyAlignment="1">
      <alignment horizontal="center"/>
    </xf>
    <xf numFmtId="0" fontId="1" fillId="0" borderId="14" xfId="0" applyFont="1" applyBorder="1" applyAlignment="1">
      <alignment horizontal="center"/>
    </xf>
    <xf numFmtId="0" fontId="1" fillId="0" borderId="7" xfId="0" applyFont="1" applyBorder="1" applyAlignment="1">
      <alignment horizontal="center"/>
    </xf>
    <xf numFmtId="0" fontId="2" fillId="0" borderId="1" xfId="0" applyFont="1" applyBorder="1" applyAlignment="1">
      <alignment horizontal="left" vertical="top"/>
    </xf>
    <xf numFmtId="0" fontId="2" fillId="0" borderId="2" xfId="0" applyFont="1" applyBorder="1" applyAlignment="1">
      <alignment horizontal="left" vertical="top"/>
    </xf>
    <xf numFmtId="0" fontId="2" fillId="0" borderId="5" xfId="0" applyFont="1" applyBorder="1" applyAlignment="1">
      <alignment horizontal="left" vertical="top"/>
    </xf>
    <xf numFmtId="0" fontId="2" fillId="0" borderId="5" xfId="0" applyFont="1" applyBorder="1" applyAlignment="1">
      <alignment vertical="top" wrapText="1"/>
    </xf>
    <xf numFmtId="0" fontId="2" fillId="0" borderId="1" xfId="0" applyNumberFormat="1" applyFont="1" applyBorder="1" applyAlignment="1">
      <alignment horizontal="left" vertical="top"/>
    </xf>
    <xf numFmtId="0" fontId="2" fillId="0" borderId="2" xfId="0" applyNumberFormat="1" applyFont="1" applyBorder="1" applyAlignment="1">
      <alignment horizontal="left" vertical="top"/>
    </xf>
    <xf numFmtId="0" fontId="2" fillId="0" borderId="5" xfId="0" applyNumberFormat="1" applyFont="1" applyBorder="1" applyAlignment="1">
      <alignment horizontal="left" vertical="top"/>
    </xf>
    <xf numFmtId="0" fontId="4" fillId="0" borderId="2" xfId="0" applyFont="1" applyBorder="1" applyAlignment="1">
      <alignment vertical="top" wrapText="1"/>
    </xf>
    <xf numFmtId="0" fontId="4" fillId="0" borderId="5" xfId="0" applyFont="1" applyBorder="1" applyAlignment="1">
      <alignment vertical="top" wrapText="1"/>
    </xf>
    <xf numFmtId="0" fontId="0" fillId="0" borderId="2" xfId="0" applyBorder="1"/>
    <xf numFmtId="0" fontId="0" fillId="0" borderId="5" xfId="0" applyBorder="1"/>
    <xf numFmtId="0" fontId="1" fillId="0" borderId="0" xfId="0" applyFont="1" applyAlignment="1">
      <alignment horizontal="center" vertical="center" wrapText="1"/>
    </xf>
    <xf numFmtId="0" fontId="2" fillId="2" borderId="1" xfId="0" applyFont="1" applyFill="1" applyBorder="1" applyAlignment="1">
      <alignment vertical="top" wrapText="1"/>
    </xf>
    <xf numFmtId="0" fontId="2" fillId="2" borderId="5" xfId="0" applyFont="1" applyFill="1" applyBorder="1" applyAlignment="1">
      <alignment vertical="top" wrapText="1"/>
    </xf>
    <xf numFmtId="0" fontId="2" fillId="0" borderId="1" xfId="0" applyNumberFormat="1" applyFont="1" applyFill="1" applyBorder="1" applyAlignment="1">
      <alignment vertical="top"/>
    </xf>
    <xf numFmtId="0" fontId="2" fillId="0" borderId="5" xfId="0" applyNumberFormat="1" applyFont="1" applyFill="1" applyBorder="1" applyAlignment="1">
      <alignment vertical="top"/>
    </xf>
    <xf numFmtId="0" fontId="2" fillId="0" borderId="3" xfId="0" applyNumberFormat="1" applyFont="1" applyFill="1" applyBorder="1" applyAlignment="1">
      <alignment vertical="top"/>
    </xf>
    <xf numFmtId="0" fontId="2" fillId="0" borderId="3" xfId="0" applyNumberFormat="1" applyFont="1" applyBorder="1" applyAlignment="1">
      <alignment vertical="top"/>
    </xf>
    <xf numFmtId="0" fontId="2" fillId="0" borderId="3" xfId="0" applyFont="1" applyBorder="1" applyAlignment="1">
      <alignment wrapText="1"/>
    </xf>
    <xf numFmtId="0" fontId="2" fillId="0" borderId="3" xfId="0" applyFont="1" applyBorder="1" applyAlignment="1"/>
    <xf numFmtId="0" fontId="4" fillId="0" borderId="2" xfId="0" applyFont="1" applyBorder="1" applyAlignment="1"/>
    <xf numFmtId="0" fontId="1" fillId="0" borderId="15" xfId="0" applyFont="1" applyBorder="1" applyAlignment="1">
      <alignment horizontal="center" vertical="center"/>
    </xf>
    <xf numFmtId="0" fontId="1" fillId="0" borderId="3" xfId="0" applyFont="1" applyBorder="1" applyAlignment="1">
      <alignment vertical="top" wrapText="1"/>
    </xf>
    <xf numFmtId="0" fontId="4" fillId="0" borderId="3" xfId="0" applyFont="1" applyBorder="1" applyAlignment="1">
      <alignment vertical="top" wrapText="1"/>
    </xf>
    <xf numFmtId="0" fontId="2" fillId="0" borderId="1" xfId="0" applyFont="1" applyBorder="1" applyAlignment="1">
      <alignment wrapText="1"/>
    </xf>
    <xf numFmtId="0" fontId="4" fillId="0" borderId="2" xfId="0" applyFont="1" applyBorder="1" applyAlignment="1">
      <alignment wrapText="1"/>
    </xf>
    <xf numFmtId="0" fontId="4" fillId="0" borderId="5" xfId="0" applyFont="1" applyBorder="1" applyAlignment="1">
      <alignment wrapText="1"/>
    </xf>
    <xf numFmtId="0" fontId="1" fillId="0" borderId="3" xfId="0" applyNumberFormat="1" applyFont="1" applyFill="1" applyBorder="1" applyAlignment="1">
      <alignment vertical="top"/>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1:S152"/>
  <sheetViews>
    <sheetView tabSelected="1" view="pageBreakPreview" topLeftCell="A87" zoomScale="55" zoomScaleNormal="55" zoomScaleSheetLayoutView="55" workbookViewId="0">
      <selection activeCell="M81" sqref="M81:M93"/>
    </sheetView>
  </sheetViews>
  <sheetFormatPr defaultRowHeight="15" x14ac:dyDescent="0.25"/>
  <cols>
    <col min="1" max="1" width="10.42578125" customWidth="1"/>
    <col min="2" max="2" width="66" customWidth="1"/>
    <col min="3" max="3" width="21.28515625" customWidth="1"/>
    <col min="4" max="4" width="21.7109375" customWidth="1"/>
    <col min="5" max="5" width="17.140625" customWidth="1"/>
    <col min="6" max="6" width="18.5703125" customWidth="1"/>
    <col min="7" max="7" width="18.28515625" customWidth="1"/>
    <col min="8" max="8" width="18.28515625" style="144" customWidth="1"/>
    <col min="9" max="9" width="19.28515625" style="178" customWidth="1"/>
    <col min="10" max="10" width="18.28515625" style="211" customWidth="1"/>
    <col min="11" max="12" width="18.28515625" style="144" customWidth="1"/>
    <col min="13" max="13" width="46.7109375" customWidth="1"/>
    <col min="14" max="14" width="49.28515625" customWidth="1"/>
    <col min="15" max="15" width="10" customWidth="1"/>
    <col min="16" max="16" width="9.140625" hidden="1" customWidth="1"/>
  </cols>
  <sheetData>
    <row r="1" spans="1:15" ht="18" customHeight="1" x14ac:dyDescent="0.35">
      <c r="J1" s="224"/>
      <c r="K1" s="224"/>
      <c r="L1" s="224"/>
      <c r="M1" s="224"/>
      <c r="N1" s="224"/>
    </row>
    <row r="2" spans="1:15" ht="0.75" hidden="1" customHeight="1" x14ac:dyDescent="0.4">
      <c r="J2" s="186"/>
      <c r="K2" s="145"/>
      <c r="L2" s="145"/>
      <c r="M2" s="90"/>
      <c r="N2" s="90"/>
    </row>
    <row r="3" spans="1:15" ht="408.75" customHeight="1" x14ac:dyDescent="0.25">
      <c r="H3" s="146"/>
      <c r="I3" s="179"/>
      <c r="J3" s="187" t="s">
        <v>246</v>
      </c>
      <c r="K3" s="147"/>
      <c r="L3" s="147"/>
      <c r="M3" s="354" t="s">
        <v>281</v>
      </c>
      <c r="N3" s="355"/>
    </row>
    <row r="4" spans="1:15" ht="28.5" customHeight="1" x14ac:dyDescent="0.45">
      <c r="A4" s="4"/>
      <c r="B4" s="244"/>
      <c r="C4" s="244"/>
      <c r="D4" s="4"/>
      <c r="E4" s="4"/>
      <c r="F4" s="4"/>
      <c r="G4" s="246"/>
      <c r="H4" s="246"/>
      <c r="I4" s="246"/>
      <c r="J4" s="246"/>
      <c r="K4" s="246"/>
      <c r="L4" s="246"/>
      <c r="M4" s="247"/>
      <c r="N4" s="247"/>
    </row>
    <row r="5" spans="1:15" ht="57" customHeight="1" x14ac:dyDescent="0.25">
      <c r="A5" s="357" t="s">
        <v>208</v>
      </c>
      <c r="B5" s="357"/>
      <c r="C5" s="357"/>
      <c r="D5" s="357"/>
      <c r="E5" s="357"/>
      <c r="F5" s="357"/>
      <c r="G5" s="357"/>
      <c r="H5" s="357"/>
      <c r="I5" s="357"/>
      <c r="J5" s="357"/>
      <c r="K5" s="357"/>
      <c r="L5" s="357"/>
      <c r="M5" s="357"/>
      <c r="N5" s="357"/>
    </row>
    <row r="6" spans="1:15" ht="21" customHeight="1" x14ac:dyDescent="0.25">
      <c r="A6" s="358" t="s">
        <v>0</v>
      </c>
      <c r="B6" s="245" t="s">
        <v>112</v>
      </c>
      <c r="C6" s="245" t="s">
        <v>113</v>
      </c>
      <c r="D6" s="302" t="s">
        <v>135</v>
      </c>
      <c r="E6" s="303"/>
      <c r="F6" s="303"/>
      <c r="G6" s="303"/>
      <c r="H6" s="304"/>
      <c r="I6" s="304"/>
      <c r="J6" s="304"/>
      <c r="K6" s="305"/>
      <c r="L6" s="306"/>
      <c r="M6" s="245" t="s">
        <v>114</v>
      </c>
      <c r="N6" s="245" t="s">
        <v>136</v>
      </c>
    </row>
    <row r="7" spans="1:15" ht="29.25" customHeight="1" x14ac:dyDescent="0.25">
      <c r="A7" s="358"/>
      <c r="B7" s="245"/>
      <c r="C7" s="245"/>
      <c r="D7" s="245" t="s">
        <v>125</v>
      </c>
      <c r="E7" s="307" t="s">
        <v>188</v>
      </c>
      <c r="F7" s="308"/>
      <c r="G7" s="308"/>
      <c r="H7" s="309"/>
      <c r="I7" s="309"/>
      <c r="J7" s="309"/>
      <c r="K7" s="310"/>
      <c r="L7" s="311"/>
      <c r="M7" s="245"/>
      <c r="N7" s="245"/>
    </row>
    <row r="8" spans="1:15" ht="64.5" customHeight="1" x14ac:dyDescent="0.25">
      <c r="A8" s="358"/>
      <c r="B8" s="245"/>
      <c r="C8" s="245"/>
      <c r="D8" s="245"/>
      <c r="E8" s="53" t="s">
        <v>143</v>
      </c>
      <c r="F8" s="53" t="s">
        <v>144</v>
      </c>
      <c r="G8" s="53" t="s">
        <v>145</v>
      </c>
      <c r="H8" s="141" t="s">
        <v>197</v>
      </c>
      <c r="I8" s="173" t="s">
        <v>198</v>
      </c>
      <c r="J8" s="188" t="s">
        <v>225</v>
      </c>
      <c r="K8" s="141" t="s">
        <v>236</v>
      </c>
      <c r="L8" s="156" t="s">
        <v>266</v>
      </c>
      <c r="M8" s="245"/>
      <c r="N8" s="245"/>
    </row>
    <row r="9" spans="1:15" ht="18" customHeight="1" x14ac:dyDescent="0.3">
      <c r="A9" s="47">
        <v>1</v>
      </c>
      <c r="B9" s="69">
        <v>2</v>
      </c>
      <c r="C9" s="69">
        <v>3</v>
      </c>
      <c r="D9" s="69">
        <v>4</v>
      </c>
      <c r="E9" s="69">
        <v>5</v>
      </c>
      <c r="F9" s="69">
        <v>6</v>
      </c>
      <c r="G9" s="69">
        <v>7</v>
      </c>
      <c r="H9" s="69">
        <v>8</v>
      </c>
      <c r="I9" s="180">
        <v>9</v>
      </c>
      <c r="J9" s="189">
        <v>10</v>
      </c>
      <c r="K9" s="69">
        <v>11</v>
      </c>
      <c r="L9" s="69">
        <v>12</v>
      </c>
      <c r="M9" s="69">
        <v>13</v>
      </c>
      <c r="N9" s="69">
        <v>14</v>
      </c>
    </row>
    <row r="10" spans="1:15" ht="29.25" customHeight="1" x14ac:dyDescent="0.3">
      <c r="A10" s="102"/>
      <c r="B10" s="100" t="s">
        <v>115</v>
      </c>
      <c r="C10" s="359" t="s">
        <v>121</v>
      </c>
      <c r="D10" s="359"/>
      <c r="E10" s="359"/>
      <c r="F10" s="359"/>
      <c r="G10" s="359"/>
      <c r="H10" s="359"/>
      <c r="I10" s="359"/>
      <c r="J10" s="359"/>
      <c r="K10" s="359"/>
      <c r="L10" s="359"/>
      <c r="M10" s="359"/>
      <c r="N10" s="359"/>
    </row>
    <row r="11" spans="1:15" ht="22.5" customHeight="1" x14ac:dyDescent="0.3">
      <c r="A11" s="102">
        <v>1</v>
      </c>
      <c r="B11" s="100" t="s">
        <v>116</v>
      </c>
      <c r="C11" s="231" t="s">
        <v>117</v>
      </c>
      <c r="D11" s="231"/>
      <c r="E11" s="231"/>
      <c r="F11" s="231"/>
      <c r="G11" s="231"/>
      <c r="H11" s="231"/>
      <c r="I11" s="231"/>
      <c r="J11" s="231"/>
      <c r="K11" s="231"/>
      <c r="L11" s="231"/>
      <c r="M11" s="231"/>
      <c r="N11" s="231"/>
    </row>
    <row r="12" spans="1:15" ht="36" customHeight="1" x14ac:dyDescent="0.25">
      <c r="A12" s="103">
        <v>1</v>
      </c>
      <c r="B12" s="100" t="s">
        <v>237</v>
      </c>
      <c r="C12" s="231" t="s">
        <v>117</v>
      </c>
      <c r="D12" s="231"/>
      <c r="E12" s="231"/>
      <c r="F12" s="231"/>
      <c r="G12" s="231"/>
      <c r="H12" s="231"/>
      <c r="I12" s="231"/>
      <c r="J12" s="231"/>
      <c r="K12" s="231"/>
      <c r="L12" s="231"/>
      <c r="M12" s="231"/>
      <c r="N12" s="231"/>
    </row>
    <row r="13" spans="1:15" ht="49.5" customHeight="1" x14ac:dyDescent="0.25">
      <c r="A13" s="258" t="s">
        <v>164</v>
      </c>
      <c r="B13" s="222" t="s">
        <v>255</v>
      </c>
      <c r="C13" s="57" t="s">
        <v>138</v>
      </c>
      <c r="D13" s="58">
        <f>D14+D15</f>
        <v>518446.80000000005</v>
      </c>
      <c r="E13" s="58">
        <f t="shared" ref="E13:L13" si="0">E14+E15</f>
        <v>3917</v>
      </c>
      <c r="F13" s="58">
        <f t="shared" si="0"/>
        <v>31714.400000000001</v>
      </c>
      <c r="G13" s="58">
        <f>G14+G15</f>
        <v>360152.8</v>
      </c>
      <c r="H13" s="58">
        <f>H14+H15</f>
        <v>0</v>
      </c>
      <c r="I13" s="181">
        <f>I14+I15</f>
        <v>0</v>
      </c>
      <c r="J13" s="190">
        <f t="shared" si="0"/>
        <v>53247.1</v>
      </c>
      <c r="K13" s="58">
        <f t="shared" si="0"/>
        <v>20373.900000000001</v>
      </c>
      <c r="L13" s="58">
        <f t="shared" si="0"/>
        <v>49041.599999999999</v>
      </c>
      <c r="M13" s="222" t="s">
        <v>282</v>
      </c>
      <c r="N13" s="222" t="s">
        <v>195</v>
      </c>
    </row>
    <row r="14" spans="1:15" ht="45.75" customHeight="1" x14ac:dyDescent="0.25">
      <c r="A14" s="258"/>
      <c r="B14" s="222"/>
      <c r="C14" s="57" t="s">
        <v>139</v>
      </c>
      <c r="D14" s="58">
        <f>E14+F14+G14+H14+J14+I14+K14+L14</f>
        <v>122603.80000000002</v>
      </c>
      <c r="E14" s="58">
        <f>2877.9+1001+38.1</f>
        <v>3917</v>
      </c>
      <c r="F14" s="58">
        <f>F17+F19+F24</f>
        <v>12914.4</v>
      </c>
      <c r="G14" s="58">
        <f>G17+G19+G24+G25</f>
        <v>29423.5</v>
      </c>
      <c r="H14" s="58">
        <f>H17+H19+H24+H25+H20+H27</f>
        <v>0</v>
      </c>
      <c r="I14" s="181">
        <f>I17+I19+I24+I25+I27+I22</f>
        <v>0</v>
      </c>
      <c r="J14" s="190">
        <f>J17+J19+J24+J25+J27+J22</f>
        <v>6933.4</v>
      </c>
      <c r="K14" s="58">
        <f t="shared" ref="K14:L14" si="1">K17+K19+K24+K25+K27+K22</f>
        <v>20373.900000000001</v>
      </c>
      <c r="L14" s="58">
        <f t="shared" si="1"/>
        <v>49041.599999999999</v>
      </c>
      <c r="M14" s="222"/>
      <c r="N14" s="222"/>
    </row>
    <row r="15" spans="1:15" ht="75" customHeight="1" x14ac:dyDescent="0.25">
      <c r="A15" s="258"/>
      <c r="B15" s="222"/>
      <c r="C15" s="66" t="s">
        <v>140</v>
      </c>
      <c r="D15" s="58">
        <f>E15+F15+G15+H15+J15+I15+K15+L15</f>
        <v>395843</v>
      </c>
      <c r="E15" s="58">
        <v>0</v>
      </c>
      <c r="F15" s="58">
        <f>F18</f>
        <v>18800</v>
      </c>
      <c r="G15" s="58">
        <f>G18</f>
        <v>330729.3</v>
      </c>
      <c r="H15" s="58">
        <f>H18+H28</f>
        <v>0</v>
      </c>
      <c r="I15" s="181">
        <f>I18+I28+I23</f>
        <v>0</v>
      </c>
      <c r="J15" s="190">
        <f t="shared" ref="J15:K15" si="2">J18+J28+J23</f>
        <v>46313.7</v>
      </c>
      <c r="K15" s="58">
        <f t="shared" si="2"/>
        <v>0</v>
      </c>
      <c r="L15" s="58">
        <v>0</v>
      </c>
      <c r="M15" s="222"/>
      <c r="N15" s="222"/>
    </row>
    <row r="16" spans="1:15" ht="43.5" customHeight="1" x14ac:dyDescent="0.25">
      <c r="A16" s="266" t="s">
        <v>174</v>
      </c>
      <c r="B16" s="222" t="s">
        <v>230</v>
      </c>
      <c r="C16" s="66" t="s">
        <v>138</v>
      </c>
      <c r="D16" s="58">
        <f t="shared" ref="D16:L16" si="3">D17+D18</f>
        <v>371839.7</v>
      </c>
      <c r="E16" s="58">
        <f t="shared" si="3"/>
        <v>0</v>
      </c>
      <c r="F16" s="58">
        <f t="shared" si="3"/>
        <v>20000</v>
      </c>
      <c r="G16" s="58">
        <f>G17+G18</f>
        <v>351839.7</v>
      </c>
      <c r="H16" s="58">
        <f>H17+H18</f>
        <v>0</v>
      </c>
      <c r="I16" s="181">
        <f>I17+I18</f>
        <v>0</v>
      </c>
      <c r="J16" s="190">
        <f t="shared" si="3"/>
        <v>0</v>
      </c>
      <c r="K16" s="58">
        <f t="shared" si="3"/>
        <v>0</v>
      </c>
      <c r="L16" s="58">
        <f t="shared" si="3"/>
        <v>0</v>
      </c>
      <c r="M16" s="222" t="s">
        <v>265</v>
      </c>
      <c r="N16" s="222" t="s">
        <v>146</v>
      </c>
      <c r="O16" s="64"/>
    </row>
    <row r="17" spans="1:15" ht="50.25" customHeight="1" x14ac:dyDescent="0.25">
      <c r="A17" s="323"/>
      <c r="B17" s="222"/>
      <c r="C17" s="66" t="s">
        <v>139</v>
      </c>
      <c r="D17" s="58">
        <f t="shared" ref="D17:D25" si="4">E17+F17+G17+H17+J17+I17+K17+L17</f>
        <v>22310.400000000001</v>
      </c>
      <c r="E17" s="58">
        <v>0</v>
      </c>
      <c r="F17" s="58">
        <v>1200</v>
      </c>
      <c r="G17" s="58">
        <f>21110.4+147.8-147.8</f>
        <v>21110.400000000001</v>
      </c>
      <c r="H17" s="58">
        <v>0</v>
      </c>
      <c r="I17" s="181">
        <v>0</v>
      </c>
      <c r="J17" s="190">
        <v>0</v>
      </c>
      <c r="K17" s="58">
        <v>0</v>
      </c>
      <c r="L17" s="58">
        <v>0</v>
      </c>
      <c r="M17" s="222"/>
      <c r="N17" s="222"/>
    </row>
    <row r="18" spans="1:15" ht="69.75" customHeight="1" x14ac:dyDescent="0.25">
      <c r="A18" s="324"/>
      <c r="B18" s="222"/>
      <c r="C18" s="66" t="s">
        <v>140</v>
      </c>
      <c r="D18" s="58">
        <f t="shared" si="4"/>
        <v>349529.3</v>
      </c>
      <c r="E18" s="58">
        <v>0</v>
      </c>
      <c r="F18" s="58">
        <v>18800</v>
      </c>
      <c r="G18" s="58">
        <v>330729.3</v>
      </c>
      <c r="H18" s="58">
        <v>0</v>
      </c>
      <c r="I18" s="181">
        <v>0</v>
      </c>
      <c r="J18" s="190">
        <v>0</v>
      </c>
      <c r="K18" s="58">
        <v>0</v>
      </c>
      <c r="L18" s="58">
        <v>0</v>
      </c>
      <c r="M18" s="222"/>
      <c r="N18" s="222"/>
    </row>
    <row r="19" spans="1:15" ht="144.75" customHeight="1" x14ac:dyDescent="0.25">
      <c r="A19" s="46" t="s">
        <v>14</v>
      </c>
      <c r="B19" s="66" t="s">
        <v>256</v>
      </c>
      <c r="C19" s="66" t="s">
        <v>139</v>
      </c>
      <c r="D19" s="58">
        <f t="shared" si="4"/>
        <v>3109.4</v>
      </c>
      <c r="E19" s="58">
        <v>0</v>
      </c>
      <c r="F19" s="58">
        <v>2787.9</v>
      </c>
      <c r="G19" s="70">
        <f>295+26.5</f>
        <v>321.5</v>
      </c>
      <c r="H19" s="58">
        <v>0</v>
      </c>
      <c r="I19" s="181">
        <v>0</v>
      </c>
      <c r="J19" s="190">
        <v>0</v>
      </c>
      <c r="K19" s="58">
        <v>0</v>
      </c>
      <c r="L19" s="58">
        <v>0</v>
      </c>
      <c r="M19" s="238" t="s">
        <v>283</v>
      </c>
      <c r="N19" s="238" t="s">
        <v>146</v>
      </c>
    </row>
    <row r="20" spans="1:15" ht="67.5" customHeight="1" x14ac:dyDescent="0.25">
      <c r="A20" s="46" t="s">
        <v>175</v>
      </c>
      <c r="B20" s="66" t="s">
        <v>257</v>
      </c>
      <c r="C20" s="66" t="s">
        <v>139</v>
      </c>
      <c r="D20" s="58">
        <f t="shared" si="4"/>
        <v>0</v>
      </c>
      <c r="E20" s="58">
        <v>0</v>
      </c>
      <c r="F20" s="58">
        <v>0</v>
      </c>
      <c r="G20" s="70">
        <v>0</v>
      </c>
      <c r="H20" s="58">
        <v>0</v>
      </c>
      <c r="I20" s="181">
        <v>0</v>
      </c>
      <c r="J20" s="190">
        <v>0</v>
      </c>
      <c r="K20" s="93">
        <v>0</v>
      </c>
      <c r="L20" s="93">
        <v>0</v>
      </c>
      <c r="M20" s="237"/>
      <c r="N20" s="236"/>
    </row>
    <row r="21" spans="1:15" ht="153" customHeight="1" x14ac:dyDescent="0.25">
      <c r="A21" s="266" t="s">
        <v>180</v>
      </c>
      <c r="B21" s="238" t="s">
        <v>258</v>
      </c>
      <c r="C21" s="123" t="s">
        <v>138</v>
      </c>
      <c r="D21" s="58">
        <f t="shared" si="4"/>
        <v>61282.399999999994</v>
      </c>
      <c r="E21" s="58">
        <f>E22+E23</f>
        <v>0</v>
      </c>
      <c r="F21" s="58">
        <f t="shared" ref="F21:L21" si="5">F22+F23</f>
        <v>0</v>
      </c>
      <c r="G21" s="58">
        <f t="shared" si="5"/>
        <v>0</v>
      </c>
      <c r="H21" s="58">
        <f t="shared" si="5"/>
        <v>0</v>
      </c>
      <c r="I21" s="181">
        <f t="shared" si="5"/>
        <v>0</v>
      </c>
      <c r="J21" s="190">
        <f t="shared" si="5"/>
        <v>23419.399999999998</v>
      </c>
      <c r="K21" s="58">
        <f t="shared" si="5"/>
        <v>11118.5</v>
      </c>
      <c r="L21" s="58">
        <f t="shared" si="5"/>
        <v>26744.5</v>
      </c>
      <c r="M21" s="125" t="s">
        <v>284</v>
      </c>
      <c r="N21" s="240"/>
    </row>
    <row r="22" spans="1:15" ht="67.5" customHeight="1" x14ac:dyDescent="0.25">
      <c r="A22" s="268"/>
      <c r="B22" s="239"/>
      <c r="C22" s="123" t="s">
        <v>139</v>
      </c>
      <c r="D22" s="58">
        <f t="shared" si="4"/>
        <v>41148.300000000003</v>
      </c>
      <c r="E22" s="58">
        <v>0</v>
      </c>
      <c r="F22" s="58">
        <v>0</v>
      </c>
      <c r="G22" s="70">
        <v>0</v>
      </c>
      <c r="H22" s="58">
        <v>0</v>
      </c>
      <c r="I22" s="181">
        <v>0</v>
      </c>
      <c r="J22" s="190">
        <v>3285.3</v>
      </c>
      <c r="K22" s="93">
        <v>11118.5</v>
      </c>
      <c r="L22" s="93">
        <v>26744.5</v>
      </c>
      <c r="M22" s="126"/>
      <c r="N22" s="126"/>
    </row>
    <row r="23" spans="1:15" ht="55.5" customHeight="1" x14ac:dyDescent="0.25">
      <c r="A23" s="267"/>
      <c r="B23" s="240"/>
      <c r="C23" s="123" t="s">
        <v>140</v>
      </c>
      <c r="D23" s="58">
        <f t="shared" si="4"/>
        <v>20134.099999999999</v>
      </c>
      <c r="E23" s="58">
        <v>0</v>
      </c>
      <c r="F23" s="58">
        <v>0</v>
      </c>
      <c r="G23" s="70">
        <v>0</v>
      </c>
      <c r="H23" s="58">
        <v>0</v>
      </c>
      <c r="I23" s="181">
        <v>0</v>
      </c>
      <c r="J23" s="190">
        <v>20134.099999999999</v>
      </c>
      <c r="K23" s="93">
        <v>0</v>
      </c>
      <c r="L23" s="93">
        <v>0</v>
      </c>
      <c r="M23" s="126"/>
      <c r="N23" s="126"/>
    </row>
    <row r="24" spans="1:15" ht="150.75" customHeight="1" x14ac:dyDescent="0.25">
      <c r="A24" s="46" t="s">
        <v>262</v>
      </c>
      <c r="B24" s="66" t="s">
        <v>220</v>
      </c>
      <c r="C24" s="66" t="s">
        <v>139</v>
      </c>
      <c r="D24" s="58">
        <f t="shared" si="4"/>
        <v>16318.1</v>
      </c>
      <c r="E24" s="58">
        <v>0</v>
      </c>
      <c r="F24" s="58">
        <v>8926.5</v>
      </c>
      <c r="G24" s="58">
        <f>5953.5+1913+318.5+79.6-1196.1+323.1</f>
        <v>7391.6</v>
      </c>
      <c r="H24" s="58">
        <v>0</v>
      </c>
      <c r="I24" s="181">
        <v>0</v>
      </c>
      <c r="J24" s="190">
        <v>0</v>
      </c>
      <c r="K24" s="58">
        <v>0</v>
      </c>
      <c r="L24" s="58">
        <v>0</v>
      </c>
      <c r="M24" s="71" t="s">
        <v>267</v>
      </c>
      <c r="N24" s="66" t="s">
        <v>176</v>
      </c>
    </row>
    <row r="25" spans="1:15" ht="168.75" customHeight="1" x14ac:dyDescent="0.25">
      <c r="A25" s="46" t="s">
        <v>263</v>
      </c>
      <c r="B25" s="66" t="s">
        <v>181</v>
      </c>
      <c r="C25" s="66" t="s">
        <v>139</v>
      </c>
      <c r="D25" s="58">
        <f t="shared" si="4"/>
        <v>600</v>
      </c>
      <c r="E25" s="58">
        <v>0</v>
      </c>
      <c r="F25" s="58">
        <v>0</v>
      </c>
      <c r="G25" s="58">
        <f>706.1-79.6-26.5</f>
        <v>600</v>
      </c>
      <c r="H25" s="58">
        <v>0</v>
      </c>
      <c r="I25" s="181">
        <v>0</v>
      </c>
      <c r="J25" s="190">
        <v>0</v>
      </c>
      <c r="K25" s="58">
        <v>0</v>
      </c>
      <c r="L25" s="58">
        <v>0</v>
      </c>
      <c r="M25" s="71" t="s">
        <v>285</v>
      </c>
      <c r="N25" s="66" t="s">
        <v>146</v>
      </c>
      <c r="O25" s="87">
        <v>2</v>
      </c>
    </row>
    <row r="26" spans="1:15" ht="47.25" customHeight="1" x14ac:dyDescent="0.25">
      <c r="A26" s="266" t="s">
        <v>264</v>
      </c>
      <c r="B26" s="238" t="s">
        <v>235</v>
      </c>
      <c r="C26" s="91" t="s">
        <v>138</v>
      </c>
      <c r="D26" s="58">
        <f>D27+D28</f>
        <v>61380.2</v>
      </c>
      <c r="E26" s="58">
        <f t="shared" ref="E26:L26" si="6">E27+E28</f>
        <v>0</v>
      </c>
      <c r="F26" s="58">
        <f t="shared" si="6"/>
        <v>0</v>
      </c>
      <c r="G26" s="58">
        <f t="shared" si="6"/>
        <v>0</v>
      </c>
      <c r="H26" s="58">
        <f t="shared" si="6"/>
        <v>0</v>
      </c>
      <c r="I26" s="181">
        <f t="shared" si="6"/>
        <v>0</v>
      </c>
      <c r="J26" s="190">
        <f t="shared" si="6"/>
        <v>29827.699999999997</v>
      </c>
      <c r="K26" s="58">
        <f t="shared" si="6"/>
        <v>9255.4</v>
      </c>
      <c r="L26" s="58">
        <f t="shared" si="6"/>
        <v>22297.1</v>
      </c>
      <c r="M26" s="234" t="s">
        <v>286</v>
      </c>
      <c r="N26" s="222" t="s">
        <v>146</v>
      </c>
      <c r="O26" s="87"/>
    </row>
    <row r="27" spans="1:15" ht="49.5" customHeight="1" x14ac:dyDescent="0.25">
      <c r="A27" s="268"/>
      <c r="B27" s="239"/>
      <c r="C27" s="92" t="s">
        <v>139</v>
      </c>
      <c r="D27" s="58">
        <f>E27+F27+G27+H27+I27+J27+K27+L27</f>
        <v>35200.6</v>
      </c>
      <c r="E27" s="58">
        <v>0</v>
      </c>
      <c r="F27" s="58">
        <v>0</v>
      </c>
      <c r="G27" s="58">
        <v>0</v>
      </c>
      <c r="H27" s="58">
        <v>0</v>
      </c>
      <c r="I27" s="181">
        <v>0</v>
      </c>
      <c r="J27" s="190">
        <v>3648.1</v>
      </c>
      <c r="K27" s="58">
        <v>9255.4</v>
      </c>
      <c r="L27" s="158">
        <v>22297.1</v>
      </c>
      <c r="M27" s="239"/>
      <c r="N27" s="222"/>
      <c r="O27" s="87"/>
    </row>
    <row r="28" spans="1:15" ht="73.5" customHeight="1" x14ac:dyDescent="0.25">
      <c r="A28" s="267"/>
      <c r="B28" s="240"/>
      <c r="C28" s="92" t="s">
        <v>140</v>
      </c>
      <c r="D28" s="58">
        <f>E28+F28+G28+H28+I28+J28+K28+L28</f>
        <v>26179.599999999999</v>
      </c>
      <c r="E28" s="58">
        <v>0</v>
      </c>
      <c r="F28" s="58">
        <v>0</v>
      </c>
      <c r="G28" s="58">
        <v>0</v>
      </c>
      <c r="H28" s="58">
        <v>0</v>
      </c>
      <c r="I28" s="181">
        <v>0</v>
      </c>
      <c r="J28" s="191">
        <v>26179.599999999999</v>
      </c>
      <c r="K28" s="93">
        <v>0</v>
      </c>
      <c r="L28" s="58">
        <v>0</v>
      </c>
      <c r="M28" s="240"/>
      <c r="N28" s="222"/>
      <c r="O28" s="87"/>
    </row>
    <row r="29" spans="1:15" ht="31.5" customHeight="1" x14ac:dyDescent="0.25">
      <c r="A29" s="258" t="s">
        <v>130</v>
      </c>
      <c r="B29" s="225" t="s">
        <v>126</v>
      </c>
      <c r="C29" s="72" t="s">
        <v>138</v>
      </c>
      <c r="D29" s="73">
        <f>D30+D32+D31</f>
        <v>5018488.5</v>
      </c>
      <c r="E29" s="73">
        <f>E30+E32+E31</f>
        <v>518540.79999999999</v>
      </c>
      <c r="F29" s="73">
        <f t="shared" ref="F29:L29" si="7">F30+F32+F31</f>
        <v>546595.69999999995</v>
      </c>
      <c r="G29" s="73">
        <f t="shared" si="7"/>
        <v>576520.6</v>
      </c>
      <c r="H29" s="73">
        <f t="shared" si="7"/>
        <v>630689.69999999995</v>
      </c>
      <c r="I29" s="164">
        <f>I30+I32+I31</f>
        <v>694029.89999999991</v>
      </c>
      <c r="J29" s="192">
        <f t="shared" si="7"/>
        <v>697633.1</v>
      </c>
      <c r="K29" s="164">
        <f t="shared" si="7"/>
        <v>677366.5</v>
      </c>
      <c r="L29" s="164">
        <f t="shared" si="7"/>
        <v>677112.20000000007</v>
      </c>
      <c r="M29" s="333"/>
      <c r="N29" s="313"/>
    </row>
    <row r="30" spans="1:15" ht="42" customHeight="1" x14ac:dyDescent="0.25">
      <c r="A30" s="258"/>
      <c r="B30" s="225"/>
      <c r="C30" s="61" t="s">
        <v>139</v>
      </c>
      <c r="D30" s="52">
        <f>E30+F30+G30+H30+J30+I30+K30+L30</f>
        <v>954269.4</v>
      </c>
      <c r="E30" s="52">
        <f>E33</f>
        <v>101958.40000000001</v>
      </c>
      <c r="F30" s="52">
        <f>F33</f>
        <v>103663.7</v>
      </c>
      <c r="G30" s="52">
        <v>100519.6</v>
      </c>
      <c r="H30" s="52">
        <f>H33+H40</f>
        <v>127133.7</v>
      </c>
      <c r="I30" s="131">
        <f>I33+I40</f>
        <v>136661.1</v>
      </c>
      <c r="J30" s="193">
        <f>J33+J40+J45</f>
        <v>132063.1</v>
      </c>
      <c r="K30" s="131">
        <f t="shared" ref="K30:L30" si="8">K33+K40+K45</f>
        <v>126147</v>
      </c>
      <c r="L30" s="131">
        <f t="shared" si="8"/>
        <v>126122.8</v>
      </c>
      <c r="M30" s="333"/>
      <c r="N30" s="313"/>
    </row>
    <row r="31" spans="1:15" ht="42" customHeight="1" x14ac:dyDescent="0.25">
      <c r="A31" s="258"/>
      <c r="B31" s="225"/>
      <c r="C31" s="104" t="s">
        <v>238</v>
      </c>
      <c r="D31" s="52">
        <f>E31+F31+G31+H31+I31+J31+K31+L31</f>
        <v>209747.5</v>
      </c>
      <c r="E31" s="52">
        <f t="shared" ref="E31:G31" si="9">E36</f>
        <v>0</v>
      </c>
      <c r="F31" s="52">
        <f t="shared" si="9"/>
        <v>0</v>
      </c>
      <c r="G31" s="52">
        <f t="shared" si="9"/>
        <v>0</v>
      </c>
      <c r="H31" s="52">
        <v>39138.1</v>
      </c>
      <c r="I31" s="131">
        <f>I36+I41</f>
        <v>41036.699999999997</v>
      </c>
      <c r="J31" s="193">
        <f>J36+J41</f>
        <v>42991.1</v>
      </c>
      <c r="K31" s="131">
        <f t="shared" ref="K31:L31" si="10">K36+K41</f>
        <v>43290.8</v>
      </c>
      <c r="L31" s="131">
        <f t="shared" si="10"/>
        <v>43290.8</v>
      </c>
      <c r="M31" s="333"/>
      <c r="N31" s="313"/>
    </row>
    <row r="32" spans="1:15" ht="48.75" customHeight="1" x14ac:dyDescent="0.25">
      <c r="A32" s="258"/>
      <c r="B32" s="225"/>
      <c r="C32" s="61" t="s">
        <v>140</v>
      </c>
      <c r="D32" s="52">
        <f>E32+F32+G32+H32+I32+J32+K32+L32</f>
        <v>3854471.6</v>
      </c>
      <c r="E32" s="52">
        <f>E34+E35+E36</f>
        <v>416582.39999999997</v>
      </c>
      <c r="F32" s="52">
        <f>F34+F35+F36</f>
        <v>442932</v>
      </c>
      <c r="G32" s="52">
        <f t="shared" ref="G32:H32" si="11">G34+G35+G39</f>
        <v>476001</v>
      </c>
      <c r="H32" s="52">
        <f t="shared" si="11"/>
        <v>464417.89999999997</v>
      </c>
      <c r="I32" s="131">
        <f>I34+I35+I39+I42</f>
        <v>516332.1</v>
      </c>
      <c r="J32" s="193">
        <f>J34+J35+J39+J44+J42</f>
        <v>522578.9</v>
      </c>
      <c r="K32" s="131">
        <f t="shared" ref="K32:L32" si="12">K34+K35+K39+K44+K42</f>
        <v>507928.7</v>
      </c>
      <c r="L32" s="131">
        <f t="shared" si="12"/>
        <v>507698.60000000003</v>
      </c>
      <c r="M32" s="333"/>
      <c r="N32" s="313"/>
    </row>
    <row r="33" spans="1:15" ht="51.75" customHeight="1" x14ac:dyDescent="0.25">
      <c r="A33" s="258" t="s">
        <v>131</v>
      </c>
      <c r="B33" s="225" t="s">
        <v>137</v>
      </c>
      <c r="C33" s="116" t="s">
        <v>139</v>
      </c>
      <c r="D33" s="52">
        <f>E33+F33+G33+H33+J33+I33+K33+L33</f>
        <v>949389.70000000007</v>
      </c>
      <c r="E33" s="52">
        <f>100523.3+561+608+129.2+39.6+200-60-42.7</f>
        <v>101958.40000000001</v>
      </c>
      <c r="F33" s="52">
        <f>106410.4-408.8-600.9-1187.3-673.5-1075.6-328.2+129.8+160-1686+89.5+959.3+1686+189</f>
        <v>103663.7</v>
      </c>
      <c r="G33" s="52">
        <v>100519.6</v>
      </c>
      <c r="H33" s="52">
        <f>112100.9+1958.1+6521.4+1709.8</f>
        <v>122290.2</v>
      </c>
      <c r="I33" s="131">
        <f>123563.5+358.1+1385+115+83.4+361+596.7+637.2+131.6+496.5+229.9+578.7+415.5+97+576.5+124.3+452.1+90+103.8+2830.3+206.6+435.5+168.3+244+600+1780.6</f>
        <v>136661.1</v>
      </c>
      <c r="J33" s="193">
        <f>126122.8+739.8+1900+1900+338.4+592.2+172.3+100.4+120+65.2</f>
        <v>132051.1</v>
      </c>
      <c r="K33" s="131">
        <v>126122.8</v>
      </c>
      <c r="L33" s="131">
        <v>126122.8</v>
      </c>
      <c r="M33" s="257" t="s">
        <v>287</v>
      </c>
      <c r="N33" s="225" t="s">
        <v>147</v>
      </c>
    </row>
    <row r="34" spans="1:15" ht="94.5" customHeight="1" x14ac:dyDescent="0.25">
      <c r="A34" s="258"/>
      <c r="B34" s="225"/>
      <c r="C34" s="116" t="s">
        <v>140</v>
      </c>
      <c r="D34" s="52">
        <f>E34+F34+G34+H34+J34+I34+K34+L34</f>
        <v>3810863.9</v>
      </c>
      <c r="E34" s="52">
        <v>412627.1</v>
      </c>
      <c r="F34" s="52">
        <f>427060.9+6416.1+5597.7</f>
        <v>439074.7</v>
      </c>
      <c r="G34" s="52">
        <f>456584+846+2103.1</f>
        <v>459533.1</v>
      </c>
      <c r="H34" s="52">
        <f>460954.8</f>
        <v>460954.8</v>
      </c>
      <c r="I34" s="131">
        <f>460954.8+8696.9+38491.2+4664.1</f>
        <v>512807</v>
      </c>
      <c r="J34" s="193">
        <v>518609.4</v>
      </c>
      <c r="K34" s="131">
        <v>503628.9</v>
      </c>
      <c r="L34" s="131">
        <v>503628.9</v>
      </c>
      <c r="M34" s="257"/>
      <c r="N34" s="225"/>
    </row>
    <row r="35" spans="1:15" ht="189" customHeight="1" x14ac:dyDescent="0.25">
      <c r="A35" s="46" t="s">
        <v>153</v>
      </c>
      <c r="B35" s="74" t="s">
        <v>142</v>
      </c>
      <c r="C35" s="116" t="s">
        <v>140</v>
      </c>
      <c r="D35" s="52">
        <f>E35+F35+G35+H35+J35+I35+K35+L35</f>
        <v>29315.799999999996</v>
      </c>
      <c r="E35" s="52">
        <f>2715.2+1240.1</f>
        <v>3955.2999999999997</v>
      </c>
      <c r="F35" s="52">
        <f>3722.3+135</f>
        <v>3857.3</v>
      </c>
      <c r="G35" s="52">
        <f>3721.9-300</f>
        <v>3421.9</v>
      </c>
      <c r="H35" s="52">
        <f>3586.1-230+107</f>
        <v>3463.1</v>
      </c>
      <c r="I35" s="131">
        <f>3546.8-90</f>
        <v>3456.8</v>
      </c>
      <c r="J35" s="193">
        <v>3575.5</v>
      </c>
      <c r="K35" s="131">
        <v>3718.6</v>
      </c>
      <c r="L35" s="131">
        <v>3867.3</v>
      </c>
      <c r="M35" s="116" t="s">
        <v>273</v>
      </c>
      <c r="N35" s="71" t="s">
        <v>147</v>
      </c>
    </row>
    <row r="36" spans="1:15" ht="40.5" customHeight="1" x14ac:dyDescent="0.25">
      <c r="A36" s="331" t="s">
        <v>221</v>
      </c>
      <c r="B36" s="221" t="s">
        <v>232</v>
      </c>
      <c r="C36" s="218" t="s">
        <v>238</v>
      </c>
      <c r="D36" s="241">
        <f>E36+F36+G36+H36+J36+I36+K36+L36</f>
        <v>193451</v>
      </c>
      <c r="E36" s="241">
        <v>0</v>
      </c>
      <c r="F36" s="241">
        <v>0</v>
      </c>
      <c r="G36" s="241">
        <v>0</v>
      </c>
      <c r="H36" s="241">
        <v>39138.1</v>
      </c>
      <c r="I36" s="337">
        <f>35779+2187.4+1432.1</f>
        <v>39398.5</v>
      </c>
      <c r="J36" s="326">
        <v>38044.400000000001</v>
      </c>
      <c r="K36" s="169">
        <v>38435</v>
      </c>
      <c r="L36" s="169">
        <v>38435</v>
      </c>
      <c r="M36" s="218" t="s">
        <v>288</v>
      </c>
      <c r="N36" s="234" t="s">
        <v>147</v>
      </c>
    </row>
    <row r="37" spans="1:15" ht="23.25" customHeight="1" x14ac:dyDescent="0.25">
      <c r="A37" s="332"/>
      <c r="B37" s="232"/>
      <c r="C37" s="232"/>
      <c r="D37" s="242"/>
      <c r="E37" s="242"/>
      <c r="F37" s="242"/>
      <c r="G37" s="242"/>
      <c r="H37" s="242"/>
      <c r="I37" s="338"/>
      <c r="J37" s="327"/>
      <c r="K37" s="170"/>
      <c r="L37" s="170"/>
      <c r="M37" s="232"/>
      <c r="N37" s="236"/>
    </row>
    <row r="38" spans="1:15" ht="22.5" hidden="1" customHeight="1" x14ac:dyDescent="0.25">
      <c r="A38" s="332"/>
      <c r="B38" s="232"/>
      <c r="C38" s="233"/>
      <c r="D38" s="243"/>
      <c r="E38" s="243"/>
      <c r="F38" s="243"/>
      <c r="G38" s="243"/>
      <c r="H38" s="243"/>
      <c r="I38" s="339"/>
      <c r="J38" s="328"/>
      <c r="K38" s="171"/>
      <c r="L38" s="170"/>
      <c r="M38" s="232"/>
      <c r="N38" s="236"/>
    </row>
    <row r="39" spans="1:15" ht="83.25" customHeight="1" x14ac:dyDescent="0.25">
      <c r="A39" s="267"/>
      <c r="B39" s="220"/>
      <c r="C39" s="113" t="s">
        <v>140</v>
      </c>
      <c r="D39" s="96">
        <f>E39+F39+G39+H39+I39+J39+K39+L39</f>
        <v>13046</v>
      </c>
      <c r="E39" s="96">
        <v>0</v>
      </c>
      <c r="F39" s="96">
        <v>0</v>
      </c>
      <c r="G39" s="96">
        <v>13046</v>
      </c>
      <c r="H39" s="96">
        <v>0</v>
      </c>
      <c r="I39" s="165">
        <v>0</v>
      </c>
      <c r="J39" s="194">
        <v>0</v>
      </c>
      <c r="K39" s="96">
        <v>0</v>
      </c>
      <c r="L39" s="159">
        <v>0</v>
      </c>
      <c r="M39" s="233"/>
      <c r="N39" s="240"/>
    </row>
    <row r="40" spans="1:15" ht="123" customHeight="1" x14ac:dyDescent="0.25">
      <c r="A40" s="107" t="s">
        <v>243</v>
      </c>
      <c r="B40" s="105" t="s">
        <v>244</v>
      </c>
      <c r="C40" s="113" t="s">
        <v>139</v>
      </c>
      <c r="D40" s="96">
        <f>E40+F40+G40+H40+I40+J40+K40+L40</f>
        <v>4843.5</v>
      </c>
      <c r="E40" s="96">
        <v>0</v>
      </c>
      <c r="F40" s="96">
        <v>0</v>
      </c>
      <c r="G40" s="96">
        <v>0</v>
      </c>
      <c r="H40" s="96">
        <f>4895.6-52.1</f>
        <v>4843.5</v>
      </c>
      <c r="I40" s="165">
        <v>0</v>
      </c>
      <c r="J40" s="194">
        <v>0</v>
      </c>
      <c r="K40" s="96">
        <v>0</v>
      </c>
      <c r="L40" s="159">
        <v>0</v>
      </c>
      <c r="M40" s="114" t="s">
        <v>289</v>
      </c>
      <c r="N40" s="106" t="s">
        <v>147</v>
      </c>
    </row>
    <row r="41" spans="1:15" ht="61.5" customHeight="1" x14ac:dyDescent="0.25">
      <c r="A41" s="312" t="s">
        <v>276</v>
      </c>
      <c r="B41" s="260" t="s">
        <v>277</v>
      </c>
      <c r="C41" s="162" t="s">
        <v>238</v>
      </c>
      <c r="D41" s="96">
        <f>E41+F41+G41+H41+I41+J41+K41+L41</f>
        <v>16296.5</v>
      </c>
      <c r="E41" s="96">
        <v>0</v>
      </c>
      <c r="F41" s="96">
        <v>0</v>
      </c>
      <c r="G41" s="96">
        <v>0</v>
      </c>
      <c r="H41" s="96">
        <v>0</v>
      </c>
      <c r="I41" s="165">
        <f>1638.2</f>
        <v>1638.2</v>
      </c>
      <c r="J41" s="194">
        <v>4946.7</v>
      </c>
      <c r="K41" s="165">
        <v>4855.8</v>
      </c>
      <c r="L41" s="172">
        <v>4855.8</v>
      </c>
      <c r="M41" s="260" t="s">
        <v>280</v>
      </c>
      <c r="N41" s="295" t="s">
        <v>147</v>
      </c>
    </row>
    <row r="42" spans="1:15" ht="87.75" customHeight="1" x14ac:dyDescent="0.25">
      <c r="A42" s="294"/>
      <c r="B42" s="220"/>
      <c r="C42" s="162" t="s">
        <v>140</v>
      </c>
      <c r="D42" s="96">
        <f>E42+F42+G42+H42+I42+J42+K42+L42</f>
        <v>679.6</v>
      </c>
      <c r="E42" s="96">
        <v>0</v>
      </c>
      <c r="F42" s="96">
        <v>0</v>
      </c>
      <c r="G42" s="96">
        <v>0</v>
      </c>
      <c r="H42" s="96">
        <v>0</v>
      </c>
      <c r="I42" s="165">
        <v>68.3</v>
      </c>
      <c r="J42" s="194">
        <v>206.5</v>
      </c>
      <c r="K42" s="165">
        <v>202.4</v>
      </c>
      <c r="L42" s="172">
        <v>202.4</v>
      </c>
      <c r="M42" s="220"/>
      <c r="N42" s="240"/>
    </row>
    <row r="43" spans="1:15" ht="45.75" customHeight="1" x14ac:dyDescent="0.25">
      <c r="A43" s="269" t="s">
        <v>278</v>
      </c>
      <c r="B43" s="347" t="s">
        <v>279</v>
      </c>
      <c r="C43" s="163" t="s">
        <v>138</v>
      </c>
      <c r="D43" s="96">
        <f>E43+F43+G43+H43+I43+J43+K43+L43</f>
        <v>602.5</v>
      </c>
      <c r="E43" s="96">
        <v>0</v>
      </c>
      <c r="F43" s="96">
        <v>0</v>
      </c>
      <c r="G43" s="96">
        <v>0</v>
      </c>
      <c r="H43" s="96">
        <v>0</v>
      </c>
      <c r="I43" s="165">
        <v>0</v>
      </c>
      <c r="J43" s="194">
        <f>J44+J45</f>
        <v>199.5</v>
      </c>
      <c r="K43" s="165">
        <f t="shared" ref="K43:L43" si="13">K44+K45</f>
        <v>403</v>
      </c>
      <c r="L43" s="165">
        <f t="shared" si="13"/>
        <v>0</v>
      </c>
      <c r="M43" s="350" t="s">
        <v>290</v>
      </c>
      <c r="N43" s="351" t="s">
        <v>147</v>
      </c>
    </row>
    <row r="44" spans="1:15" ht="42.75" customHeight="1" x14ac:dyDescent="0.25">
      <c r="A44" s="270"/>
      <c r="B44" s="348"/>
      <c r="C44" s="163" t="s">
        <v>140</v>
      </c>
      <c r="D44" s="96">
        <f t="shared" ref="D44:D45" si="14">E44+F44+G44+H44+I44+J44+K44+L44</f>
        <v>566.29999999999995</v>
      </c>
      <c r="E44" s="96">
        <v>0</v>
      </c>
      <c r="F44" s="96">
        <v>0</v>
      </c>
      <c r="G44" s="96">
        <v>0</v>
      </c>
      <c r="H44" s="96">
        <v>0</v>
      </c>
      <c r="I44" s="165">
        <v>0</v>
      </c>
      <c r="J44" s="194">
        <v>187.5</v>
      </c>
      <c r="K44" s="165">
        <v>378.8</v>
      </c>
      <c r="L44" s="172">
        <v>0</v>
      </c>
      <c r="M44" s="219"/>
      <c r="N44" s="352"/>
    </row>
    <row r="45" spans="1:15" ht="202.5" customHeight="1" x14ac:dyDescent="0.25">
      <c r="A45" s="271"/>
      <c r="B45" s="349"/>
      <c r="C45" s="163" t="s">
        <v>139</v>
      </c>
      <c r="D45" s="96">
        <f t="shared" si="14"/>
        <v>36.200000000000003</v>
      </c>
      <c r="E45" s="96">
        <v>0</v>
      </c>
      <c r="F45" s="96">
        <v>0</v>
      </c>
      <c r="G45" s="96">
        <v>0</v>
      </c>
      <c r="H45" s="96">
        <v>0</v>
      </c>
      <c r="I45" s="165">
        <v>0</v>
      </c>
      <c r="J45" s="194">
        <v>12</v>
      </c>
      <c r="K45" s="165">
        <v>24.2</v>
      </c>
      <c r="L45" s="172">
        <v>0</v>
      </c>
      <c r="M45" s="220"/>
      <c r="N45" s="353"/>
    </row>
    <row r="46" spans="1:15" ht="39" customHeight="1" x14ac:dyDescent="0.25">
      <c r="A46" s="340" t="s">
        <v>168</v>
      </c>
      <c r="B46" s="248" t="s">
        <v>179</v>
      </c>
      <c r="C46" s="75" t="s">
        <v>138</v>
      </c>
      <c r="D46" s="76">
        <f>D47+D48</f>
        <v>43898</v>
      </c>
      <c r="E46" s="76">
        <f t="shared" ref="E46:L46" si="15">E47+E48</f>
        <v>661.9</v>
      </c>
      <c r="F46" s="76">
        <f t="shared" si="15"/>
        <v>1421</v>
      </c>
      <c r="G46" s="76">
        <f t="shared" si="15"/>
        <v>395</v>
      </c>
      <c r="H46" s="76">
        <f>H47+H48</f>
        <v>32.299999999999997</v>
      </c>
      <c r="I46" s="134">
        <f>I47+I48</f>
        <v>41150.300000000003</v>
      </c>
      <c r="J46" s="195">
        <f t="shared" si="15"/>
        <v>237.5</v>
      </c>
      <c r="K46" s="76">
        <f t="shared" si="15"/>
        <v>0</v>
      </c>
      <c r="L46" s="76">
        <f t="shared" si="15"/>
        <v>0</v>
      </c>
      <c r="M46" s="274" t="s">
        <v>311</v>
      </c>
      <c r="N46" s="248" t="s">
        <v>148</v>
      </c>
    </row>
    <row r="47" spans="1:15" ht="47.25" customHeight="1" x14ac:dyDescent="0.25">
      <c r="A47" s="341"/>
      <c r="B47" s="227"/>
      <c r="C47" s="116" t="s">
        <v>139</v>
      </c>
      <c r="D47" s="52">
        <f>E47+F47+G47+H47+J47+I47+K47+L47</f>
        <v>6080.5</v>
      </c>
      <c r="E47" s="52">
        <f>700-38.1</f>
        <v>661.9</v>
      </c>
      <c r="F47" s="52">
        <f>921+F53+F55</f>
        <v>981</v>
      </c>
      <c r="G47" s="52">
        <f>G50+G53+G55+G56</f>
        <v>395</v>
      </c>
      <c r="H47" s="52">
        <f t="shared" ref="H47" si="16">H50+H53+H55+H56</f>
        <v>32.299999999999997</v>
      </c>
      <c r="I47" s="131">
        <f>I50+I53+I55+I56+I58</f>
        <v>3772.8</v>
      </c>
      <c r="J47" s="193">
        <f t="shared" ref="J47:K47" si="17">J50+J53+J55+J56+J58</f>
        <v>237.5</v>
      </c>
      <c r="K47" s="52">
        <f t="shared" si="17"/>
        <v>0</v>
      </c>
      <c r="L47" s="52">
        <v>0</v>
      </c>
      <c r="M47" s="285"/>
      <c r="N47" s="227"/>
      <c r="O47" s="88">
        <v>3</v>
      </c>
    </row>
    <row r="48" spans="1:15" ht="42.75" customHeight="1" x14ac:dyDescent="0.25">
      <c r="A48" s="341"/>
      <c r="B48" s="227"/>
      <c r="C48" s="117" t="s">
        <v>140</v>
      </c>
      <c r="D48" s="76">
        <f>E48+F48+G48+H48+J48+I48+K48+L48</f>
        <v>37817.5</v>
      </c>
      <c r="E48" s="76">
        <v>0</v>
      </c>
      <c r="F48" s="76">
        <f>0+F54</f>
        <v>440</v>
      </c>
      <c r="G48" s="76">
        <f>0+G51+G54</f>
        <v>0</v>
      </c>
      <c r="H48" s="76">
        <v>0</v>
      </c>
      <c r="I48" s="134">
        <f>I51+I54+I59</f>
        <v>37377.5</v>
      </c>
      <c r="J48" s="195">
        <f t="shared" ref="J48:K48" si="18">J51+J54+J59</f>
        <v>0</v>
      </c>
      <c r="K48" s="76">
        <f t="shared" si="18"/>
        <v>0</v>
      </c>
      <c r="L48" s="76">
        <v>0</v>
      </c>
      <c r="M48" s="285"/>
      <c r="N48" s="227"/>
    </row>
    <row r="49" spans="1:14" ht="32.25" customHeight="1" x14ac:dyDescent="0.25">
      <c r="A49" s="343" t="s">
        <v>191</v>
      </c>
      <c r="B49" s="260" t="s">
        <v>196</v>
      </c>
      <c r="C49" s="75" t="s">
        <v>138</v>
      </c>
      <c r="D49" s="76">
        <f t="shared" ref="D49:L49" si="19">D50+D51</f>
        <v>395</v>
      </c>
      <c r="E49" s="76">
        <f t="shared" si="19"/>
        <v>0</v>
      </c>
      <c r="F49" s="76">
        <f t="shared" si="19"/>
        <v>0</v>
      </c>
      <c r="G49" s="76">
        <f t="shared" si="19"/>
        <v>395</v>
      </c>
      <c r="H49" s="76">
        <f>H50+H51</f>
        <v>0</v>
      </c>
      <c r="I49" s="134">
        <f>I50+I51</f>
        <v>0</v>
      </c>
      <c r="J49" s="195">
        <f t="shared" si="19"/>
        <v>0</v>
      </c>
      <c r="K49" s="76">
        <f t="shared" si="19"/>
        <v>0</v>
      </c>
      <c r="L49" s="76">
        <f t="shared" si="19"/>
        <v>0</v>
      </c>
      <c r="M49" s="285"/>
      <c r="N49" s="227"/>
    </row>
    <row r="50" spans="1:14" ht="36.75" customHeight="1" x14ac:dyDescent="0.25">
      <c r="A50" s="344"/>
      <c r="B50" s="232"/>
      <c r="C50" s="116" t="s">
        <v>139</v>
      </c>
      <c r="D50" s="76">
        <f>E50+F50+G50+H50+J50+I50+K50+L50</f>
        <v>395</v>
      </c>
      <c r="E50" s="76">
        <v>0</v>
      </c>
      <c r="F50" s="76">
        <v>0</v>
      </c>
      <c r="G50" s="76">
        <f>1547.5+64.9+395+2-1614.4</f>
        <v>395</v>
      </c>
      <c r="H50" s="76">
        <v>0</v>
      </c>
      <c r="I50" s="134">
        <v>0</v>
      </c>
      <c r="J50" s="195">
        <v>0</v>
      </c>
      <c r="K50" s="76">
        <v>0</v>
      </c>
      <c r="L50" s="76">
        <v>0</v>
      </c>
      <c r="M50" s="285"/>
      <c r="N50" s="227"/>
    </row>
    <row r="51" spans="1:14" ht="47.25" customHeight="1" x14ac:dyDescent="0.25">
      <c r="A51" s="345"/>
      <c r="B51" s="233"/>
      <c r="C51" s="117" t="s">
        <v>140</v>
      </c>
      <c r="D51" s="76">
        <f>E51+F51+G51+H51+I51+J51+K51+L51</f>
        <v>0</v>
      </c>
      <c r="E51" s="76">
        <v>0</v>
      </c>
      <c r="F51" s="76">
        <v>0</v>
      </c>
      <c r="G51" s="76">
        <v>0</v>
      </c>
      <c r="H51" s="76">
        <v>0</v>
      </c>
      <c r="I51" s="134">
        <v>0</v>
      </c>
      <c r="J51" s="195">
        <v>0</v>
      </c>
      <c r="K51" s="76">
        <v>0</v>
      </c>
      <c r="L51" s="76">
        <v>0</v>
      </c>
      <c r="M51" s="285"/>
      <c r="N51" s="227"/>
    </row>
    <row r="52" spans="1:14" ht="31.5" customHeight="1" x14ac:dyDescent="0.25">
      <c r="A52" s="342" t="s">
        <v>193</v>
      </c>
      <c r="B52" s="248" t="s">
        <v>199</v>
      </c>
      <c r="C52" s="75" t="s">
        <v>138</v>
      </c>
      <c r="D52" s="76">
        <f t="shared" ref="D52:L52" si="20">D53+D54</f>
        <v>500</v>
      </c>
      <c r="E52" s="76">
        <f t="shared" si="20"/>
        <v>0</v>
      </c>
      <c r="F52" s="76">
        <f t="shared" si="20"/>
        <v>500</v>
      </c>
      <c r="G52" s="76">
        <f t="shared" si="20"/>
        <v>0</v>
      </c>
      <c r="H52" s="76">
        <f t="shared" si="20"/>
        <v>0</v>
      </c>
      <c r="I52" s="134">
        <f t="shared" si="20"/>
        <v>0</v>
      </c>
      <c r="J52" s="195">
        <f t="shared" si="20"/>
        <v>0</v>
      </c>
      <c r="K52" s="76">
        <f t="shared" si="20"/>
        <v>0</v>
      </c>
      <c r="L52" s="76">
        <f t="shared" si="20"/>
        <v>0</v>
      </c>
      <c r="M52" s="336"/>
      <c r="N52" s="226"/>
    </row>
    <row r="53" spans="1:14" ht="40.5" customHeight="1" x14ac:dyDescent="0.25">
      <c r="A53" s="342"/>
      <c r="B53" s="248"/>
      <c r="C53" s="116" t="s">
        <v>139</v>
      </c>
      <c r="D53" s="76">
        <f>E53+F53+G53+H53+J53+I53+K53+L53</f>
        <v>60</v>
      </c>
      <c r="E53" s="76">
        <v>0</v>
      </c>
      <c r="F53" s="76">
        <v>60</v>
      </c>
      <c r="G53" s="76">
        <f>3459-3459</f>
        <v>0</v>
      </c>
      <c r="H53" s="76">
        <v>0</v>
      </c>
      <c r="I53" s="134">
        <v>0</v>
      </c>
      <c r="J53" s="195">
        <v>0</v>
      </c>
      <c r="K53" s="76">
        <v>0</v>
      </c>
      <c r="L53" s="76">
        <v>0</v>
      </c>
      <c r="M53" s="336"/>
      <c r="N53" s="226"/>
    </row>
    <row r="54" spans="1:14" ht="221.25" customHeight="1" x14ac:dyDescent="0.25">
      <c r="A54" s="342"/>
      <c r="B54" s="248"/>
      <c r="C54" s="117" t="s">
        <v>140</v>
      </c>
      <c r="D54" s="76">
        <f>E54+F54+G54+H54+J54+I54+K54+L54</f>
        <v>440</v>
      </c>
      <c r="E54" s="76">
        <v>0</v>
      </c>
      <c r="F54" s="76">
        <v>440</v>
      </c>
      <c r="G54" s="76">
        <f>25365.3-25365.3</f>
        <v>0</v>
      </c>
      <c r="H54" s="76">
        <v>0</v>
      </c>
      <c r="I54" s="134">
        <v>0</v>
      </c>
      <c r="J54" s="195">
        <v>0</v>
      </c>
      <c r="K54" s="76">
        <v>0</v>
      </c>
      <c r="L54" s="76">
        <v>0</v>
      </c>
      <c r="M54" s="336"/>
      <c r="N54" s="226"/>
    </row>
    <row r="55" spans="1:14" ht="88.5" customHeight="1" x14ac:dyDescent="0.25">
      <c r="A55" s="48" t="s">
        <v>186</v>
      </c>
      <c r="B55" s="62" t="s">
        <v>182</v>
      </c>
      <c r="C55" s="117" t="s">
        <v>139</v>
      </c>
      <c r="D55" s="76">
        <f>E55+F55+G55+H55+J55+I55+K55+L55</f>
        <v>0</v>
      </c>
      <c r="E55" s="76">
        <v>0</v>
      </c>
      <c r="F55" s="76">
        <f>31.5-31.5</f>
        <v>0</v>
      </c>
      <c r="G55" s="76">
        <f>38.5+31.5-70</f>
        <v>0</v>
      </c>
      <c r="H55" s="77">
        <v>0</v>
      </c>
      <c r="I55" s="182">
        <v>0</v>
      </c>
      <c r="J55" s="196">
        <v>0</v>
      </c>
      <c r="K55" s="76">
        <v>0</v>
      </c>
      <c r="L55" s="77">
        <v>0</v>
      </c>
      <c r="M55" s="119" t="s">
        <v>291</v>
      </c>
      <c r="N55" s="260" t="s">
        <v>148</v>
      </c>
    </row>
    <row r="56" spans="1:14" ht="84" customHeight="1" x14ac:dyDescent="0.25">
      <c r="A56" s="48" t="s">
        <v>192</v>
      </c>
      <c r="B56" s="62" t="s">
        <v>187</v>
      </c>
      <c r="C56" s="117" t="s">
        <v>139</v>
      </c>
      <c r="D56" s="76">
        <f>E56+F56+G56+H56+J56+I56+K56+L56</f>
        <v>953.3</v>
      </c>
      <c r="E56" s="76">
        <v>0</v>
      </c>
      <c r="F56" s="76">
        <v>921</v>
      </c>
      <c r="G56" s="76">
        <v>0</v>
      </c>
      <c r="H56" s="76">
        <v>32.299999999999997</v>
      </c>
      <c r="I56" s="134">
        <v>0</v>
      </c>
      <c r="J56" s="195">
        <v>0</v>
      </c>
      <c r="K56" s="76">
        <v>0</v>
      </c>
      <c r="L56" s="76">
        <v>0</v>
      </c>
      <c r="M56" s="118"/>
      <c r="N56" s="233"/>
    </row>
    <row r="57" spans="1:14" ht="45.75" customHeight="1" x14ac:dyDescent="0.25">
      <c r="A57" s="346" t="s">
        <v>254</v>
      </c>
      <c r="B57" s="260" t="s">
        <v>261</v>
      </c>
      <c r="C57" s="75" t="s">
        <v>138</v>
      </c>
      <c r="D57" s="76">
        <f>E57+F57+G57+H57+I57+J57+K57+L57</f>
        <v>41387.800000000003</v>
      </c>
      <c r="E57" s="76">
        <f>E58+E59</f>
        <v>0</v>
      </c>
      <c r="F57" s="76">
        <f t="shared" ref="F57:L57" si="21">F58+F59</f>
        <v>0</v>
      </c>
      <c r="G57" s="76">
        <f t="shared" si="21"/>
        <v>0</v>
      </c>
      <c r="H57" s="76">
        <f t="shared" si="21"/>
        <v>0</v>
      </c>
      <c r="I57" s="134">
        <f t="shared" si="21"/>
        <v>41150.300000000003</v>
      </c>
      <c r="J57" s="195">
        <f t="shared" si="21"/>
        <v>237.5</v>
      </c>
      <c r="K57" s="76">
        <f t="shared" si="21"/>
        <v>0</v>
      </c>
      <c r="L57" s="76">
        <f t="shared" si="21"/>
        <v>0</v>
      </c>
      <c r="M57" s="129"/>
      <c r="N57" s="124"/>
    </row>
    <row r="58" spans="1:14" ht="51" customHeight="1" x14ac:dyDescent="0.25">
      <c r="A58" s="219"/>
      <c r="B58" s="219"/>
      <c r="C58" s="128" t="s">
        <v>139</v>
      </c>
      <c r="D58" s="76">
        <f>E58+F58+G58+H58+I58+J58+K58+L58</f>
        <v>4010.3</v>
      </c>
      <c r="E58" s="76">
        <v>0</v>
      </c>
      <c r="F58" s="76">
        <v>0</v>
      </c>
      <c r="G58" s="76">
        <v>0</v>
      </c>
      <c r="H58" s="76">
        <v>0</v>
      </c>
      <c r="I58" s="134">
        <f>6294.3+274.2-2795.7</f>
        <v>3772.8</v>
      </c>
      <c r="J58" s="195">
        <v>237.5</v>
      </c>
      <c r="K58" s="76">
        <v>0</v>
      </c>
      <c r="L58" s="76">
        <v>0</v>
      </c>
      <c r="M58" s="129"/>
      <c r="N58" s="124"/>
    </row>
    <row r="59" spans="1:14" ht="79.5" customHeight="1" x14ac:dyDescent="0.25">
      <c r="A59" s="220"/>
      <c r="B59" s="220"/>
      <c r="C59" s="127" t="s">
        <v>140</v>
      </c>
      <c r="D59" s="76">
        <f>E59+F59+G59+H59+I59+J59+K59+L59</f>
        <v>37377.5</v>
      </c>
      <c r="E59" s="76">
        <v>0</v>
      </c>
      <c r="F59" s="76">
        <v>0</v>
      </c>
      <c r="G59" s="76">
        <v>0</v>
      </c>
      <c r="H59" s="76">
        <v>0</v>
      </c>
      <c r="I59" s="134">
        <f>34356.9+3020.6</f>
        <v>37377.5</v>
      </c>
      <c r="J59" s="195">
        <v>0</v>
      </c>
      <c r="K59" s="76">
        <v>0</v>
      </c>
      <c r="L59" s="76">
        <v>0</v>
      </c>
      <c r="M59" s="129"/>
      <c r="N59" s="124"/>
    </row>
    <row r="60" spans="1:14" s="211" customFormat="1" ht="33.75" customHeight="1" x14ac:dyDescent="0.25">
      <c r="A60" s="212" t="s">
        <v>119</v>
      </c>
      <c r="B60" s="213" t="s">
        <v>116</v>
      </c>
      <c r="C60" s="249" t="s">
        <v>118</v>
      </c>
      <c r="D60" s="249"/>
      <c r="E60" s="249"/>
      <c r="F60" s="249"/>
      <c r="G60" s="249"/>
      <c r="H60" s="249"/>
      <c r="I60" s="249"/>
      <c r="J60" s="249"/>
      <c r="K60" s="249"/>
      <c r="L60" s="249"/>
      <c r="M60" s="249"/>
      <c r="N60" s="214"/>
    </row>
    <row r="61" spans="1:14" ht="29.25" customHeight="1" x14ac:dyDescent="0.3">
      <c r="A61" s="101" t="s">
        <v>119</v>
      </c>
      <c r="B61" s="100" t="s">
        <v>237</v>
      </c>
      <c r="C61" s="335" t="s">
        <v>118</v>
      </c>
      <c r="D61" s="335"/>
      <c r="E61" s="335"/>
      <c r="F61" s="335"/>
      <c r="G61" s="335"/>
      <c r="H61" s="335"/>
      <c r="I61" s="335"/>
      <c r="J61" s="335"/>
      <c r="K61" s="335"/>
      <c r="L61" s="335"/>
      <c r="M61" s="335"/>
      <c r="N61" s="78"/>
    </row>
    <row r="62" spans="1:14" ht="30" customHeight="1" x14ac:dyDescent="0.25">
      <c r="A62" s="258" t="s">
        <v>154</v>
      </c>
      <c r="B62" s="222" t="s">
        <v>170</v>
      </c>
      <c r="C62" s="116" t="s">
        <v>138</v>
      </c>
      <c r="D62" s="52">
        <f t="shared" ref="D62:L62" si="22">D63+D64</f>
        <v>6296.5</v>
      </c>
      <c r="E62" s="52">
        <f t="shared" si="22"/>
        <v>0</v>
      </c>
      <c r="F62" s="52">
        <f t="shared" si="22"/>
        <v>6296.5</v>
      </c>
      <c r="G62" s="52">
        <f t="shared" si="22"/>
        <v>0</v>
      </c>
      <c r="H62" s="52">
        <f t="shared" si="22"/>
        <v>0</v>
      </c>
      <c r="I62" s="131">
        <f t="shared" si="22"/>
        <v>0</v>
      </c>
      <c r="J62" s="193">
        <f t="shared" si="22"/>
        <v>0</v>
      </c>
      <c r="K62" s="52">
        <f t="shared" si="22"/>
        <v>0</v>
      </c>
      <c r="L62" s="52">
        <f t="shared" si="22"/>
        <v>0</v>
      </c>
      <c r="M62" s="360" t="s">
        <v>292</v>
      </c>
      <c r="N62" s="234" t="s">
        <v>149</v>
      </c>
    </row>
    <row r="63" spans="1:14" ht="46.5" customHeight="1" x14ac:dyDescent="0.25">
      <c r="A63" s="258"/>
      <c r="B63" s="222"/>
      <c r="C63" s="116" t="s">
        <v>139</v>
      </c>
      <c r="D63" s="52">
        <f>E63+F63+G63+H63+J63+I63+K63+L63</f>
        <v>3463.1</v>
      </c>
      <c r="E63" s="52">
        <v>0</v>
      </c>
      <c r="F63" s="52">
        <f>3463.1-147.5+147.5</f>
        <v>3463.1</v>
      </c>
      <c r="G63" s="52">
        <v>0</v>
      </c>
      <c r="H63" s="79">
        <v>0</v>
      </c>
      <c r="I63" s="183">
        <v>0</v>
      </c>
      <c r="J63" s="193">
        <v>0</v>
      </c>
      <c r="K63" s="52">
        <v>0</v>
      </c>
      <c r="L63" s="52">
        <v>0</v>
      </c>
      <c r="M63" s="361"/>
      <c r="N63" s="235"/>
    </row>
    <row r="64" spans="1:14" ht="94.5" customHeight="1" x14ac:dyDescent="0.25">
      <c r="A64" s="258"/>
      <c r="B64" s="222"/>
      <c r="C64" s="116" t="s">
        <v>140</v>
      </c>
      <c r="D64" s="52">
        <f>E64+F64+G64+H64+J64+I64+K64+L64</f>
        <v>2833.4</v>
      </c>
      <c r="E64" s="52">
        <v>0</v>
      </c>
      <c r="F64" s="52">
        <f>2833.4-120.5+120.5</f>
        <v>2833.4</v>
      </c>
      <c r="G64" s="52">
        <v>0</v>
      </c>
      <c r="H64" s="52">
        <v>0</v>
      </c>
      <c r="I64" s="131">
        <v>0</v>
      </c>
      <c r="J64" s="197">
        <v>0</v>
      </c>
      <c r="K64" s="79">
        <v>0</v>
      </c>
      <c r="L64" s="52">
        <v>0</v>
      </c>
      <c r="M64" s="361"/>
      <c r="N64" s="235"/>
    </row>
    <row r="65" spans="1:15" ht="34.5" customHeight="1" x14ac:dyDescent="0.25">
      <c r="A65" s="258" t="s">
        <v>132</v>
      </c>
      <c r="B65" s="225" t="s">
        <v>242</v>
      </c>
      <c r="C65" s="116" t="s">
        <v>138</v>
      </c>
      <c r="D65" s="52">
        <f t="shared" ref="D65:L65" si="23">D66+D67</f>
        <v>0</v>
      </c>
      <c r="E65" s="52">
        <f t="shared" si="23"/>
        <v>0</v>
      </c>
      <c r="F65" s="52">
        <f t="shared" si="23"/>
        <v>0</v>
      </c>
      <c r="G65" s="52">
        <f t="shared" si="23"/>
        <v>0</v>
      </c>
      <c r="H65" s="52">
        <f t="shared" si="23"/>
        <v>0</v>
      </c>
      <c r="I65" s="131">
        <f t="shared" si="23"/>
        <v>0</v>
      </c>
      <c r="J65" s="193">
        <f t="shared" si="23"/>
        <v>0</v>
      </c>
      <c r="K65" s="52">
        <f t="shared" si="23"/>
        <v>0</v>
      </c>
      <c r="L65" s="52">
        <f t="shared" si="23"/>
        <v>0</v>
      </c>
      <c r="M65" s="334" t="s">
        <v>293</v>
      </c>
      <c r="N65" s="298" t="s">
        <v>149</v>
      </c>
    </row>
    <row r="66" spans="1:15" ht="42" customHeight="1" x14ac:dyDescent="0.25">
      <c r="A66" s="259"/>
      <c r="B66" s="227"/>
      <c r="C66" s="116" t="s">
        <v>139</v>
      </c>
      <c r="D66" s="52">
        <f>E66+F66+G66</f>
        <v>0</v>
      </c>
      <c r="E66" s="52">
        <v>0</v>
      </c>
      <c r="F66" s="52">
        <v>0</v>
      </c>
      <c r="G66" s="52">
        <v>0</v>
      </c>
      <c r="H66" s="52">
        <v>0</v>
      </c>
      <c r="I66" s="131">
        <v>0</v>
      </c>
      <c r="J66" s="193">
        <v>0</v>
      </c>
      <c r="K66" s="52">
        <v>0</v>
      </c>
      <c r="L66" s="52">
        <v>0</v>
      </c>
      <c r="M66" s="285"/>
      <c r="N66" s="299"/>
    </row>
    <row r="67" spans="1:15" ht="72.75" customHeight="1" x14ac:dyDescent="0.25">
      <c r="A67" s="259"/>
      <c r="B67" s="227"/>
      <c r="C67" s="116" t="s">
        <v>140</v>
      </c>
      <c r="D67" s="52">
        <f>E67+F67+G67</f>
        <v>0</v>
      </c>
      <c r="E67" s="52">
        <v>0</v>
      </c>
      <c r="F67" s="52">
        <v>0</v>
      </c>
      <c r="G67" s="52">
        <v>0</v>
      </c>
      <c r="H67" s="52">
        <v>0</v>
      </c>
      <c r="I67" s="131">
        <v>0</v>
      </c>
      <c r="J67" s="193">
        <v>0</v>
      </c>
      <c r="K67" s="52">
        <v>0</v>
      </c>
      <c r="L67" s="52">
        <v>0</v>
      </c>
      <c r="M67" s="285"/>
      <c r="N67" s="299"/>
      <c r="O67" s="89">
        <v>4</v>
      </c>
    </row>
    <row r="68" spans="1:15" ht="35.25" customHeight="1" x14ac:dyDescent="0.25">
      <c r="A68" s="258" t="s">
        <v>155</v>
      </c>
      <c r="B68" s="225" t="s">
        <v>122</v>
      </c>
      <c r="C68" s="116" t="s">
        <v>138</v>
      </c>
      <c r="D68" s="52">
        <f>D69+D70</f>
        <v>28729.399999999998</v>
      </c>
      <c r="E68" s="52">
        <f>E69+E70</f>
        <v>1668.4</v>
      </c>
      <c r="F68" s="52">
        <f>F70</f>
        <v>3148.1</v>
      </c>
      <c r="G68" s="52">
        <f t="shared" ref="G68:L68" si="24">G69+G70</f>
        <v>6227.9</v>
      </c>
      <c r="H68" s="52">
        <f t="shared" si="24"/>
        <v>3652.2</v>
      </c>
      <c r="I68" s="131">
        <f t="shared" si="24"/>
        <v>4158.1000000000004</v>
      </c>
      <c r="J68" s="193">
        <f t="shared" si="24"/>
        <v>3268.5</v>
      </c>
      <c r="K68" s="131">
        <f t="shared" si="24"/>
        <v>3288.9</v>
      </c>
      <c r="L68" s="131">
        <f t="shared" si="24"/>
        <v>3317.3</v>
      </c>
      <c r="M68" s="257" t="s">
        <v>241</v>
      </c>
      <c r="N68" s="325" t="s">
        <v>229</v>
      </c>
    </row>
    <row r="69" spans="1:15" ht="40.5" customHeight="1" x14ac:dyDescent="0.25">
      <c r="A69" s="258"/>
      <c r="B69" s="225"/>
      <c r="C69" s="116" t="s">
        <v>139</v>
      </c>
      <c r="D69" s="52">
        <f>E69+F69+G69+H69+J69+I69+K69+L69</f>
        <v>0</v>
      </c>
      <c r="E69" s="52">
        <v>0</v>
      </c>
      <c r="F69" s="52">
        <v>0</v>
      </c>
      <c r="G69" s="52">
        <v>0</v>
      </c>
      <c r="H69" s="52">
        <v>0</v>
      </c>
      <c r="I69" s="131">
        <v>0</v>
      </c>
      <c r="J69" s="193">
        <v>0</v>
      </c>
      <c r="K69" s="131">
        <v>0</v>
      </c>
      <c r="L69" s="131">
        <v>0</v>
      </c>
      <c r="M69" s="257"/>
      <c r="N69" s="325"/>
    </row>
    <row r="70" spans="1:15" ht="174.75" customHeight="1" x14ac:dyDescent="0.25">
      <c r="A70" s="258"/>
      <c r="B70" s="225"/>
      <c r="C70" s="116" t="s">
        <v>140</v>
      </c>
      <c r="D70" s="52">
        <f>E70+F70+G70+H70+J70+I70+K70+L70</f>
        <v>28729.399999999998</v>
      </c>
      <c r="E70" s="52">
        <v>1668.4</v>
      </c>
      <c r="F70" s="52">
        <f>3041.7+106.4</f>
        <v>3148.1</v>
      </c>
      <c r="G70" s="52">
        <f>5979.4+248.5</f>
        <v>6227.9</v>
      </c>
      <c r="H70" s="52">
        <v>3652.2</v>
      </c>
      <c r="I70" s="131">
        <f>3802+356.1</f>
        <v>4158.1000000000004</v>
      </c>
      <c r="J70" s="193">
        <v>3268.5</v>
      </c>
      <c r="K70" s="131">
        <v>3288.9</v>
      </c>
      <c r="L70" s="131">
        <v>3317.3</v>
      </c>
      <c r="M70" s="257"/>
      <c r="N70" s="325"/>
    </row>
    <row r="71" spans="1:15" ht="33" customHeight="1" x14ac:dyDescent="0.25">
      <c r="A71" s="258" t="s">
        <v>156</v>
      </c>
      <c r="B71" s="225" t="s">
        <v>169</v>
      </c>
      <c r="C71" s="116" t="s">
        <v>138</v>
      </c>
      <c r="D71" s="52">
        <f>D72+D73+D77</f>
        <v>38564</v>
      </c>
      <c r="E71" s="52">
        <f>E72+E73</f>
        <v>12000</v>
      </c>
      <c r="F71" s="52">
        <f>F72+F73+F77</f>
        <v>15914</v>
      </c>
      <c r="G71" s="52">
        <f t="shared" ref="G71:L71" si="25">G72+G73</f>
        <v>7100</v>
      </c>
      <c r="H71" s="52">
        <f t="shared" si="25"/>
        <v>3550</v>
      </c>
      <c r="I71" s="131">
        <f t="shared" si="25"/>
        <v>0</v>
      </c>
      <c r="J71" s="193">
        <f t="shared" si="25"/>
        <v>0</v>
      </c>
      <c r="K71" s="52">
        <f t="shared" si="25"/>
        <v>0</v>
      </c>
      <c r="L71" s="52">
        <f t="shared" si="25"/>
        <v>0</v>
      </c>
      <c r="M71" s="257" t="s">
        <v>294</v>
      </c>
      <c r="N71" s="221" t="s">
        <v>147</v>
      </c>
    </row>
    <row r="72" spans="1:15" ht="53.25" customHeight="1" x14ac:dyDescent="0.25">
      <c r="A72" s="259"/>
      <c r="B72" s="227"/>
      <c r="C72" s="116" t="s">
        <v>139</v>
      </c>
      <c r="D72" s="52">
        <f t="shared" ref="D72:D80" si="26">E72+F72+G72+H72+J72+I72+K72+L72</f>
        <v>15681.5</v>
      </c>
      <c r="E72" s="80">
        <v>6600</v>
      </c>
      <c r="F72" s="80">
        <f>6545+1897.5</f>
        <v>8442.5</v>
      </c>
      <c r="G72" s="80">
        <v>426</v>
      </c>
      <c r="H72" s="80">
        <f>H77+H79</f>
        <v>213</v>
      </c>
      <c r="I72" s="135">
        <f>I77+I79</f>
        <v>0</v>
      </c>
      <c r="J72" s="198">
        <f>J77+J79</f>
        <v>0</v>
      </c>
      <c r="K72" s="80">
        <v>0</v>
      </c>
      <c r="L72" s="80">
        <v>0</v>
      </c>
      <c r="M72" s="283"/>
      <c r="N72" s="282"/>
    </row>
    <row r="73" spans="1:15" ht="47.25" customHeight="1" x14ac:dyDescent="0.25">
      <c r="A73" s="259"/>
      <c r="B73" s="227"/>
      <c r="C73" s="116" t="s">
        <v>140</v>
      </c>
      <c r="D73" s="52">
        <f t="shared" si="26"/>
        <v>22318.5</v>
      </c>
      <c r="E73" s="80">
        <v>5400</v>
      </c>
      <c r="F73" s="80">
        <f>5355+1552.5</f>
        <v>6907.5</v>
      </c>
      <c r="G73" s="80">
        <v>6674</v>
      </c>
      <c r="H73" s="80">
        <f>H80</f>
        <v>3337</v>
      </c>
      <c r="I73" s="135">
        <v>0</v>
      </c>
      <c r="J73" s="198">
        <f>J80</f>
        <v>0</v>
      </c>
      <c r="K73" s="80">
        <v>0</v>
      </c>
      <c r="L73" s="80">
        <v>0</v>
      </c>
      <c r="M73" s="283"/>
      <c r="N73" s="282"/>
    </row>
    <row r="74" spans="1:15" ht="30.75" customHeight="1" x14ac:dyDescent="0.25">
      <c r="A74" s="329" t="s">
        <v>173</v>
      </c>
      <c r="B74" s="260" t="s">
        <v>207</v>
      </c>
      <c r="C74" s="116" t="s">
        <v>138</v>
      </c>
      <c r="D74" s="52">
        <f t="shared" si="26"/>
        <v>27350</v>
      </c>
      <c r="E74" s="80">
        <f t="shared" ref="E74:L74" si="27">E75+E76</f>
        <v>12000</v>
      </c>
      <c r="F74" s="80">
        <f t="shared" si="27"/>
        <v>15350</v>
      </c>
      <c r="G74" s="80">
        <f t="shared" si="27"/>
        <v>0</v>
      </c>
      <c r="H74" s="80">
        <f t="shared" si="27"/>
        <v>0</v>
      </c>
      <c r="I74" s="135">
        <f t="shared" si="27"/>
        <v>0</v>
      </c>
      <c r="J74" s="198">
        <f t="shared" si="27"/>
        <v>0</v>
      </c>
      <c r="K74" s="80">
        <f t="shared" si="27"/>
        <v>0</v>
      </c>
      <c r="L74" s="80">
        <f t="shared" si="27"/>
        <v>0</v>
      </c>
      <c r="M74" s="283"/>
      <c r="N74" s="282"/>
    </row>
    <row r="75" spans="1:15" ht="44.25" customHeight="1" x14ac:dyDescent="0.25">
      <c r="A75" s="330"/>
      <c r="B75" s="277"/>
      <c r="C75" s="116" t="s">
        <v>139</v>
      </c>
      <c r="D75" s="52">
        <f t="shared" si="26"/>
        <v>15042.5</v>
      </c>
      <c r="E75" s="80">
        <v>6600</v>
      </c>
      <c r="F75" s="80">
        <v>8442.5</v>
      </c>
      <c r="G75" s="80">
        <v>0</v>
      </c>
      <c r="H75" s="80">
        <v>0</v>
      </c>
      <c r="I75" s="135">
        <v>0</v>
      </c>
      <c r="J75" s="198">
        <v>0</v>
      </c>
      <c r="K75" s="80">
        <v>0</v>
      </c>
      <c r="L75" s="80">
        <v>0</v>
      </c>
      <c r="M75" s="283"/>
      <c r="N75" s="282"/>
    </row>
    <row r="76" spans="1:15" ht="41.25" customHeight="1" x14ac:dyDescent="0.25">
      <c r="A76" s="330"/>
      <c r="B76" s="277"/>
      <c r="C76" s="116" t="s">
        <v>140</v>
      </c>
      <c r="D76" s="52">
        <f t="shared" si="26"/>
        <v>12307.5</v>
      </c>
      <c r="E76" s="80">
        <v>5400</v>
      </c>
      <c r="F76" s="80">
        <v>6907.5</v>
      </c>
      <c r="G76" s="80">
        <v>0</v>
      </c>
      <c r="H76" s="80">
        <v>0</v>
      </c>
      <c r="I76" s="135">
        <v>0</v>
      </c>
      <c r="J76" s="198">
        <v>0</v>
      </c>
      <c r="K76" s="80">
        <v>0</v>
      </c>
      <c r="L76" s="80">
        <v>0</v>
      </c>
      <c r="M76" s="283"/>
      <c r="N76" s="282"/>
    </row>
    <row r="77" spans="1:15" ht="87.75" customHeight="1" x14ac:dyDescent="0.25">
      <c r="A77" s="50" t="s">
        <v>189</v>
      </c>
      <c r="B77" s="62" t="s">
        <v>172</v>
      </c>
      <c r="C77" s="116" t="s">
        <v>139</v>
      </c>
      <c r="D77" s="52">
        <f t="shared" si="26"/>
        <v>564</v>
      </c>
      <c r="E77" s="80">
        <v>0</v>
      </c>
      <c r="F77" s="80">
        <v>564</v>
      </c>
      <c r="G77" s="80">
        <v>0</v>
      </c>
      <c r="H77" s="80">
        <v>0</v>
      </c>
      <c r="I77" s="135">
        <v>0</v>
      </c>
      <c r="J77" s="198">
        <v>0</v>
      </c>
      <c r="K77" s="80">
        <v>0</v>
      </c>
      <c r="L77" s="80">
        <v>0</v>
      </c>
      <c r="M77" s="284"/>
      <c r="N77" s="232"/>
    </row>
    <row r="78" spans="1:15" ht="38.25" customHeight="1" x14ac:dyDescent="0.25">
      <c r="A78" s="314" t="s">
        <v>206</v>
      </c>
      <c r="B78" s="260" t="s">
        <v>204</v>
      </c>
      <c r="C78" s="116" t="s">
        <v>138</v>
      </c>
      <c r="D78" s="52">
        <f t="shared" si="26"/>
        <v>10650</v>
      </c>
      <c r="E78" s="52">
        <f t="shared" ref="E78:L78" si="28">E79+E80</f>
        <v>0</v>
      </c>
      <c r="F78" s="52">
        <f t="shared" si="28"/>
        <v>0</v>
      </c>
      <c r="G78" s="52">
        <f t="shared" si="28"/>
        <v>7100</v>
      </c>
      <c r="H78" s="52">
        <f t="shared" si="28"/>
        <v>3550</v>
      </c>
      <c r="I78" s="131">
        <f t="shared" si="28"/>
        <v>0</v>
      </c>
      <c r="J78" s="193">
        <f t="shared" si="28"/>
        <v>0</v>
      </c>
      <c r="K78" s="52">
        <f t="shared" si="28"/>
        <v>0</v>
      </c>
      <c r="L78" s="52">
        <f t="shared" si="28"/>
        <v>0</v>
      </c>
      <c r="M78" s="263" t="s">
        <v>295</v>
      </c>
      <c r="N78" s="232"/>
    </row>
    <row r="79" spans="1:15" ht="45.75" customHeight="1" x14ac:dyDescent="0.25">
      <c r="A79" s="315"/>
      <c r="B79" s="261"/>
      <c r="C79" s="116" t="s">
        <v>139</v>
      </c>
      <c r="D79" s="52">
        <f t="shared" si="26"/>
        <v>639</v>
      </c>
      <c r="E79" s="80">
        <v>0</v>
      </c>
      <c r="F79" s="80">
        <v>0</v>
      </c>
      <c r="G79" s="80">
        <v>426</v>
      </c>
      <c r="H79" s="80">
        <v>213</v>
      </c>
      <c r="I79" s="135">
        <v>0</v>
      </c>
      <c r="J79" s="198">
        <v>0</v>
      </c>
      <c r="K79" s="80">
        <v>0</v>
      </c>
      <c r="L79" s="160">
        <v>0</v>
      </c>
      <c r="M79" s="264"/>
      <c r="N79" s="232"/>
    </row>
    <row r="80" spans="1:15" ht="126.75" customHeight="1" x14ac:dyDescent="0.25">
      <c r="A80" s="316"/>
      <c r="B80" s="262"/>
      <c r="C80" s="116" t="s">
        <v>140</v>
      </c>
      <c r="D80" s="52">
        <f t="shared" si="26"/>
        <v>10011</v>
      </c>
      <c r="E80" s="80">
        <v>0</v>
      </c>
      <c r="F80" s="80">
        <v>0</v>
      </c>
      <c r="G80" s="80">
        <v>6674</v>
      </c>
      <c r="H80" s="81">
        <v>3337</v>
      </c>
      <c r="I80" s="138">
        <v>0</v>
      </c>
      <c r="J80" s="199">
        <v>0</v>
      </c>
      <c r="K80" s="81">
        <v>0</v>
      </c>
      <c r="L80" s="80">
        <v>0</v>
      </c>
      <c r="M80" s="265"/>
      <c r="N80" s="233"/>
    </row>
    <row r="81" spans="1:15" ht="33.75" customHeight="1" x14ac:dyDescent="0.25">
      <c r="A81" s="252" t="s">
        <v>133</v>
      </c>
      <c r="B81" s="225" t="s">
        <v>185</v>
      </c>
      <c r="C81" s="116" t="s">
        <v>138</v>
      </c>
      <c r="D81" s="52">
        <f>D82+D83</f>
        <v>142778.5</v>
      </c>
      <c r="E81" s="52">
        <f t="shared" ref="E81:L81" si="29">E82+E83</f>
        <v>4511.6000000000004</v>
      </c>
      <c r="F81" s="52">
        <f t="shared" si="29"/>
        <v>15933.3</v>
      </c>
      <c r="G81" s="52">
        <f>G82+G83</f>
        <v>28685.199999999997</v>
      </c>
      <c r="H81" s="52">
        <f>H82+H83</f>
        <v>28871.7</v>
      </c>
      <c r="I81" s="131">
        <f t="shared" si="29"/>
        <v>50744.2</v>
      </c>
      <c r="J81" s="193">
        <f t="shared" si="29"/>
        <v>9826.4000000000015</v>
      </c>
      <c r="K81" s="52">
        <f t="shared" si="29"/>
        <v>0</v>
      </c>
      <c r="L81" s="52">
        <f t="shared" si="29"/>
        <v>4206.1000000000004</v>
      </c>
      <c r="M81" s="218" t="s">
        <v>312</v>
      </c>
      <c r="N81" s="234" t="s">
        <v>147</v>
      </c>
      <c r="O81" s="89">
        <v>5</v>
      </c>
    </row>
    <row r="82" spans="1:15" ht="44.25" customHeight="1" x14ac:dyDescent="0.25">
      <c r="A82" s="252"/>
      <c r="B82" s="225"/>
      <c r="C82" s="116" t="s">
        <v>139</v>
      </c>
      <c r="D82" s="52">
        <f>E82+F82+G82+H82+J82+I82+K82+L82</f>
        <v>40758.899999999994</v>
      </c>
      <c r="E82" s="52">
        <f>1848.2+373.4</f>
        <v>2221.6</v>
      </c>
      <c r="F82" s="52">
        <f>2000+F85-2000+18.6+439.3+21</f>
        <v>2111.8000000000002</v>
      </c>
      <c r="G82" s="52">
        <f>G85+G91+G93</f>
        <v>6006.6</v>
      </c>
      <c r="H82" s="52">
        <f>H85+H91+H93+H88</f>
        <v>5689.2999999999993</v>
      </c>
      <c r="I82" s="131">
        <f t="shared" ref="I82:L82" si="30">I85+I91+I93+I88</f>
        <v>19754.999999999996</v>
      </c>
      <c r="J82" s="193">
        <f t="shared" si="30"/>
        <v>4469.8</v>
      </c>
      <c r="K82" s="52">
        <f t="shared" si="30"/>
        <v>0</v>
      </c>
      <c r="L82" s="52">
        <f t="shared" si="30"/>
        <v>504.8</v>
      </c>
      <c r="M82" s="228"/>
      <c r="N82" s="235"/>
    </row>
    <row r="83" spans="1:15" ht="49.5" customHeight="1" x14ac:dyDescent="0.25">
      <c r="A83" s="252"/>
      <c r="B83" s="225"/>
      <c r="C83" s="116" t="s">
        <v>140</v>
      </c>
      <c r="D83" s="52">
        <f>E83+F83+G83+H83+J83+I83+K83+L83</f>
        <v>102019.6</v>
      </c>
      <c r="E83" s="52">
        <f>300+370+130+1490</f>
        <v>2290</v>
      </c>
      <c r="F83" s="52">
        <f>360+F86+1500</f>
        <v>13821.5</v>
      </c>
      <c r="G83" s="52">
        <f>G86+G92</f>
        <v>22678.6</v>
      </c>
      <c r="H83" s="52">
        <f>H86+H92+H89</f>
        <v>23182.400000000001</v>
      </c>
      <c r="I83" s="131">
        <f>I86+I92+I89</f>
        <v>30989.200000000001</v>
      </c>
      <c r="J83" s="193">
        <f t="shared" ref="J83:K83" si="31">J86+J92+J89</f>
        <v>5356.6</v>
      </c>
      <c r="K83" s="52">
        <f t="shared" si="31"/>
        <v>0</v>
      </c>
      <c r="L83" s="52">
        <f>L86+L92+L89</f>
        <v>3701.3</v>
      </c>
      <c r="M83" s="228"/>
      <c r="N83" s="235"/>
    </row>
    <row r="84" spans="1:15" ht="36" customHeight="1" x14ac:dyDescent="0.25">
      <c r="A84" s="289" t="s">
        <v>171</v>
      </c>
      <c r="B84" s="225" t="s">
        <v>200</v>
      </c>
      <c r="C84" s="116" t="s">
        <v>138</v>
      </c>
      <c r="D84" s="52">
        <f>D85+D86</f>
        <v>72335.900000000009</v>
      </c>
      <c r="E84" s="52">
        <v>0</v>
      </c>
      <c r="F84" s="52">
        <f t="shared" ref="F84:L84" si="32">F85+F86</f>
        <v>13594.4</v>
      </c>
      <c r="G84" s="52">
        <f t="shared" si="32"/>
        <v>24464.399999999998</v>
      </c>
      <c r="H84" s="52">
        <f t="shared" si="32"/>
        <v>8466.9</v>
      </c>
      <c r="I84" s="131">
        <f t="shared" si="32"/>
        <v>18238.599999999999</v>
      </c>
      <c r="J84" s="193">
        <f t="shared" si="32"/>
        <v>3365.5</v>
      </c>
      <c r="K84" s="131">
        <f t="shared" si="32"/>
        <v>0</v>
      </c>
      <c r="L84" s="131">
        <f t="shared" si="32"/>
        <v>4206.1000000000004</v>
      </c>
      <c r="M84" s="229"/>
      <c r="N84" s="236"/>
    </row>
    <row r="85" spans="1:15" ht="84" customHeight="1" x14ac:dyDescent="0.25">
      <c r="A85" s="290"/>
      <c r="B85" s="225"/>
      <c r="C85" s="116" t="s">
        <v>139</v>
      </c>
      <c r="D85" s="52">
        <f>E85+F85+G85+H85+J85+I85+K85+L85</f>
        <v>8682.2000000000007</v>
      </c>
      <c r="E85" s="52">
        <v>0</v>
      </c>
      <c r="F85" s="52">
        <f>1187.3+212+328.2-21-73.6</f>
        <v>1632.9</v>
      </c>
      <c r="G85" s="52">
        <f>2769-397.4+564.2</f>
        <v>2935.8</v>
      </c>
      <c r="H85" s="52">
        <f>1016.1+497.7-497.7</f>
        <v>1016.0999999999999</v>
      </c>
      <c r="I85" s="131">
        <v>2188.6999999999998</v>
      </c>
      <c r="J85" s="193">
        <v>403.9</v>
      </c>
      <c r="K85" s="131">
        <v>0</v>
      </c>
      <c r="L85" s="131">
        <v>504.8</v>
      </c>
      <c r="M85" s="229"/>
      <c r="N85" s="236"/>
    </row>
    <row r="86" spans="1:15" ht="85.5" customHeight="1" x14ac:dyDescent="0.25">
      <c r="A86" s="291"/>
      <c r="B86" s="225"/>
      <c r="C86" s="116" t="s">
        <v>140</v>
      </c>
      <c r="D86" s="52">
        <f>E86+F86+G86+H86+J86+I86+K86+L86</f>
        <v>63653.700000000004</v>
      </c>
      <c r="E86" s="52">
        <v>0</v>
      </c>
      <c r="F86" s="52">
        <f>8707.3+1554.7+2238.9-539.4</f>
        <v>11961.5</v>
      </c>
      <c r="G86" s="52">
        <f>20305.8-2914.4+4137.2</f>
        <v>21528.6</v>
      </c>
      <c r="H86" s="52">
        <v>7450.8</v>
      </c>
      <c r="I86" s="131">
        <v>16049.9</v>
      </c>
      <c r="J86" s="193">
        <v>2961.6</v>
      </c>
      <c r="K86" s="131">
        <v>0</v>
      </c>
      <c r="L86" s="131">
        <v>3701.3</v>
      </c>
      <c r="M86" s="229"/>
      <c r="N86" s="236"/>
    </row>
    <row r="87" spans="1:15" ht="54.75" customHeight="1" x14ac:dyDescent="0.25">
      <c r="A87" s="289" t="s">
        <v>177</v>
      </c>
      <c r="B87" s="225" t="s">
        <v>234</v>
      </c>
      <c r="C87" s="116" t="s">
        <v>138</v>
      </c>
      <c r="D87" s="52">
        <f>D88+D89</f>
        <v>29220.800000000003</v>
      </c>
      <c r="E87" s="52">
        <f t="shared" ref="E87:L87" si="33">E88+E89</f>
        <v>0</v>
      </c>
      <c r="F87" s="52">
        <f t="shared" si="33"/>
        <v>0</v>
      </c>
      <c r="G87" s="52">
        <f t="shared" si="33"/>
        <v>0</v>
      </c>
      <c r="H87" s="52">
        <f t="shared" si="33"/>
        <v>14354.1</v>
      </c>
      <c r="I87" s="131">
        <f t="shared" si="33"/>
        <v>14866.699999999999</v>
      </c>
      <c r="J87" s="193">
        <f t="shared" si="33"/>
        <v>0</v>
      </c>
      <c r="K87" s="52">
        <f t="shared" si="33"/>
        <v>0</v>
      </c>
      <c r="L87" s="52">
        <f t="shared" si="33"/>
        <v>0</v>
      </c>
      <c r="M87" s="229"/>
      <c r="N87" s="236"/>
    </row>
    <row r="88" spans="1:15" ht="51.75" customHeight="1" x14ac:dyDescent="0.25">
      <c r="A88" s="293"/>
      <c r="B88" s="225"/>
      <c r="C88" s="116" t="s">
        <v>139</v>
      </c>
      <c r="D88" s="52">
        <f>E88+F88+G88+H88+I88+J88+K88+L88</f>
        <v>4249.8999999999996</v>
      </c>
      <c r="E88" s="52">
        <v>0</v>
      </c>
      <c r="F88" s="52">
        <v>0</v>
      </c>
      <c r="G88" s="52">
        <v>0</v>
      </c>
      <c r="H88" s="52">
        <v>1722.5</v>
      </c>
      <c r="I88" s="131">
        <v>2527.4</v>
      </c>
      <c r="J88" s="193">
        <v>0</v>
      </c>
      <c r="K88" s="52">
        <v>0</v>
      </c>
      <c r="L88" s="79">
        <v>0</v>
      </c>
      <c r="M88" s="229"/>
      <c r="N88" s="236"/>
    </row>
    <row r="89" spans="1:15" ht="81.75" customHeight="1" x14ac:dyDescent="0.25">
      <c r="A89" s="294"/>
      <c r="B89" s="225"/>
      <c r="C89" s="116" t="s">
        <v>140</v>
      </c>
      <c r="D89" s="52">
        <f>E89+F89+G89+H89+I89+J89+K89+L89</f>
        <v>24970.9</v>
      </c>
      <c r="E89" s="52">
        <v>0</v>
      </c>
      <c r="F89" s="52">
        <v>0</v>
      </c>
      <c r="G89" s="52">
        <v>0</v>
      </c>
      <c r="H89" s="52">
        <v>12631.6</v>
      </c>
      <c r="I89" s="131">
        <v>12339.3</v>
      </c>
      <c r="J89" s="193">
        <v>0</v>
      </c>
      <c r="K89" s="52">
        <v>0</v>
      </c>
      <c r="L89" s="52">
        <v>0</v>
      </c>
      <c r="M89" s="229"/>
      <c r="N89" s="236"/>
    </row>
    <row r="90" spans="1:15" ht="40.5" customHeight="1" x14ac:dyDescent="0.25">
      <c r="A90" s="319" t="s">
        <v>184</v>
      </c>
      <c r="B90" s="221" t="s">
        <v>209</v>
      </c>
      <c r="C90" s="116" t="s">
        <v>138</v>
      </c>
      <c r="D90" s="52">
        <f t="shared" ref="D90:L90" si="34">D91+D92</f>
        <v>11123.6</v>
      </c>
      <c r="E90" s="52">
        <f t="shared" si="34"/>
        <v>0</v>
      </c>
      <c r="F90" s="52">
        <f t="shared" si="34"/>
        <v>1878.6</v>
      </c>
      <c r="G90" s="52">
        <f t="shared" si="34"/>
        <v>1150</v>
      </c>
      <c r="H90" s="52">
        <f t="shared" si="34"/>
        <v>3100</v>
      </c>
      <c r="I90" s="131">
        <f t="shared" si="34"/>
        <v>2600</v>
      </c>
      <c r="J90" s="193">
        <f t="shared" si="34"/>
        <v>2395</v>
      </c>
      <c r="K90" s="52">
        <f t="shared" si="34"/>
        <v>0</v>
      </c>
      <c r="L90" s="52">
        <f t="shared" si="34"/>
        <v>0</v>
      </c>
      <c r="M90" s="229"/>
      <c r="N90" s="236"/>
    </row>
    <row r="91" spans="1:15" ht="58.5" customHeight="1" x14ac:dyDescent="0.25">
      <c r="A91" s="320"/>
      <c r="B91" s="272"/>
      <c r="C91" s="116" t="s">
        <v>139</v>
      </c>
      <c r="D91" s="52">
        <f>E91+F91+G91+H91+J91+I91+K91+L91</f>
        <v>18.600000000000001</v>
      </c>
      <c r="E91" s="52">
        <v>0</v>
      </c>
      <c r="F91" s="52">
        <v>18.600000000000001</v>
      </c>
      <c r="G91" s="52">
        <v>0</v>
      </c>
      <c r="H91" s="52">
        <v>0</v>
      </c>
      <c r="I91" s="131">
        <v>0</v>
      </c>
      <c r="J91" s="200">
        <v>0</v>
      </c>
      <c r="K91" s="79">
        <v>0</v>
      </c>
      <c r="L91" s="52">
        <v>0</v>
      </c>
      <c r="M91" s="229"/>
      <c r="N91" s="236"/>
    </row>
    <row r="92" spans="1:15" ht="48" customHeight="1" x14ac:dyDescent="0.25">
      <c r="A92" s="321"/>
      <c r="B92" s="273"/>
      <c r="C92" s="116" t="s">
        <v>140</v>
      </c>
      <c r="D92" s="52">
        <f>E92+F92+G92+H92+I92+J92+K92+L92</f>
        <v>11105</v>
      </c>
      <c r="E92" s="52">
        <v>0</v>
      </c>
      <c r="F92" s="52">
        <v>1860</v>
      </c>
      <c r="G92" s="52">
        <f>400+750</f>
        <v>1150</v>
      </c>
      <c r="H92" s="52">
        <v>3100</v>
      </c>
      <c r="I92" s="131">
        <v>2600</v>
      </c>
      <c r="J92" s="193">
        <v>2395</v>
      </c>
      <c r="K92" s="52">
        <v>0</v>
      </c>
      <c r="L92" s="52">
        <v>0</v>
      </c>
      <c r="M92" s="229"/>
      <c r="N92" s="236"/>
    </row>
    <row r="93" spans="1:15" ht="165" customHeight="1" x14ac:dyDescent="0.25">
      <c r="A93" s="51" t="s">
        <v>233</v>
      </c>
      <c r="B93" s="67" t="s">
        <v>274</v>
      </c>
      <c r="C93" s="116" t="s">
        <v>139</v>
      </c>
      <c r="D93" s="52">
        <f>E93+F93+G93+H93+J93+I93+K93+L93</f>
        <v>25586.6</v>
      </c>
      <c r="E93" s="52">
        <v>0</v>
      </c>
      <c r="F93" s="52">
        <v>460.3</v>
      </c>
      <c r="G93" s="52">
        <f>170+1800+541.5+559.3</f>
        <v>3070.8</v>
      </c>
      <c r="H93" s="52">
        <f>567.8+130+596-130+348+770-82+497.7+574.7-321.5</f>
        <v>2950.7</v>
      </c>
      <c r="I93" s="131">
        <f>4097.5-1392.5+10727.3+1538.6+327.3-400+1241.3+1205.2-1026-131.6-1934.5+1552.3+218.9-984.9</f>
        <v>15038.899999999996</v>
      </c>
      <c r="J93" s="197">
        <f>3004+1061.9</f>
        <v>4065.9</v>
      </c>
      <c r="K93" s="82">
        <v>0</v>
      </c>
      <c r="L93" s="82">
        <v>0</v>
      </c>
      <c r="M93" s="230"/>
      <c r="N93" s="237"/>
    </row>
    <row r="94" spans="1:15" ht="47.25" customHeight="1" x14ac:dyDescent="0.25">
      <c r="A94" s="258" t="s">
        <v>157</v>
      </c>
      <c r="B94" s="222" t="s">
        <v>134</v>
      </c>
      <c r="C94" s="115" t="s">
        <v>138</v>
      </c>
      <c r="D94" s="52">
        <f t="shared" ref="D94:L94" si="35">D95+D96</f>
        <v>120</v>
      </c>
      <c r="E94" s="52">
        <f t="shared" si="35"/>
        <v>20.399999999999999</v>
      </c>
      <c r="F94" s="52">
        <f t="shared" si="35"/>
        <v>0</v>
      </c>
      <c r="G94" s="52">
        <f t="shared" si="35"/>
        <v>99.6</v>
      </c>
      <c r="H94" s="52">
        <f>H95+H96</f>
        <v>0</v>
      </c>
      <c r="I94" s="131">
        <f t="shared" si="35"/>
        <v>0</v>
      </c>
      <c r="J94" s="193">
        <f t="shared" si="35"/>
        <v>0</v>
      </c>
      <c r="K94" s="52">
        <f t="shared" si="35"/>
        <v>0</v>
      </c>
      <c r="L94" s="52">
        <f t="shared" si="35"/>
        <v>0</v>
      </c>
      <c r="M94" s="257" t="s">
        <v>296</v>
      </c>
      <c r="N94" s="222" t="s">
        <v>146</v>
      </c>
    </row>
    <row r="95" spans="1:15" ht="55.5" customHeight="1" x14ac:dyDescent="0.25">
      <c r="A95" s="259"/>
      <c r="B95" s="222"/>
      <c r="C95" s="115" t="s">
        <v>139</v>
      </c>
      <c r="D95" s="52">
        <f>E95+F95+G95+H95+J95+I95+K95+L95</f>
        <v>120</v>
      </c>
      <c r="E95" s="52">
        <f>10.2+10.2</f>
        <v>20.399999999999999</v>
      </c>
      <c r="F95" s="52">
        <v>0</v>
      </c>
      <c r="G95" s="52">
        <v>99.6</v>
      </c>
      <c r="H95" s="52">
        <v>0</v>
      </c>
      <c r="I95" s="131">
        <v>0</v>
      </c>
      <c r="J95" s="193">
        <v>0</v>
      </c>
      <c r="K95" s="52">
        <v>0</v>
      </c>
      <c r="L95" s="52">
        <v>0</v>
      </c>
      <c r="M95" s="257"/>
      <c r="N95" s="222"/>
    </row>
    <row r="96" spans="1:15" ht="63.75" customHeight="1" x14ac:dyDescent="0.25">
      <c r="A96" s="259"/>
      <c r="B96" s="222"/>
      <c r="C96" s="115" t="s">
        <v>140</v>
      </c>
      <c r="D96" s="52">
        <f>E96+F96+G96+H96+J96+I96+K96</f>
        <v>0</v>
      </c>
      <c r="E96" s="52">
        <v>0</v>
      </c>
      <c r="F96" s="52">
        <v>0</v>
      </c>
      <c r="G96" s="52">
        <v>0</v>
      </c>
      <c r="H96" s="52">
        <v>0</v>
      </c>
      <c r="I96" s="131">
        <v>0</v>
      </c>
      <c r="J96" s="193">
        <v>0</v>
      </c>
      <c r="K96" s="52">
        <v>0</v>
      </c>
      <c r="L96" s="52">
        <v>0</v>
      </c>
      <c r="M96" s="257"/>
      <c r="N96" s="222"/>
    </row>
    <row r="97" spans="1:15" ht="51.75" customHeight="1" x14ac:dyDescent="0.25">
      <c r="A97" s="252" t="s">
        <v>158</v>
      </c>
      <c r="B97" s="225" t="s">
        <v>202</v>
      </c>
      <c r="C97" s="116" t="s">
        <v>138</v>
      </c>
      <c r="D97" s="52">
        <f t="shared" ref="D97:L97" si="36">D98+D99</f>
        <v>2102.1</v>
      </c>
      <c r="E97" s="52">
        <f t="shared" si="36"/>
        <v>1196.0999999999999</v>
      </c>
      <c r="F97" s="52">
        <f t="shared" si="36"/>
        <v>0</v>
      </c>
      <c r="G97" s="52">
        <f t="shared" si="36"/>
        <v>906</v>
      </c>
      <c r="H97" s="52">
        <f t="shared" si="36"/>
        <v>0</v>
      </c>
      <c r="I97" s="131">
        <f t="shared" si="36"/>
        <v>0</v>
      </c>
      <c r="J97" s="193">
        <f t="shared" si="36"/>
        <v>0</v>
      </c>
      <c r="K97" s="52">
        <f t="shared" si="36"/>
        <v>0</v>
      </c>
      <c r="L97" s="52">
        <f t="shared" si="36"/>
        <v>0</v>
      </c>
      <c r="M97" s="274" t="s">
        <v>297</v>
      </c>
      <c r="N97" s="225" t="s">
        <v>147</v>
      </c>
    </row>
    <row r="98" spans="1:15" ht="48.75" customHeight="1" x14ac:dyDescent="0.25">
      <c r="A98" s="318"/>
      <c r="B98" s="227"/>
      <c r="C98" s="116" t="s">
        <v>139</v>
      </c>
      <c r="D98" s="52">
        <f>E98+F98+G98+H98+J98+I98+K98+L98</f>
        <v>252.4</v>
      </c>
      <c r="E98" s="52">
        <v>143.6</v>
      </c>
      <c r="F98" s="52">
        <v>0</v>
      </c>
      <c r="G98" s="52">
        <f>137.3-28.5</f>
        <v>108.80000000000001</v>
      </c>
      <c r="H98" s="52">
        <v>0</v>
      </c>
      <c r="I98" s="131">
        <v>0</v>
      </c>
      <c r="J98" s="193">
        <v>0</v>
      </c>
      <c r="K98" s="52">
        <v>0</v>
      </c>
      <c r="L98" s="52">
        <v>0</v>
      </c>
      <c r="M98" s="285"/>
      <c r="N98" s="227"/>
    </row>
    <row r="99" spans="1:15" ht="86.25" customHeight="1" x14ac:dyDescent="0.25">
      <c r="A99" s="318"/>
      <c r="B99" s="227"/>
      <c r="C99" s="116" t="s">
        <v>140</v>
      </c>
      <c r="D99" s="52">
        <f>E99+F99+G99+H99+J99+I99+K99+L99</f>
        <v>1849.7</v>
      </c>
      <c r="E99" s="52">
        <v>1052.5</v>
      </c>
      <c r="F99" s="52">
        <v>0</v>
      </c>
      <c r="G99" s="52">
        <f>1006.5-209.3</f>
        <v>797.2</v>
      </c>
      <c r="H99" s="52">
        <v>0</v>
      </c>
      <c r="I99" s="131">
        <v>0</v>
      </c>
      <c r="J99" s="193">
        <v>0</v>
      </c>
      <c r="K99" s="52">
        <v>0</v>
      </c>
      <c r="L99" s="52">
        <v>0</v>
      </c>
      <c r="M99" s="285"/>
      <c r="N99" s="227"/>
      <c r="O99" s="89">
        <v>6</v>
      </c>
    </row>
    <row r="100" spans="1:15" ht="46.5" customHeight="1" x14ac:dyDescent="0.25">
      <c r="A100" s="317" t="s">
        <v>222</v>
      </c>
      <c r="B100" s="260" t="s">
        <v>223</v>
      </c>
      <c r="C100" s="116" t="s">
        <v>138</v>
      </c>
      <c r="D100" s="52">
        <f>D101+D102</f>
        <v>2780</v>
      </c>
      <c r="E100" s="52">
        <v>0</v>
      </c>
      <c r="F100" s="52">
        <v>0</v>
      </c>
      <c r="G100" s="52">
        <f>G101+G102</f>
        <v>2780</v>
      </c>
      <c r="H100" s="52">
        <f>H101+H102</f>
        <v>0</v>
      </c>
      <c r="I100" s="131">
        <f>I101+I102</f>
        <v>0</v>
      </c>
      <c r="J100" s="201">
        <v>0</v>
      </c>
      <c r="K100" s="143">
        <v>0</v>
      </c>
      <c r="L100" s="157">
        <v>0</v>
      </c>
      <c r="M100" s="276" t="s">
        <v>298</v>
      </c>
      <c r="N100" s="260" t="s">
        <v>147</v>
      </c>
    </row>
    <row r="101" spans="1:15" ht="45" customHeight="1" x14ac:dyDescent="0.25">
      <c r="A101" s="242"/>
      <c r="B101" s="277"/>
      <c r="C101" s="116" t="s">
        <v>139</v>
      </c>
      <c r="D101" s="52">
        <f>E101+F101+G101+H101+J101+I101+K101+L101</f>
        <v>5.0999999999999996</v>
      </c>
      <c r="E101" s="52">
        <v>0</v>
      </c>
      <c r="F101" s="52">
        <v>0</v>
      </c>
      <c r="G101" s="52">
        <v>5.0999999999999996</v>
      </c>
      <c r="H101" s="52">
        <v>0</v>
      </c>
      <c r="I101" s="131">
        <v>0</v>
      </c>
      <c r="J101" s="193">
        <v>0</v>
      </c>
      <c r="K101" s="52">
        <v>0</v>
      </c>
      <c r="L101" s="52">
        <v>0</v>
      </c>
      <c r="M101" s="277"/>
      <c r="N101" s="232"/>
    </row>
    <row r="102" spans="1:15" ht="249.75" customHeight="1" x14ac:dyDescent="0.25">
      <c r="A102" s="243"/>
      <c r="B102" s="278"/>
      <c r="C102" s="116" t="s">
        <v>140</v>
      </c>
      <c r="D102" s="52">
        <f>E102+F102+G102+H102+J102+I102+K102+L102</f>
        <v>2774.9</v>
      </c>
      <c r="E102" s="52">
        <v>0</v>
      </c>
      <c r="F102" s="52">
        <v>0</v>
      </c>
      <c r="G102" s="52">
        <v>2774.9</v>
      </c>
      <c r="H102" s="52">
        <v>0</v>
      </c>
      <c r="I102" s="131">
        <v>0</v>
      </c>
      <c r="J102" s="197">
        <v>0</v>
      </c>
      <c r="K102" s="82">
        <v>0</v>
      </c>
      <c r="L102" s="82">
        <v>0</v>
      </c>
      <c r="M102" s="278"/>
      <c r="N102" s="233"/>
    </row>
    <row r="103" spans="1:15" s="211" customFormat="1" ht="27.75" customHeight="1" x14ac:dyDescent="0.25">
      <c r="A103" s="215" t="s">
        <v>120</v>
      </c>
      <c r="B103" s="188" t="s">
        <v>116</v>
      </c>
      <c r="C103" s="322" t="s">
        <v>123</v>
      </c>
      <c r="D103" s="322"/>
      <c r="E103" s="322"/>
      <c r="F103" s="322"/>
      <c r="G103" s="322"/>
      <c r="H103" s="322"/>
      <c r="I103" s="322"/>
      <c r="J103" s="322"/>
      <c r="K103" s="322"/>
      <c r="L103" s="322"/>
      <c r="M103" s="322"/>
      <c r="N103" s="214"/>
    </row>
    <row r="104" spans="1:15" ht="30" customHeight="1" x14ac:dyDescent="0.25">
      <c r="A104" s="49" t="s">
        <v>120</v>
      </c>
      <c r="B104" s="53" t="s">
        <v>237</v>
      </c>
      <c r="C104" s="251" t="s">
        <v>123</v>
      </c>
      <c r="D104" s="251"/>
      <c r="E104" s="251"/>
      <c r="F104" s="251"/>
      <c r="G104" s="251"/>
      <c r="H104" s="251"/>
      <c r="I104" s="251"/>
      <c r="J104" s="251"/>
      <c r="K104" s="251"/>
      <c r="L104" s="251"/>
      <c r="M104" s="251"/>
      <c r="N104" s="74"/>
    </row>
    <row r="105" spans="1:15" ht="52.5" customHeight="1" x14ac:dyDescent="0.25">
      <c r="A105" s="252" t="s">
        <v>159</v>
      </c>
      <c r="B105" s="222" t="s">
        <v>201</v>
      </c>
      <c r="C105" s="116" t="s">
        <v>138</v>
      </c>
      <c r="D105" s="73">
        <f t="shared" ref="D105:L105" si="37">D106+D107</f>
        <v>5811.7</v>
      </c>
      <c r="E105" s="73">
        <f t="shared" si="37"/>
        <v>3000</v>
      </c>
      <c r="F105" s="73">
        <f t="shared" si="37"/>
        <v>0</v>
      </c>
      <c r="G105" s="73">
        <f t="shared" si="37"/>
        <v>2811.7000000000003</v>
      </c>
      <c r="H105" s="73">
        <f t="shared" si="37"/>
        <v>0</v>
      </c>
      <c r="I105" s="164">
        <f t="shared" si="37"/>
        <v>0</v>
      </c>
      <c r="J105" s="192">
        <f t="shared" si="37"/>
        <v>0</v>
      </c>
      <c r="K105" s="73">
        <f t="shared" si="37"/>
        <v>0</v>
      </c>
      <c r="L105" s="73">
        <f t="shared" si="37"/>
        <v>0</v>
      </c>
      <c r="M105" s="274" t="s">
        <v>299</v>
      </c>
      <c r="N105" s="225" t="s">
        <v>147</v>
      </c>
    </row>
    <row r="106" spans="1:15" ht="48.75" customHeight="1" x14ac:dyDescent="0.25">
      <c r="A106" s="252"/>
      <c r="B106" s="222"/>
      <c r="C106" s="116" t="s">
        <v>139</v>
      </c>
      <c r="D106" s="73">
        <f>E106+F106+G106+H106+J106+I106+K106+L106</f>
        <v>348.8</v>
      </c>
      <c r="E106" s="73">
        <v>180</v>
      </c>
      <c r="F106" s="73">
        <v>0</v>
      </c>
      <c r="G106" s="73">
        <v>168.8</v>
      </c>
      <c r="H106" s="73">
        <v>0</v>
      </c>
      <c r="I106" s="164">
        <v>0</v>
      </c>
      <c r="J106" s="192">
        <v>0</v>
      </c>
      <c r="K106" s="73">
        <v>0</v>
      </c>
      <c r="L106" s="73">
        <v>0</v>
      </c>
      <c r="M106" s="285"/>
      <c r="N106" s="227"/>
    </row>
    <row r="107" spans="1:15" ht="131.25" customHeight="1" x14ac:dyDescent="0.25">
      <c r="A107" s="252"/>
      <c r="B107" s="222"/>
      <c r="C107" s="116" t="s">
        <v>140</v>
      </c>
      <c r="D107" s="52">
        <f>E107+F107+G107+H107+J107+I107+K107+L107</f>
        <v>5462.9</v>
      </c>
      <c r="E107" s="52">
        <v>2820</v>
      </c>
      <c r="F107" s="52">
        <v>0</v>
      </c>
      <c r="G107" s="52">
        <v>2642.9</v>
      </c>
      <c r="H107" s="52">
        <v>0</v>
      </c>
      <c r="I107" s="131">
        <v>0</v>
      </c>
      <c r="J107" s="193">
        <v>0</v>
      </c>
      <c r="K107" s="52">
        <v>0</v>
      </c>
      <c r="L107" s="52">
        <v>0</v>
      </c>
      <c r="M107" s="285"/>
      <c r="N107" s="227"/>
    </row>
    <row r="108" spans="1:15" ht="210.75" customHeight="1" x14ac:dyDescent="0.25">
      <c r="A108" s="56" t="s">
        <v>160</v>
      </c>
      <c r="B108" s="66" t="s">
        <v>231</v>
      </c>
      <c r="C108" s="130" t="s">
        <v>139</v>
      </c>
      <c r="D108" s="131">
        <f>E108+F108+G108+H108+I108+J108+K108+L108</f>
        <v>8104.2000000000007</v>
      </c>
      <c r="E108" s="131">
        <v>0</v>
      </c>
      <c r="F108" s="131">
        <v>0</v>
      </c>
      <c r="G108" s="131">
        <v>500.1</v>
      </c>
      <c r="H108" s="52">
        <f>420+300+522.4+986.9+333.1</f>
        <v>2562.4</v>
      </c>
      <c r="I108" s="131">
        <f>300+1517+1043+1789.6-496.5+691.6+197</f>
        <v>5041.7000000000007</v>
      </c>
      <c r="J108" s="193">
        <v>0</v>
      </c>
      <c r="K108" s="52">
        <v>0</v>
      </c>
      <c r="L108" s="52">
        <v>0</v>
      </c>
      <c r="M108" s="117" t="s">
        <v>300</v>
      </c>
      <c r="N108" s="62" t="s">
        <v>147</v>
      </c>
    </row>
    <row r="109" spans="1:15" ht="27.75" customHeight="1" x14ac:dyDescent="0.25">
      <c r="A109" s="252" t="s">
        <v>161</v>
      </c>
      <c r="B109" s="222" t="s">
        <v>167</v>
      </c>
      <c r="C109" s="130" t="s">
        <v>138</v>
      </c>
      <c r="D109" s="131">
        <f>E109+F109+G109+H109+J109+I109+K109+L109</f>
        <v>499.4</v>
      </c>
      <c r="E109" s="131">
        <f t="shared" ref="E109:L109" si="38">E110+E111</f>
        <v>499.4</v>
      </c>
      <c r="F109" s="131">
        <f t="shared" si="38"/>
        <v>0</v>
      </c>
      <c r="G109" s="131">
        <f t="shared" si="38"/>
        <v>0</v>
      </c>
      <c r="H109" s="52">
        <f t="shared" si="38"/>
        <v>0</v>
      </c>
      <c r="I109" s="131">
        <f t="shared" si="38"/>
        <v>0</v>
      </c>
      <c r="J109" s="193">
        <f t="shared" si="38"/>
        <v>0</v>
      </c>
      <c r="K109" s="52">
        <f t="shared" si="38"/>
        <v>0</v>
      </c>
      <c r="L109" s="52">
        <f t="shared" si="38"/>
        <v>0</v>
      </c>
      <c r="M109" s="274" t="s">
        <v>301</v>
      </c>
      <c r="N109" s="248" t="s">
        <v>147</v>
      </c>
    </row>
    <row r="110" spans="1:15" ht="46.5" customHeight="1" x14ac:dyDescent="0.25">
      <c r="A110" s="292"/>
      <c r="B110" s="301"/>
      <c r="C110" s="130" t="s">
        <v>139</v>
      </c>
      <c r="D110" s="131">
        <f>E110+F110+G110+H110+J110+I110+K110+L110</f>
        <v>60</v>
      </c>
      <c r="E110" s="131">
        <v>60</v>
      </c>
      <c r="F110" s="131">
        <v>0</v>
      </c>
      <c r="G110" s="131">
        <v>0</v>
      </c>
      <c r="H110" s="52">
        <v>0</v>
      </c>
      <c r="I110" s="131">
        <v>0</v>
      </c>
      <c r="J110" s="193">
        <v>0</v>
      </c>
      <c r="K110" s="52">
        <v>0</v>
      </c>
      <c r="L110" s="52">
        <v>0</v>
      </c>
      <c r="M110" s="275"/>
      <c r="N110" s="356"/>
    </row>
    <row r="111" spans="1:15" ht="89.25" customHeight="1" x14ac:dyDescent="0.25">
      <c r="A111" s="292"/>
      <c r="B111" s="301"/>
      <c r="C111" s="130" t="s">
        <v>140</v>
      </c>
      <c r="D111" s="131">
        <f>E111+F111+G111+H111+J111+I111+K111+L111</f>
        <v>439.4</v>
      </c>
      <c r="E111" s="132">
        <v>439.4</v>
      </c>
      <c r="F111" s="131">
        <v>0</v>
      </c>
      <c r="G111" s="131">
        <v>0</v>
      </c>
      <c r="H111" s="52">
        <v>0</v>
      </c>
      <c r="I111" s="131">
        <v>0</v>
      </c>
      <c r="J111" s="193">
        <v>0</v>
      </c>
      <c r="K111" s="52">
        <v>0</v>
      </c>
      <c r="L111" s="52">
        <v>0</v>
      </c>
      <c r="M111" s="275"/>
      <c r="N111" s="356"/>
      <c r="O111" s="89">
        <v>7</v>
      </c>
    </row>
    <row r="112" spans="1:15" ht="54" customHeight="1" x14ac:dyDescent="0.25">
      <c r="A112" s="286" t="s">
        <v>162</v>
      </c>
      <c r="B112" s="295" t="s">
        <v>178</v>
      </c>
      <c r="C112" s="130" t="s">
        <v>138</v>
      </c>
      <c r="D112" s="133">
        <f>D113+D114</f>
        <v>32303.200000000001</v>
      </c>
      <c r="E112" s="134">
        <v>0</v>
      </c>
      <c r="F112" s="133">
        <f t="shared" ref="F112:L112" si="39">F113+F114</f>
        <v>24739.4</v>
      </c>
      <c r="G112" s="133">
        <f t="shared" si="39"/>
        <v>7563.7999999999993</v>
      </c>
      <c r="H112" s="70">
        <f t="shared" si="39"/>
        <v>0</v>
      </c>
      <c r="I112" s="133">
        <f t="shared" si="39"/>
        <v>0</v>
      </c>
      <c r="J112" s="202">
        <f t="shared" si="39"/>
        <v>0</v>
      </c>
      <c r="K112" s="148">
        <f t="shared" si="39"/>
        <v>0</v>
      </c>
      <c r="L112" s="148">
        <f t="shared" si="39"/>
        <v>0</v>
      </c>
      <c r="M112" s="279"/>
      <c r="N112" s="300"/>
    </row>
    <row r="113" spans="1:15" ht="52.5" customHeight="1" x14ac:dyDescent="0.25">
      <c r="A113" s="287"/>
      <c r="B113" s="296"/>
      <c r="C113" s="130" t="s">
        <v>139</v>
      </c>
      <c r="D113" s="133">
        <f>E113+F113+G113+H113+J113+I113+K113+L113</f>
        <v>1938.2999999999997</v>
      </c>
      <c r="E113" s="134">
        <v>0</v>
      </c>
      <c r="F113" s="133">
        <f>F119+F116</f>
        <v>1484.3999999999999</v>
      </c>
      <c r="G113" s="133">
        <v>453.9</v>
      </c>
      <c r="H113" s="70">
        <v>0</v>
      </c>
      <c r="I113" s="133">
        <v>0</v>
      </c>
      <c r="J113" s="203">
        <f>J116+J119</f>
        <v>0</v>
      </c>
      <c r="K113" s="70">
        <v>0</v>
      </c>
      <c r="L113" s="70">
        <v>0</v>
      </c>
      <c r="M113" s="280"/>
      <c r="N113" s="277"/>
    </row>
    <row r="114" spans="1:15" ht="60.75" customHeight="1" x14ac:dyDescent="0.25">
      <c r="A114" s="288"/>
      <c r="B114" s="297"/>
      <c r="C114" s="130" t="s">
        <v>140</v>
      </c>
      <c r="D114" s="133">
        <f>E114+F114+G114+H114+J114+I114+K114+L114</f>
        <v>30364.9</v>
      </c>
      <c r="E114" s="134">
        <v>0</v>
      </c>
      <c r="F114" s="133">
        <f>F120+F117</f>
        <v>23255</v>
      </c>
      <c r="G114" s="133">
        <v>7109.9</v>
      </c>
      <c r="H114" s="70">
        <v>0</v>
      </c>
      <c r="I114" s="133">
        <v>0</v>
      </c>
      <c r="J114" s="204">
        <f>J117+J120</f>
        <v>0</v>
      </c>
      <c r="K114" s="149">
        <v>0</v>
      </c>
      <c r="L114" s="70">
        <v>0</v>
      </c>
      <c r="M114" s="281"/>
      <c r="N114" s="278"/>
    </row>
    <row r="115" spans="1:15" ht="33.75" customHeight="1" x14ac:dyDescent="0.25">
      <c r="A115" s="223" t="s">
        <v>215</v>
      </c>
      <c r="B115" s="255" t="s">
        <v>205</v>
      </c>
      <c r="C115" s="130" t="s">
        <v>138</v>
      </c>
      <c r="D115" s="133">
        <f t="shared" ref="D115:L115" si="40">D116+D117</f>
        <v>6813.2</v>
      </c>
      <c r="E115" s="134">
        <f t="shared" si="40"/>
        <v>0</v>
      </c>
      <c r="F115" s="134">
        <f t="shared" si="40"/>
        <v>6813.2</v>
      </c>
      <c r="G115" s="134">
        <f t="shared" si="40"/>
        <v>0</v>
      </c>
      <c r="H115" s="76">
        <f t="shared" si="40"/>
        <v>0</v>
      </c>
      <c r="I115" s="134">
        <f t="shared" si="40"/>
        <v>0</v>
      </c>
      <c r="J115" s="195">
        <f t="shared" si="40"/>
        <v>0</v>
      </c>
      <c r="K115" s="76">
        <f t="shared" si="40"/>
        <v>0</v>
      </c>
      <c r="L115" s="76">
        <f t="shared" si="40"/>
        <v>0</v>
      </c>
      <c r="M115" s="274" t="s">
        <v>302</v>
      </c>
      <c r="N115" s="248" t="s">
        <v>147</v>
      </c>
    </row>
    <row r="116" spans="1:15" ht="40.5" customHeight="1" x14ac:dyDescent="0.25">
      <c r="A116" s="223"/>
      <c r="B116" s="255"/>
      <c r="C116" s="130" t="s">
        <v>139</v>
      </c>
      <c r="D116" s="133">
        <f>E116+F116+G116+H116+J116+I116+K116+L116</f>
        <v>408.8</v>
      </c>
      <c r="E116" s="134">
        <v>0</v>
      </c>
      <c r="F116" s="133">
        <v>408.8</v>
      </c>
      <c r="G116" s="133">
        <v>0</v>
      </c>
      <c r="H116" s="70">
        <v>0</v>
      </c>
      <c r="I116" s="133">
        <v>0</v>
      </c>
      <c r="J116" s="203">
        <v>0</v>
      </c>
      <c r="K116" s="70">
        <v>0</v>
      </c>
      <c r="L116" s="70">
        <v>0</v>
      </c>
      <c r="M116" s="275"/>
      <c r="N116" s="356"/>
    </row>
    <row r="117" spans="1:15" ht="236.25" customHeight="1" x14ac:dyDescent="0.25">
      <c r="A117" s="223"/>
      <c r="B117" s="255"/>
      <c r="C117" s="130" t="s">
        <v>140</v>
      </c>
      <c r="D117" s="133">
        <f>E117+F117+G117+H117+J117+I117+K117+L117</f>
        <v>6404.4</v>
      </c>
      <c r="E117" s="134">
        <v>0</v>
      </c>
      <c r="F117" s="133">
        <v>6404.4</v>
      </c>
      <c r="G117" s="133">
        <v>0</v>
      </c>
      <c r="H117" s="70">
        <v>0</v>
      </c>
      <c r="I117" s="133">
        <v>0</v>
      </c>
      <c r="J117" s="203">
        <v>0</v>
      </c>
      <c r="K117" s="70">
        <v>0</v>
      </c>
      <c r="L117" s="70">
        <v>0</v>
      </c>
      <c r="M117" s="275"/>
      <c r="N117" s="356"/>
    </row>
    <row r="118" spans="1:15" ht="60" customHeight="1" x14ac:dyDescent="0.25">
      <c r="A118" s="286" t="s">
        <v>216</v>
      </c>
      <c r="B118" s="255" t="s">
        <v>203</v>
      </c>
      <c r="C118" s="130" t="s">
        <v>138</v>
      </c>
      <c r="D118" s="133">
        <f t="shared" ref="D118:L118" si="41">D119+D120</f>
        <v>25490</v>
      </c>
      <c r="E118" s="134">
        <f t="shared" si="41"/>
        <v>0</v>
      </c>
      <c r="F118" s="133">
        <f t="shared" si="41"/>
        <v>17926.199999999997</v>
      </c>
      <c r="G118" s="133">
        <f t="shared" si="41"/>
        <v>7563.7999999999993</v>
      </c>
      <c r="H118" s="70">
        <f t="shared" si="41"/>
        <v>0</v>
      </c>
      <c r="I118" s="133">
        <f t="shared" si="41"/>
        <v>0</v>
      </c>
      <c r="J118" s="203">
        <f t="shared" si="41"/>
        <v>0</v>
      </c>
      <c r="K118" s="70">
        <f t="shared" si="41"/>
        <v>0</v>
      </c>
      <c r="L118" s="70">
        <f t="shared" si="41"/>
        <v>0</v>
      </c>
      <c r="M118" s="274" t="s">
        <v>303</v>
      </c>
      <c r="N118" s="248" t="s">
        <v>147</v>
      </c>
    </row>
    <row r="119" spans="1:15" ht="60.75" customHeight="1" x14ac:dyDescent="0.25">
      <c r="A119" s="287"/>
      <c r="B119" s="255"/>
      <c r="C119" s="130" t="s">
        <v>139</v>
      </c>
      <c r="D119" s="133">
        <f>E119+F119+G119+H119+I119+J119+K119+L119</f>
        <v>1529.5</v>
      </c>
      <c r="E119" s="134">
        <v>0</v>
      </c>
      <c r="F119" s="133">
        <v>1075.5999999999999</v>
      </c>
      <c r="G119" s="133">
        <v>453.9</v>
      </c>
      <c r="H119" s="70">
        <v>0</v>
      </c>
      <c r="I119" s="133">
        <v>0</v>
      </c>
      <c r="J119" s="203">
        <v>0</v>
      </c>
      <c r="K119" s="70">
        <v>0</v>
      </c>
      <c r="L119" s="70">
        <v>0</v>
      </c>
      <c r="M119" s="274"/>
      <c r="N119" s="248"/>
    </row>
    <row r="120" spans="1:15" ht="105.75" customHeight="1" x14ac:dyDescent="0.25">
      <c r="A120" s="288"/>
      <c r="B120" s="255"/>
      <c r="C120" s="130" t="s">
        <v>140</v>
      </c>
      <c r="D120" s="133">
        <f>E120+F120+G120+H120+I120+J120+K120+L120</f>
        <v>23960.5</v>
      </c>
      <c r="E120" s="134">
        <v>0</v>
      </c>
      <c r="F120" s="133">
        <v>16850.599999999999</v>
      </c>
      <c r="G120" s="133">
        <v>7109.9</v>
      </c>
      <c r="H120" s="70">
        <v>0</v>
      </c>
      <c r="I120" s="133">
        <v>0</v>
      </c>
      <c r="J120" s="203">
        <v>0</v>
      </c>
      <c r="K120" s="70">
        <v>0</v>
      </c>
      <c r="L120" s="70">
        <v>0</v>
      </c>
      <c r="M120" s="274"/>
      <c r="N120" s="248"/>
    </row>
    <row r="121" spans="1:15" ht="141.75" x14ac:dyDescent="0.25">
      <c r="A121" s="55" t="s">
        <v>194</v>
      </c>
      <c r="B121" s="59" t="s">
        <v>210</v>
      </c>
      <c r="C121" s="130" t="s">
        <v>211</v>
      </c>
      <c r="D121" s="133">
        <f>E121+F121+G121+H121+J121+I121+K121+L121</f>
        <v>28739.5</v>
      </c>
      <c r="E121" s="134">
        <v>0</v>
      </c>
      <c r="F121" s="133">
        <v>0</v>
      </c>
      <c r="G121" s="133">
        <v>11295.9</v>
      </c>
      <c r="H121" s="70">
        <v>0</v>
      </c>
      <c r="I121" s="133">
        <v>17443.599999999999</v>
      </c>
      <c r="J121" s="203">
        <v>0</v>
      </c>
      <c r="K121" s="70">
        <v>0</v>
      </c>
      <c r="L121" s="70">
        <v>0</v>
      </c>
      <c r="M121" s="117" t="s">
        <v>304</v>
      </c>
      <c r="N121" s="62" t="s">
        <v>147</v>
      </c>
    </row>
    <row r="122" spans="1:15" ht="209.25" customHeight="1" x14ac:dyDescent="0.25">
      <c r="A122" s="46" t="s">
        <v>217</v>
      </c>
      <c r="B122" s="74" t="s">
        <v>141</v>
      </c>
      <c r="C122" s="130" t="s">
        <v>139</v>
      </c>
      <c r="D122" s="133">
        <f>E122+F122+G122+H122+J122+I122+K122+L122</f>
        <v>39172.22</v>
      </c>
      <c r="E122" s="135">
        <f>6900+1000</f>
        <v>7900</v>
      </c>
      <c r="F122" s="135">
        <f>6900+1100</f>
        <v>8000</v>
      </c>
      <c r="G122" s="135">
        <f>6900-1988.5+250-1572.9+396.7-68.2</f>
        <v>3917.1</v>
      </c>
      <c r="H122" s="80">
        <f>3748.4-500+67.3+30</f>
        <v>3345.7000000000003</v>
      </c>
      <c r="I122" s="135">
        <f>6567.3-2188.68-87.5-962.4</f>
        <v>3328.7200000000007</v>
      </c>
      <c r="J122" s="198">
        <v>4226.8999999999996</v>
      </c>
      <c r="K122" s="135">
        <v>4226.8999999999996</v>
      </c>
      <c r="L122" s="135">
        <v>4226.8999999999996</v>
      </c>
      <c r="M122" s="116" t="s">
        <v>275</v>
      </c>
      <c r="N122" s="74" t="s">
        <v>149</v>
      </c>
    </row>
    <row r="123" spans="1:15" ht="147.75" customHeight="1" x14ac:dyDescent="0.25">
      <c r="A123" s="46" t="s">
        <v>218</v>
      </c>
      <c r="B123" s="74" t="s">
        <v>124</v>
      </c>
      <c r="C123" s="130" t="s">
        <v>140</v>
      </c>
      <c r="D123" s="131">
        <f>E123+F123+G123+H123+J123+I123+K123+L123</f>
        <v>13114.100000000002</v>
      </c>
      <c r="E123" s="135">
        <f>3074.8-280</f>
        <v>2794.8</v>
      </c>
      <c r="F123" s="135">
        <f>2936.7-150</f>
        <v>2786.7</v>
      </c>
      <c r="G123" s="135">
        <f>2512.5-387.7</f>
        <v>2124.8000000000002</v>
      </c>
      <c r="H123" s="80">
        <f>1391.1-300-58.2</f>
        <v>1032.8999999999999</v>
      </c>
      <c r="I123" s="135">
        <f>1085.2+115-41.6</f>
        <v>1158.6000000000001</v>
      </c>
      <c r="J123" s="198">
        <v>1072.0999999999999</v>
      </c>
      <c r="K123" s="135">
        <v>1072.0999999999999</v>
      </c>
      <c r="L123" s="135">
        <v>1072.0999999999999</v>
      </c>
      <c r="M123" s="116" t="s">
        <v>165</v>
      </c>
      <c r="N123" s="74" t="s">
        <v>150</v>
      </c>
    </row>
    <row r="124" spans="1:15" ht="207" customHeight="1" x14ac:dyDescent="0.25">
      <c r="A124" s="46" t="s">
        <v>212</v>
      </c>
      <c r="B124" s="74" t="s">
        <v>129</v>
      </c>
      <c r="C124" s="130" t="s">
        <v>139</v>
      </c>
      <c r="D124" s="131">
        <f>E124+F124+G124+H124+J124+I124+K124+L124</f>
        <v>13454.5</v>
      </c>
      <c r="E124" s="135">
        <f>4362+400</f>
        <v>4762</v>
      </c>
      <c r="F124" s="135">
        <f>4362+586+126.4</f>
        <v>5074.3999999999996</v>
      </c>
      <c r="G124" s="135">
        <f>4362+1838-800-250-2249.8-16.6</f>
        <v>2883.6</v>
      </c>
      <c r="H124" s="80">
        <f>704.4-40+70.1</f>
        <v>734.5</v>
      </c>
      <c r="I124" s="135">
        <v>0</v>
      </c>
      <c r="J124" s="198">
        <v>0</v>
      </c>
      <c r="K124" s="135">
        <v>0</v>
      </c>
      <c r="L124" s="135">
        <v>0</v>
      </c>
      <c r="M124" s="116" t="s">
        <v>268</v>
      </c>
      <c r="N124" s="74" t="s">
        <v>149</v>
      </c>
    </row>
    <row r="125" spans="1:15" ht="107.25" customHeight="1" x14ac:dyDescent="0.25">
      <c r="A125" s="266" t="s">
        <v>213</v>
      </c>
      <c r="B125" s="221" t="s">
        <v>259</v>
      </c>
      <c r="C125" s="130" t="s">
        <v>139</v>
      </c>
      <c r="D125" s="131">
        <f>E125+F125+G125+H125+I125+J125+K125+L125</f>
        <v>14711.5</v>
      </c>
      <c r="E125" s="135">
        <v>0</v>
      </c>
      <c r="F125" s="135">
        <v>0</v>
      </c>
      <c r="G125" s="135">
        <f>1526.1-1226.1+568.1+81.8</f>
        <v>949.9</v>
      </c>
      <c r="H125" s="80">
        <f>2830.6-380</f>
        <v>2450.6</v>
      </c>
      <c r="I125" s="135">
        <v>2602.6999999999998</v>
      </c>
      <c r="J125" s="198">
        <v>2987.1</v>
      </c>
      <c r="K125" s="135">
        <v>2904.9</v>
      </c>
      <c r="L125" s="135">
        <v>2816.3</v>
      </c>
      <c r="M125" s="218" t="s">
        <v>269</v>
      </c>
      <c r="N125" s="221" t="s">
        <v>149</v>
      </c>
    </row>
    <row r="126" spans="1:15" ht="47.25" customHeight="1" x14ac:dyDescent="0.25">
      <c r="A126" s="267"/>
      <c r="B126" s="220"/>
      <c r="C126" s="130" t="s">
        <v>140</v>
      </c>
      <c r="D126" s="131">
        <f>E126+F126+G126+H126+I126+J126+K126+L126</f>
        <v>13824.4</v>
      </c>
      <c r="E126" s="135">
        <v>0</v>
      </c>
      <c r="F126" s="135">
        <v>0</v>
      </c>
      <c r="G126" s="135">
        <v>0</v>
      </c>
      <c r="H126" s="80">
        <v>0</v>
      </c>
      <c r="I126" s="135">
        <v>3181</v>
      </c>
      <c r="J126" s="198">
        <v>3650.9</v>
      </c>
      <c r="K126" s="135">
        <v>3550.4</v>
      </c>
      <c r="L126" s="138">
        <v>3442.1</v>
      </c>
      <c r="M126" s="219"/>
      <c r="N126" s="219"/>
    </row>
    <row r="127" spans="1:15" ht="47.25" customHeight="1" x14ac:dyDescent="0.25">
      <c r="A127" s="216" t="s">
        <v>309</v>
      </c>
      <c r="B127" s="217" t="s">
        <v>310</v>
      </c>
      <c r="C127" s="130" t="s">
        <v>139</v>
      </c>
      <c r="D127" s="131">
        <f>E127+F127+G127+H127+I127+J127+K127+L127</f>
        <v>11.6</v>
      </c>
      <c r="E127" s="135">
        <v>0</v>
      </c>
      <c r="F127" s="135">
        <v>0</v>
      </c>
      <c r="G127" s="135">
        <v>0</v>
      </c>
      <c r="H127" s="80">
        <v>0</v>
      </c>
      <c r="I127" s="135">
        <v>0</v>
      </c>
      <c r="J127" s="198">
        <v>11.6</v>
      </c>
      <c r="K127" s="135">
        <v>0</v>
      </c>
      <c r="L127" s="138">
        <v>0</v>
      </c>
      <c r="M127" s="220"/>
      <c r="N127" s="220"/>
    </row>
    <row r="128" spans="1:15" ht="26.25" customHeight="1" x14ac:dyDescent="0.25">
      <c r="A128" s="266" t="s">
        <v>214</v>
      </c>
      <c r="B128" s="221" t="s">
        <v>260</v>
      </c>
      <c r="C128" s="130" t="s">
        <v>138</v>
      </c>
      <c r="D128" s="131">
        <f>D129+D131+D132+D130</f>
        <v>473385.80000000005</v>
      </c>
      <c r="E128" s="131">
        <f>E129+E131+E132</f>
        <v>0</v>
      </c>
      <c r="F128" s="131">
        <f>F129+F131+F132</f>
        <v>0</v>
      </c>
      <c r="G128" s="131">
        <f>G129+G131+G132+G130</f>
        <v>32459.200000000001</v>
      </c>
      <c r="H128" s="52">
        <f>H129+H131+H132+H130</f>
        <v>81413.8</v>
      </c>
      <c r="I128" s="131">
        <f>I129+I131+I132+I130</f>
        <v>79633</v>
      </c>
      <c r="J128" s="193">
        <f t="shared" ref="J128:L128" si="42">J129+J131+J132+J130</f>
        <v>99378.6</v>
      </c>
      <c r="K128" s="131">
        <f t="shared" si="42"/>
        <v>91253.200000000012</v>
      </c>
      <c r="L128" s="131">
        <f t="shared" si="42"/>
        <v>89248</v>
      </c>
      <c r="M128" s="218" t="s">
        <v>305</v>
      </c>
      <c r="N128" s="225" t="s">
        <v>149</v>
      </c>
      <c r="O128" s="89">
        <v>9</v>
      </c>
    </row>
    <row r="129" spans="1:19" ht="51" customHeight="1" x14ac:dyDescent="0.25">
      <c r="A129" s="268"/>
      <c r="B129" s="232"/>
      <c r="C129" s="130" t="s">
        <v>139</v>
      </c>
      <c r="D129" s="131">
        <f>E129+F129+G129+H129+J129+I129+K129+L129</f>
        <v>22832.5</v>
      </c>
      <c r="E129" s="135">
        <v>0</v>
      </c>
      <c r="F129" s="135">
        <v>0</v>
      </c>
      <c r="G129" s="135">
        <f>1572.9</f>
        <v>1572.9</v>
      </c>
      <c r="H129" s="80">
        <v>4056.5</v>
      </c>
      <c r="I129" s="135">
        <f>4405+87.5-776.5</f>
        <v>3716</v>
      </c>
      <c r="J129" s="198">
        <v>4682</v>
      </c>
      <c r="K129" s="135">
        <v>4437.2</v>
      </c>
      <c r="L129" s="135">
        <v>4367.8999999999996</v>
      </c>
      <c r="M129" s="232"/>
      <c r="N129" s="226"/>
    </row>
    <row r="130" spans="1:19" ht="42.75" customHeight="1" x14ac:dyDescent="0.25">
      <c r="A130" s="268"/>
      <c r="B130" s="232"/>
      <c r="C130" s="136" t="s">
        <v>238</v>
      </c>
      <c r="D130" s="131">
        <f>E130+F130+G130+H130+J130+I130+K130+L130</f>
        <v>259884.7</v>
      </c>
      <c r="E130" s="137">
        <v>0</v>
      </c>
      <c r="F130" s="137">
        <v>0</v>
      </c>
      <c r="G130" s="137">
        <v>0</v>
      </c>
      <c r="H130" s="150">
        <v>48298.400000000001</v>
      </c>
      <c r="I130" s="137">
        <v>45408.9</v>
      </c>
      <c r="J130" s="198">
        <v>57212.800000000003</v>
      </c>
      <c r="K130" s="135">
        <v>54221.4</v>
      </c>
      <c r="L130" s="135">
        <v>54743.199999999997</v>
      </c>
      <c r="M130" s="232"/>
      <c r="N130" s="226"/>
    </row>
    <row r="131" spans="1:19" ht="45" customHeight="1" x14ac:dyDescent="0.25">
      <c r="A131" s="267"/>
      <c r="B131" s="233"/>
      <c r="C131" s="136" t="s">
        <v>140</v>
      </c>
      <c r="D131" s="131">
        <f>E131+F131+G131+H131+J131+I131+K131+L131</f>
        <v>97817.4</v>
      </c>
      <c r="E131" s="137">
        <v>0</v>
      </c>
      <c r="F131" s="137">
        <v>0</v>
      </c>
      <c r="G131" s="137">
        <v>24641.599999999999</v>
      </c>
      <c r="H131" s="150">
        <v>15252.1</v>
      </c>
      <c r="I131" s="137">
        <v>12807.7</v>
      </c>
      <c r="J131" s="198">
        <v>16137</v>
      </c>
      <c r="K131" s="135">
        <v>15293.2</v>
      </c>
      <c r="L131" s="135">
        <v>13685.8</v>
      </c>
      <c r="M131" s="232"/>
      <c r="N131" s="226"/>
    </row>
    <row r="132" spans="1:19" s="63" customFormat="1" ht="105" customHeight="1" x14ac:dyDescent="0.25">
      <c r="A132" s="68" t="s">
        <v>228</v>
      </c>
      <c r="B132" s="62" t="s">
        <v>226</v>
      </c>
      <c r="C132" s="130" t="s">
        <v>139</v>
      </c>
      <c r="D132" s="131">
        <f>E132+F132+G132+H132+I132+J132+K132+L132</f>
        <v>92851.200000000012</v>
      </c>
      <c r="E132" s="135">
        <v>0</v>
      </c>
      <c r="F132" s="135">
        <v>0</v>
      </c>
      <c r="G132" s="135">
        <f>2923.3+1285+2036.4</f>
        <v>6244.7000000000007</v>
      </c>
      <c r="H132" s="80">
        <f>6253+8497.5-356.3-137.4-450</f>
        <v>13806.800000000001</v>
      </c>
      <c r="I132" s="135">
        <f>16621.8+949.1-6+135.5</f>
        <v>17700.399999999998</v>
      </c>
      <c r="J132" s="199">
        <v>21346.799999999999</v>
      </c>
      <c r="K132" s="138">
        <v>17301.400000000001</v>
      </c>
      <c r="L132" s="138">
        <v>16451.099999999999</v>
      </c>
      <c r="M132" s="233"/>
      <c r="N132" s="226"/>
      <c r="O132" s="43"/>
      <c r="P132" s="43"/>
      <c r="Q132" s="43"/>
      <c r="R132" s="43"/>
      <c r="S132" s="43"/>
    </row>
    <row r="133" spans="1:19" s="43" customFormat="1" ht="184.5" customHeight="1" x14ac:dyDescent="0.25">
      <c r="A133" s="122" t="s">
        <v>219</v>
      </c>
      <c r="B133" s="121" t="s">
        <v>253</v>
      </c>
      <c r="C133" s="136" t="s">
        <v>140</v>
      </c>
      <c r="D133" s="131">
        <f>E133+F133+G133+H133+I133+J133+K133+L133</f>
        <v>6450.9</v>
      </c>
      <c r="E133" s="138">
        <v>0</v>
      </c>
      <c r="F133" s="138">
        <v>0</v>
      </c>
      <c r="G133" s="138">
        <v>0</v>
      </c>
      <c r="H133" s="81">
        <v>0</v>
      </c>
      <c r="I133" s="138">
        <f>1464.1+51</f>
        <v>1515.1</v>
      </c>
      <c r="J133" s="199">
        <v>1581.5</v>
      </c>
      <c r="K133" s="138">
        <v>1644.3</v>
      </c>
      <c r="L133" s="138">
        <v>1710</v>
      </c>
      <c r="M133" s="175" t="s">
        <v>270</v>
      </c>
      <c r="N133" s="175" t="s">
        <v>149</v>
      </c>
    </row>
    <row r="134" spans="1:19" s="43" customFormat="1" ht="60.75" customHeight="1" x14ac:dyDescent="0.25">
      <c r="A134" s="177" t="s">
        <v>227</v>
      </c>
      <c r="B134" s="176" t="s">
        <v>308</v>
      </c>
      <c r="C134" s="139" t="s">
        <v>139</v>
      </c>
      <c r="D134" s="131">
        <f>E134+F134+G134+H134+I134+J134+K134+L134</f>
        <v>714.3</v>
      </c>
      <c r="E134" s="138">
        <v>0</v>
      </c>
      <c r="F134" s="138">
        <v>0</v>
      </c>
      <c r="G134" s="138">
        <v>0</v>
      </c>
      <c r="H134" s="81">
        <v>0</v>
      </c>
      <c r="I134" s="138">
        <v>0</v>
      </c>
      <c r="J134" s="199">
        <v>714.3</v>
      </c>
      <c r="K134" s="138">
        <v>0</v>
      </c>
      <c r="L134" s="138">
        <v>0</v>
      </c>
      <c r="M134" s="174"/>
      <c r="N134" s="174"/>
    </row>
    <row r="135" spans="1:19" ht="45.75" customHeight="1" x14ac:dyDescent="0.3">
      <c r="A135" s="46" t="s">
        <v>227</v>
      </c>
      <c r="B135" s="67" t="s">
        <v>111</v>
      </c>
      <c r="C135" s="139" t="s">
        <v>139</v>
      </c>
      <c r="D135" s="140">
        <f>E135+F135+G135+H135+J135+I135+K135+L135</f>
        <v>6137.4</v>
      </c>
      <c r="E135" s="140">
        <f>E136+E137+E138+E139+E140</f>
        <v>1677.7</v>
      </c>
      <c r="F135" s="140">
        <f t="shared" ref="F135:H135" si="43">F136+F137+F138+F139+F140</f>
        <v>1578.1</v>
      </c>
      <c r="G135" s="140">
        <f t="shared" si="43"/>
        <v>350</v>
      </c>
      <c r="H135" s="82">
        <f t="shared" si="43"/>
        <v>352.1</v>
      </c>
      <c r="I135" s="140">
        <f>I136+I137+I138+I139+I140</f>
        <v>779.5</v>
      </c>
      <c r="J135" s="197">
        <f>J136+J137+J138+J139+J140</f>
        <v>700</v>
      </c>
      <c r="K135" s="140">
        <f>K136+K137+K138+K139+K140</f>
        <v>0</v>
      </c>
      <c r="L135" s="140">
        <f>L136+L137+L138+L139+L140</f>
        <v>700</v>
      </c>
      <c r="M135" s="83"/>
      <c r="N135" s="84"/>
      <c r="O135" s="65"/>
    </row>
    <row r="136" spans="1:19" ht="105.75" customHeight="1" x14ac:dyDescent="0.25">
      <c r="A136" s="46" t="s">
        <v>247</v>
      </c>
      <c r="B136" s="74" t="s">
        <v>42</v>
      </c>
      <c r="C136" s="130" t="s">
        <v>139</v>
      </c>
      <c r="D136" s="140">
        <f>E136+F136+G136+H136+J136+I136+K136+L136</f>
        <v>150</v>
      </c>
      <c r="E136" s="135">
        <v>0</v>
      </c>
      <c r="F136" s="135">
        <v>100</v>
      </c>
      <c r="G136" s="135">
        <v>50</v>
      </c>
      <c r="H136" s="80">
        <v>0</v>
      </c>
      <c r="I136" s="135">
        <v>0</v>
      </c>
      <c r="J136" s="198">
        <v>0</v>
      </c>
      <c r="K136" s="135">
        <v>0</v>
      </c>
      <c r="L136" s="135">
        <v>0</v>
      </c>
      <c r="M136" s="116" t="s">
        <v>306</v>
      </c>
      <c r="N136" s="85" t="s">
        <v>127</v>
      </c>
    </row>
    <row r="137" spans="1:19" ht="149.25" customHeight="1" x14ac:dyDescent="0.25">
      <c r="A137" s="46" t="s">
        <v>248</v>
      </c>
      <c r="B137" s="74" t="s">
        <v>128</v>
      </c>
      <c r="C137" s="130" t="s">
        <v>139</v>
      </c>
      <c r="D137" s="131">
        <f>E137+F137+G137+H137+J137+I137+K137+L137</f>
        <v>2814.8999999999996</v>
      </c>
      <c r="E137" s="135">
        <f>440+207.5+60+100+108</f>
        <v>915.5</v>
      </c>
      <c r="F137" s="135">
        <f>647.5+99.5+63.8</f>
        <v>810.8</v>
      </c>
      <c r="G137" s="135">
        <f>200-50-100</f>
        <v>50</v>
      </c>
      <c r="H137" s="80">
        <f>200-57.5-40.4</f>
        <v>102.1</v>
      </c>
      <c r="I137" s="135">
        <f>200+343.5-7</f>
        <v>536.5</v>
      </c>
      <c r="J137" s="198">
        <v>200</v>
      </c>
      <c r="K137" s="135">
        <v>0</v>
      </c>
      <c r="L137" s="135">
        <v>200</v>
      </c>
      <c r="M137" s="116" t="s">
        <v>190</v>
      </c>
      <c r="N137" s="85" t="s">
        <v>127</v>
      </c>
      <c r="O137" s="89">
        <v>10</v>
      </c>
    </row>
    <row r="138" spans="1:19" ht="127.5" customHeight="1" x14ac:dyDescent="0.25">
      <c r="A138" s="46" t="s">
        <v>249</v>
      </c>
      <c r="B138" s="74" t="s">
        <v>48</v>
      </c>
      <c r="C138" s="116" t="s">
        <v>139</v>
      </c>
      <c r="D138" s="131">
        <f>E138+F138+G138+H138+J138+I138+K138+L138</f>
        <v>1073</v>
      </c>
      <c r="E138" s="135">
        <v>250</v>
      </c>
      <c r="F138" s="135">
        <f>167.9+82.1</f>
        <v>250</v>
      </c>
      <c r="G138" s="135">
        <f>250-250</f>
        <v>0</v>
      </c>
      <c r="H138" s="80">
        <f>250-250</f>
        <v>0</v>
      </c>
      <c r="I138" s="135">
        <f>250-177</f>
        <v>73</v>
      </c>
      <c r="J138" s="198">
        <v>250</v>
      </c>
      <c r="K138" s="135">
        <v>0</v>
      </c>
      <c r="L138" s="135">
        <v>250</v>
      </c>
      <c r="M138" s="116" t="s">
        <v>307</v>
      </c>
      <c r="N138" s="85" t="s">
        <v>151</v>
      </c>
    </row>
    <row r="139" spans="1:19" ht="146.25" customHeight="1" x14ac:dyDescent="0.25">
      <c r="A139" s="46" t="s">
        <v>250</v>
      </c>
      <c r="B139" s="74" t="s">
        <v>47</v>
      </c>
      <c r="C139" s="116" t="s">
        <v>139</v>
      </c>
      <c r="D139" s="131">
        <f>E139+F139+G139+H139+J139+I139+K139+L139</f>
        <v>1570</v>
      </c>
      <c r="E139" s="135">
        <v>200</v>
      </c>
      <c r="F139" s="135">
        <v>200</v>
      </c>
      <c r="G139" s="135">
        <v>250</v>
      </c>
      <c r="H139" s="80">
        <v>250</v>
      </c>
      <c r="I139" s="135">
        <f>250-80</f>
        <v>170</v>
      </c>
      <c r="J139" s="198">
        <v>250</v>
      </c>
      <c r="K139" s="135">
        <v>0</v>
      </c>
      <c r="L139" s="135">
        <v>250</v>
      </c>
      <c r="M139" s="116" t="s">
        <v>166</v>
      </c>
      <c r="N139" s="71" t="s">
        <v>149</v>
      </c>
    </row>
    <row r="140" spans="1:19" ht="141" customHeight="1" x14ac:dyDescent="0.25">
      <c r="A140" s="46" t="s">
        <v>251</v>
      </c>
      <c r="B140" s="74" t="s">
        <v>163</v>
      </c>
      <c r="C140" s="116" t="s">
        <v>139</v>
      </c>
      <c r="D140" s="131">
        <f>E140+F140+G140+H140+I140+J140+K140+L140</f>
        <v>529.5</v>
      </c>
      <c r="E140" s="135">
        <f>123.8+53.4+135</f>
        <v>312.2</v>
      </c>
      <c r="F140" s="135">
        <f>151.3+66</f>
        <v>217.3</v>
      </c>
      <c r="G140" s="135">
        <v>0</v>
      </c>
      <c r="H140" s="80">
        <v>0</v>
      </c>
      <c r="I140" s="135">
        <v>0</v>
      </c>
      <c r="J140" s="198">
        <v>0</v>
      </c>
      <c r="K140" s="135">
        <v>0</v>
      </c>
      <c r="L140" s="135">
        <v>0</v>
      </c>
      <c r="M140" s="116" t="s">
        <v>271</v>
      </c>
      <c r="N140" s="71" t="s">
        <v>152</v>
      </c>
      <c r="O140" s="86"/>
    </row>
    <row r="141" spans="1:19" ht="213" customHeight="1" x14ac:dyDescent="0.25">
      <c r="A141" s="46" t="s">
        <v>252</v>
      </c>
      <c r="B141" s="74" t="s">
        <v>76</v>
      </c>
      <c r="C141" s="116" t="s">
        <v>139</v>
      </c>
      <c r="D141" s="131">
        <f>E141+F141+G141+H141+I141+J141+K141+L141</f>
        <v>1049.8</v>
      </c>
      <c r="E141" s="135">
        <v>0</v>
      </c>
      <c r="F141" s="135">
        <v>0</v>
      </c>
      <c r="G141" s="135">
        <v>0</v>
      </c>
      <c r="H141" s="80">
        <f>500+263.6-0.2</f>
        <v>763.4</v>
      </c>
      <c r="I141" s="135">
        <f>763.6-473-4.2</f>
        <v>286.40000000000003</v>
      </c>
      <c r="J141" s="198">
        <v>0</v>
      </c>
      <c r="K141" s="135">
        <v>0</v>
      </c>
      <c r="L141" s="135">
        <v>0</v>
      </c>
      <c r="M141" s="116" t="s">
        <v>272</v>
      </c>
      <c r="N141" s="71" t="s">
        <v>149</v>
      </c>
    </row>
    <row r="142" spans="1:19" ht="30" customHeight="1" x14ac:dyDescent="0.25">
      <c r="A142" s="254"/>
      <c r="B142" s="253" t="s">
        <v>90</v>
      </c>
      <c r="C142" s="54" t="s">
        <v>138</v>
      </c>
      <c r="D142" s="60">
        <f>E142+F142+G142+H142+J142+I142+K142+L142</f>
        <v>6459688.3199999994</v>
      </c>
      <c r="E142" s="60">
        <f>E145+E143+E144+E146</f>
        <v>563150.1</v>
      </c>
      <c r="F142" s="60">
        <f t="shared" ref="F142:L142" si="44">F145+F143+F144+F146</f>
        <v>663201.6</v>
      </c>
      <c r="G142" s="60">
        <f t="shared" si="44"/>
        <v>1047723.2000000001</v>
      </c>
      <c r="H142" s="60">
        <f>H145+H143+H144+H146</f>
        <v>759451.3</v>
      </c>
      <c r="I142" s="166">
        <f>I145+I143+I144+I146</f>
        <v>905052.81999999983</v>
      </c>
      <c r="J142" s="205">
        <f t="shared" si="44"/>
        <v>878535.6</v>
      </c>
      <c r="K142" s="166">
        <f t="shared" si="44"/>
        <v>805681.09999999986</v>
      </c>
      <c r="L142" s="166">
        <f t="shared" si="44"/>
        <v>836892.59999999986</v>
      </c>
      <c r="M142" s="257" t="s">
        <v>224</v>
      </c>
      <c r="N142" s="256"/>
    </row>
    <row r="143" spans="1:19" ht="45.75" customHeight="1" x14ac:dyDescent="0.25">
      <c r="A143" s="254"/>
      <c r="B143" s="253"/>
      <c r="C143" s="54" t="s">
        <v>139</v>
      </c>
      <c r="D143" s="97">
        <f>E143+F143+G143+H143+J143+I143+K143+L143</f>
        <v>1345185.02</v>
      </c>
      <c r="E143" s="97">
        <f>E14+E30+E47+E63+E66+E69+E72+E82+E95+E98+ E106+E110+E122+E124+E135</f>
        <v>130102.6</v>
      </c>
      <c r="F143" s="97">
        <f>F14+F30+F47+F63+F66+F69+F72+F77+F82+F95+F98+ F106+F110+F110+F119+F116+F122+F124+F135</f>
        <v>148277.4</v>
      </c>
      <c r="G143" s="97">
        <f>G14+G30+G47+G63+G66+G69+G72+G82+G95+G98+ G101+G106+G108+G110+G113+G122+G124+G125+G129+G135+G132</f>
        <v>154025.20000000001</v>
      </c>
      <c r="H143" s="142">
        <f>H14+H30+H47+H63+H66+H69+H72+H82+H95+H98+ H106+H110+H113+H122+H124+H125+H129+H132+H141+H135+H108</f>
        <v>161140.29999999999</v>
      </c>
      <c r="I143" s="167">
        <f>I14+I30+I47+I63+I66+I69+I72+I82+I95+I98+ I106+I110+I113+I122+I124+I125+I129+I132+I141+I135+I108</f>
        <v>193644.32</v>
      </c>
      <c r="J143" s="206">
        <f>J14+J30+J47+J63+J66+J69+J72+J82+J95+J98+ J106+J110+J113+J122+J124+J125+J129+J132+J141+J135+J108+J134+J127</f>
        <v>178372.49999999997</v>
      </c>
      <c r="K143" s="167">
        <f>K14+K30+K47+K63+K66+K69+K72+K82+K95+K98+ K106+K110+K113+K122+K124+K125+K129+K132+K141+K135+K108</f>
        <v>175391.3</v>
      </c>
      <c r="L143" s="167">
        <f>L14+L30+L47+L63+L66+L69+L72+L82+L95+L98+ L106+L110+L113+L122+L124+L125+L129+L132+L141+L135+L108</f>
        <v>204231.39999999997</v>
      </c>
      <c r="M143" s="257"/>
      <c r="N143" s="256"/>
    </row>
    <row r="144" spans="1:19" ht="48.75" customHeight="1" x14ac:dyDescent="0.25">
      <c r="A144" s="254"/>
      <c r="B144" s="253"/>
      <c r="C144" s="54" t="s">
        <v>140</v>
      </c>
      <c r="D144" s="97">
        <f>E144+F144+G144+H144+J144+I144+K144+L144</f>
        <v>4616131.5999999996</v>
      </c>
      <c r="E144" s="97">
        <f>E15+E32+E48+E64+E67+E70+E73+E83+E99+E107+E111+E114+E123+E126+E133</f>
        <v>433047.5</v>
      </c>
      <c r="F144" s="120">
        <f>F15+F32+F48+F64+F67+F70+F73+F83+F99+F107+F111+F114+F123+F126+F133</f>
        <v>514924.2</v>
      </c>
      <c r="G144" s="120">
        <f>G15+G32+G48+G64+G67+G70+G73+G83+G99+G107+G111+G114+G123+G126+G133+G131+G102</f>
        <v>882402.10000000009</v>
      </c>
      <c r="H144" s="142">
        <f>H15+H32+H48+H64+H67+H70+H73+H83+H99+H107+H111+H114+H123+H126+H133+H131</f>
        <v>510874.5</v>
      </c>
      <c r="I144" s="167">
        <f>I15+I32+I48+I64+I67+I70+I73+I83+I99+I107+I111+I114+I123+I126+I133+I131</f>
        <v>607519.29999999981</v>
      </c>
      <c r="J144" s="206">
        <f>J15+J32+J48+J64+J67+J70+J73+J83+J99+J107+J111+J114+J123+J126+J133+J131</f>
        <v>599959.19999999995</v>
      </c>
      <c r="K144" s="167">
        <f>K15+K32+K48+K64+K67+K70+K73+K83+K99+K107+K111+K114+K123+K126+K133+K131</f>
        <v>532777.6</v>
      </c>
      <c r="L144" s="167">
        <f>L15+L32+L48+L64+L67+L70+L73+L83+L99+L107+L111+L114+L123+L126+L133+L131</f>
        <v>534627.19999999995</v>
      </c>
      <c r="M144" s="257"/>
      <c r="N144" s="256"/>
      <c r="O144" s="88">
        <v>11</v>
      </c>
    </row>
    <row r="145" spans="1:14" ht="45.75" customHeight="1" x14ac:dyDescent="0.25">
      <c r="A145" s="254"/>
      <c r="B145" s="253"/>
      <c r="C145" s="54" t="s">
        <v>211</v>
      </c>
      <c r="D145" s="97">
        <f>E145+F145+G145+H145+J145+K145+I145+L145</f>
        <v>28739.5</v>
      </c>
      <c r="E145" s="97">
        <f>E121</f>
        <v>0</v>
      </c>
      <c r="F145" s="97">
        <f>F121</f>
        <v>0</v>
      </c>
      <c r="G145" s="97">
        <f>G121</f>
        <v>11295.9</v>
      </c>
      <c r="H145" s="142">
        <f>H121</f>
        <v>0</v>
      </c>
      <c r="I145" s="167">
        <v>17443.599999999999</v>
      </c>
      <c r="J145" s="206">
        <f>J121</f>
        <v>0</v>
      </c>
      <c r="K145" s="167">
        <v>0</v>
      </c>
      <c r="L145" s="167">
        <v>0</v>
      </c>
      <c r="M145" s="257"/>
      <c r="N145" s="256"/>
    </row>
    <row r="146" spans="1:14" s="43" customFormat="1" ht="39" customHeight="1" x14ac:dyDescent="0.3">
      <c r="A146" s="94"/>
      <c r="B146" s="94"/>
      <c r="C146" s="95" t="s">
        <v>238</v>
      </c>
      <c r="D146" s="97">
        <f>E146+F146+G146+H146+J146+K146+I146+L146</f>
        <v>469632.19999999995</v>
      </c>
      <c r="E146" s="98">
        <v>0</v>
      </c>
      <c r="F146" s="98">
        <v>0</v>
      </c>
      <c r="G146" s="98">
        <v>0</v>
      </c>
      <c r="H146" s="151">
        <f>H130+H36</f>
        <v>87436.5</v>
      </c>
      <c r="I146" s="161">
        <f>I130+I31</f>
        <v>86445.6</v>
      </c>
      <c r="J146" s="207">
        <f>J130+J31</f>
        <v>100203.9</v>
      </c>
      <c r="K146" s="161">
        <f>K130+K31</f>
        <v>97512.200000000012</v>
      </c>
      <c r="L146" s="161">
        <f>L130+L31</f>
        <v>98034</v>
      </c>
      <c r="M146" s="94"/>
      <c r="N146" s="99"/>
    </row>
    <row r="147" spans="1:14" s="43" customFormat="1" ht="39" customHeight="1" x14ac:dyDescent="0.3">
      <c r="A147" s="108"/>
      <c r="B147" s="108"/>
      <c r="C147" s="109"/>
      <c r="D147" s="110"/>
      <c r="E147" s="111"/>
      <c r="F147" s="111"/>
      <c r="G147" s="111"/>
      <c r="H147" s="152"/>
      <c r="I147" s="168"/>
      <c r="J147" s="208"/>
      <c r="K147" s="168"/>
      <c r="L147" s="168"/>
      <c r="M147" s="108"/>
      <c r="N147" s="112" t="s">
        <v>245</v>
      </c>
    </row>
    <row r="148" spans="1:14" s="43" customFormat="1" ht="124.5" customHeight="1" x14ac:dyDescent="0.4">
      <c r="A148" s="250" t="s">
        <v>239</v>
      </c>
      <c r="B148" s="250"/>
      <c r="C148" s="44"/>
      <c r="D148" s="44"/>
      <c r="E148" s="44"/>
      <c r="F148" s="44"/>
      <c r="G148" s="44"/>
      <c r="H148" s="153"/>
      <c r="I148" s="184">
        <f>I122+I124+I125+I132+I138+I141</f>
        <v>23991.22</v>
      </c>
      <c r="J148" s="209">
        <f>J122+J124+J125+J132+J138+J141</f>
        <v>28810.799999999999</v>
      </c>
      <c r="K148" s="154">
        <f>K122+K124+K125+K132+K138+K141</f>
        <v>24433.200000000001</v>
      </c>
      <c r="L148" s="154"/>
      <c r="M148" s="44"/>
      <c r="N148" s="45" t="s">
        <v>240</v>
      </c>
    </row>
    <row r="149" spans="1:14" s="43" customFormat="1" x14ac:dyDescent="0.25">
      <c r="A149" s="43" t="s">
        <v>183</v>
      </c>
      <c r="H149" s="155"/>
      <c r="I149" s="185"/>
      <c r="J149" s="210"/>
      <c r="K149" s="155"/>
      <c r="L149" s="155"/>
    </row>
    <row r="150" spans="1:14" s="43" customFormat="1" x14ac:dyDescent="0.25">
      <c r="H150" s="155"/>
      <c r="I150" s="185"/>
      <c r="J150" s="210"/>
      <c r="K150" s="155"/>
      <c r="L150" s="155"/>
    </row>
    <row r="151" spans="1:14" s="43" customFormat="1" x14ac:dyDescent="0.25">
      <c r="H151" s="155"/>
      <c r="I151" s="185"/>
      <c r="J151" s="210"/>
      <c r="K151" s="155"/>
      <c r="L151" s="155"/>
    </row>
    <row r="152" spans="1:14" s="43" customFormat="1" x14ac:dyDescent="0.25">
      <c r="H152" s="155"/>
      <c r="I152" s="185"/>
      <c r="J152" s="210"/>
      <c r="K152" s="155"/>
      <c r="L152" s="155"/>
    </row>
  </sheetData>
  <mergeCells count="151">
    <mergeCell ref="M43:M45"/>
    <mergeCell ref="N43:N45"/>
    <mergeCell ref="M3:N3"/>
    <mergeCell ref="B87:B89"/>
    <mergeCell ref="B62:B64"/>
    <mergeCell ref="N109:N111"/>
    <mergeCell ref="N115:N117"/>
    <mergeCell ref="B13:B15"/>
    <mergeCell ref="B84:B86"/>
    <mergeCell ref="C6:C8"/>
    <mergeCell ref="D7:D8"/>
    <mergeCell ref="M6:M8"/>
    <mergeCell ref="A5:N5"/>
    <mergeCell ref="A6:A8"/>
    <mergeCell ref="N6:N8"/>
    <mergeCell ref="C10:N10"/>
    <mergeCell ref="C12:N12"/>
    <mergeCell ref="N16:N18"/>
    <mergeCell ref="M62:M64"/>
    <mergeCell ref="N13:N15"/>
    <mergeCell ref="M13:M15"/>
    <mergeCell ref="B74:B76"/>
    <mergeCell ref="A62:A64"/>
    <mergeCell ref="A13:A15"/>
    <mergeCell ref="A46:A48"/>
    <mergeCell ref="A52:A54"/>
    <mergeCell ref="A26:A28"/>
    <mergeCell ref="A49:A51"/>
    <mergeCell ref="B49:B51"/>
    <mergeCell ref="B65:B67"/>
    <mergeCell ref="A21:A23"/>
    <mergeCell ref="B21:B23"/>
    <mergeCell ref="A57:A59"/>
    <mergeCell ref="B57:B59"/>
    <mergeCell ref="B43:B45"/>
    <mergeCell ref="A16:A18"/>
    <mergeCell ref="B41:B42"/>
    <mergeCell ref="N19:N21"/>
    <mergeCell ref="N62:N64"/>
    <mergeCell ref="N68:N70"/>
    <mergeCell ref="G36:G38"/>
    <mergeCell ref="H36:H38"/>
    <mergeCell ref="J36:J38"/>
    <mergeCell ref="A74:A76"/>
    <mergeCell ref="A65:A67"/>
    <mergeCell ref="B29:B32"/>
    <mergeCell ref="A36:A39"/>
    <mergeCell ref="B33:B34"/>
    <mergeCell ref="M33:M34"/>
    <mergeCell ref="M29:M32"/>
    <mergeCell ref="M65:M67"/>
    <mergeCell ref="C61:M61"/>
    <mergeCell ref="M46:M54"/>
    <mergeCell ref="C36:C38"/>
    <mergeCell ref="M41:M42"/>
    <mergeCell ref="N41:N42"/>
    <mergeCell ref="A29:A32"/>
    <mergeCell ref="N36:N39"/>
    <mergeCell ref="I36:I38"/>
    <mergeCell ref="N118:N120"/>
    <mergeCell ref="N112:N114"/>
    <mergeCell ref="M115:M117"/>
    <mergeCell ref="M118:M120"/>
    <mergeCell ref="A33:A34"/>
    <mergeCell ref="B109:B111"/>
    <mergeCell ref="A118:A120"/>
    <mergeCell ref="B115:B117"/>
    <mergeCell ref="D6:L6"/>
    <mergeCell ref="E7:L7"/>
    <mergeCell ref="A41:A42"/>
    <mergeCell ref="N105:N107"/>
    <mergeCell ref="M19:M20"/>
    <mergeCell ref="M94:M96"/>
    <mergeCell ref="N29:N32"/>
    <mergeCell ref="N100:N102"/>
    <mergeCell ref="B81:B83"/>
    <mergeCell ref="A78:A80"/>
    <mergeCell ref="A100:A102"/>
    <mergeCell ref="A97:A99"/>
    <mergeCell ref="A90:A92"/>
    <mergeCell ref="B100:B102"/>
    <mergeCell ref="C103:M103"/>
    <mergeCell ref="M97:M99"/>
    <mergeCell ref="B90:B92"/>
    <mergeCell ref="M109:M111"/>
    <mergeCell ref="M100:M102"/>
    <mergeCell ref="M112:M114"/>
    <mergeCell ref="N71:N80"/>
    <mergeCell ref="N55:N56"/>
    <mergeCell ref="M71:M77"/>
    <mergeCell ref="M105:M107"/>
    <mergeCell ref="A112:A114"/>
    <mergeCell ref="B105:B107"/>
    <mergeCell ref="B71:B73"/>
    <mergeCell ref="B97:B99"/>
    <mergeCell ref="A84:A86"/>
    <mergeCell ref="A105:A107"/>
    <mergeCell ref="A109:A111"/>
    <mergeCell ref="A87:A89"/>
    <mergeCell ref="M68:M70"/>
    <mergeCell ref="B112:B114"/>
    <mergeCell ref="N65:N67"/>
    <mergeCell ref="A68:A70"/>
    <mergeCell ref="B68:B70"/>
    <mergeCell ref="B16:B18"/>
    <mergeCell ref="N46:N54"/>
    <mergeCell ref="C60:M60"/>
    <mergeCell ref="A148:B148"/>
    <mergeCell ref="C104:M104"/>
    <mergeCell ref="A81:A83"/>
    <mergeCell ref="B142:B145"/>
    <mergeCell ref="A142:A145"/>
    <mergeCell ref="N33:N34"/>
    <mergeCell ref="B46:B48"/>
    <mergeCell ref="B118:B120"/>
    <mergeCell ref="N142:N145"/>
    <mergeCell ref="M142:M145"/>
    <mergeCell ref="B52:B54"/>
    <mergeCell ref="A71:A73"/>
    <mergeCell ref="B78:B80"/>
    <mergeCell ref="M78:M80"/>
    <mergeCell ref="A125:A126"/>
    <mergeCell ref="B125:B126"/>
    <mergeCell ref="A94:A96"/>
    <mergeCell ref="A128:A131"/>
    <mergeCell ref="B128:B131"/>
    <mergeCell ref="A43:A45"/>
    <mergeCell ref="M125:M127"/>
    <mergeCell ref="N125:N127"/>
    <mergeCell ref="M16:M18"/>
    <mergeCell ref="A115:A117"/>
    <mergeCell ref="J1:N1"/>
    <mergeCell ref="N128:N132"/>
    <mergeCell ref="B94:B96"/>
    <mergeCell ref="N97:N99"/>
    <mergeCell ref="M81:M93"/>
    <mergeCell ref="C11:N11"/>
    <mergeCell ref="M36:M39"/>
    <mergeCell ref="N81:N93"/>
    <mergeCell ref="N94:N96"/>
    <mergeCell ref="M128:M132"/>
    <mergeCell ref="B36:B39"/>
    <mergeCell ref="B26:B28"/>
    <mergeCell ref="N26:N28"/>
    <mergeCell ref="M26:M28"/>
    <mergeCell ref="E36:E38"/>
    <mergeCell ref="F36:F38"/>
    <mergeCell ref="D36:D38"/>
    <mergeCell ref="B4:C4"/>
    <mergeCell ref="B6:B8"/>
    <mergeCell ref="G4:N4"/>
  </mergeCells>
  <phoneticPr fontId="0" type="noConversion"/>
  <pageMargins left="0.39370078740157483" right="0.39370078740157483" top="0.59055118110236227" bottom="0.39370078740157483" header="0" footer="0"/>
  <pageSetup paperSize="9" scale="37" fitToHeight="0" orientation="landscape" r:id="rId1"/>
  <headerFooter scaleWithDoc="0" alignWithMargins="0"/>
  <rowBreaks count="1" manualBreakCount="1">
    <brk id="148"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112"/>
  <sheetViews>
    <sheetView view="pageBreakPreview" zoomScale="75" zoomScaleSheetLayoutView="75" workbookViewId="0">
      <selection activeCell="B14" sqref="B14:B16"/>
    </sheetView>
  </sheetViews>
  <sheetFormatPr defaultRowHeight="15" x14ac:dyDescent="0.25"/>
  <cols>
    <col min="1" max="1" width="11.28515625" bestFit="1" customWidth="1"/>
    <col min="2" max="2" width="45.42578125" customWidth="1"/>
    <col min="3" max="3" width="18.5703125" customWidth="1"/>
    <col min="4" max="4" width="18.42578125" customWidth="1"/>
    <col min="5" max="5" width="12.5703125" customWidth="1"/>
    <col min="6" max="6" width="13" customWidth="1"/>
    <col min="7" max="7" width="19.42578125" customWidth="1"/>
  </cols>
  <sheetData>
    <row r="2" spans="1:10" ht="18.75" x14ac:dyDescent="0.3">
      <c r="A2" s="4"/>
      <c r="B2" s="408" t="s">
        <v>72</v>
      </c>
      <c r="C2" s="408"/>
      <c r="D2" s="408"/>
      <c r="E2" s="408"/>
      <c r="F2" s="408"/>
      <c r="G2" s="408"/>
    </row>
    <row r="3" spans="1:10" ht="30.75" customHeight="1" x14ac:dyDescent="0.3">
      <c r="A3" s="4"/>
      <c r="B3" s="408"/>
      <c r="C3" s="408"/>
      <c r="D3" s="408"/>
      <c r="E3" s="408"/>
      <c r="F3" s="408"/>
      <c r="G3" s="408"/>
    </row>
    <row r="4" spans="1:10" ht="18.75" x14ac:dyDescent="0.3">
      <c r="A4" s="4"/>
      <c r="B4" s="4"/>
      <c r="C4" s="4"/>
      <c r="D4" s="4"/>
      <c r="E4" s="4"/>
      <c r="F4" s="4"/>
      <c r="G4" s="4"/>
    </row>
    <row r="5" spans="1:10" ht="18.75" x14ac:dyDescent="0.3">
      <c r="A5" s="416" t="s">
        <v>0</v>
      </c>
      <c r="B5" s="415" t="s">
        <v>1</v>
      </c>
      <c r="C5" s="415" t="s">
        <v>4</v>
      </c>
      <c r="D5" s="415" t="s">
        <v>2</v>
      </c>
      <c r="E5" s="415" t="s">
        <v>3</v>
      </c>
      <c r="F5" s="415"/>
      <c r="G5" s="415"/>
      <c r="H5" s="1"/>
      <c r="I5" s="1"/>
      <c r="J5" s="1"/>
    </row>
    <row r="6" spans="1:10" ht="18.75" x14ac:dyDescent="0.3">
      <c r="A6" s="416"/>
      <c r="B6" s="415"/>
      <c r="C6" s="415"/>
      <c r="D6" s="415"/>
      <c r="E6" s="5">
        <v>2015</v>
      </c>
      <c r="F6" s="5">
        <v>2016</v>
      </c>
      <c r="G6" s="5">
        <v>2017</v>
      </c>
      <c r="H6" s="1"/>
      <c r="I6" s="1"/>
      <c r="J6" s="1"/>
    </row>
    <row r="7" spans="1:10" ht="18.75" x14ac:dyDescent="0.3">
      <c r="A7" s="394" t="s">
        <v>13</v>
      </c>
      <c r="B7" s="395"/>
      <c r="C7" s="395"/>
      <c r="D7" s="395"/>
      <c r="E7" s="395"/>
      <c r="F7" s="395"/>
      <c r="G7" s="396"/>
      <c r="H7" s="1"/>
      <c r="I7" s="1"/>
      <c r="J7" s="1"/>
    </row>
    <row r="8" spans="1:10" ht="35.25" customHeight="1" x14ac:dyDescent="0.25">
      <c r="A8" s="397" t="s">
        <v>6</v>
      </c>
      <c r="B8" s="375" t="s">
        <v>5</v>
      </c>
      <c r="C8" s="6" t="s">
        <v>9</v>
      </c>
      <c r="D8" s="7">
        <f>D11+D14+D17</f>
        <v>334648.89999999997</v>
      </c>
      <c r="E8" s="7">
        <f>E11+E14+E17</f>
        <v>109056.09999999999</v>
      </c>
      <c r="F8" s="7">
        <f>F11+F14+F17</f>
        <v>112796.4</v>
      </c>
      <c r="G8" s="7">
        <f>G11+G14+G17</f>
        <v>112796.4</v>
      </c>
      <c r="H8" s="1"/>
      <c r="I8" s="1"/>
      <c r="J8" s="1"/>
    </row>
    <row r="9" spans="1:10" ht="31.15" customHeight="1" x14ac:dyDescent="0.25">
      <c r="A9" s="398"/>
      <c r="B9" s="376"/>
      <c r="C9" s="6" t="s">
        <v>10</v>
      </c>
      <c r="D9" s="7">
        <f t="shared" ref="D9:G10" si="0">D12+D15</f>
        <v>4431.8</v>
      </c>
      <c r="E9" s="7">
        <f t="shared" si="0"/>
        <v>1390</v>
      </c>
      <c r="F9" s="7">
        <f t="shared" si="0"/>
        <v>1520.9</v>
      </c>
      <c r="G9" s="7">
        <f t="shared" si="0"/>
        <v>1520.9</v>
      </c>
      <c r="H9" s="1"/>
      <c r="I9" s="1"/>
      <c r="J9" s="1"/>
    </row>
    <row r="10" spans="1:10" ht="36" customHeight="1" x14ac:dyDescent="0.25">
      <c r="A10" s="399"/>
      <c r="B10" s="400"/>
      <c r="C10" s="6" t="s">
        <v>11</v>
      </c>
      <c r="D10" s="7">
        <f t="shared" si="0"/>
        <v>0</v>
      </c>
      <c r="E10" s="7">
        <f t="shared" si="0"/>
        <v>0</v>
      </c>
      <c r="F10" s="7">
        <f t="shared" si="0"/>
        <v>0</v>
      </c>
      <c r="G10" s="7">
        <f t="shared" si="0"/>
        <v>0</v>
      </c>
      <c r="H10" s="1"/>
      <c r="I10" s="1"/>
      <c r="J10" s="1"/>
    </row>
    <row r="11" spans="1:10" ht="37.5" x14ac:dyDescent="0.25">
      <c r="A11" s="401" t="s">
        <v>15</v>
      </c>
      <c r="B11" s="375" t="s">
        <v>7</v>
      </c>
      <c r="C11" s="6" t="s">
        <v>9</v>
      </c>
      <c r="D11" s="7">
        <f t="shared" ref="D11:D29" si="1">SUM(E11:G11)</f>
        <v>305941.19999999995</v>
      </c>
      <c r="E11" s="7">
        <v>101980.4</v>
      </c>
      <c r="F11" s="7">
        <f>E11</f>
        <v>101980.4</v>
      </c>
      <c r="G11" s="7">
        <f>F11</f>
        <v>101980.4</v>
      </c>
      <c r="H11" s="1"/>
      <c r="I11" s="1"/>
      <c r="J11" s="1"/>
    </row>
    <row r="12" spans="1:10" ht="22.5" customHeight="1" x14ac:dyDescent="0.25">
      <c r="A12" s="402"/>
      <c r="B12" s="404"/>
      <c r="C12" s="6" t="s">
        <v>10</v>
      </c>
      <c r="D12" s="7">
        <f t="shared" si="1"/>
        <v>0</v>
      </c>
      <c r="E12" s="7"/>
      <c r="F12" s="7"/>
      <c r="G12" s="7"/>
      <c r="H12" s="1"/>
      <c r="I12" s="1"/>
      <c r="J12" s="1"/>
    </row>
    <row r="13" spans="1:10" ht="84.6" customHeight="1" x14ac:dyDescent="0.25">
      <c r="A13" s="403"/>
      <c r="B13" s="405"/>
      <c r="C13" s="6" t="s">
        <v>11</v>
      </c>
      <c r="D13" s="7">
        <f t="shared" si="1"/>
        <v>0</v>
      </c>
      <c r="E13" s="7"/>
      <c r="F13" s="7"/>
      <c r="G13" s="7"/>
      <c r="H13" s="1"/>
      <c r="I13" s="1"/>
      <c r="J13" s="1"/>
    </row>
    <row r="14" spans="1:10" ht="37.5" x14ac:dyDescent="0.25">
      <c r="A14" s="379" t="s">
        <v>14</v>
      </c>
      <c r="B14" s="375" t="s">
        <v>28</v>
      </c>
      <c r="C14" s="6" t="s">
        <v>9</v>
      </c>
      <c r="D14" s="7">
        <f t="shared" si="1"/>
        <v>0</v>
      </c>
      <c r="E14" s="7"/>
      <c r="F14" s="7"/>
      <c r="G14" s="7"/>
      <c r="H14" s="1"/>
      <c r="I14" s="1"/>
      <c r="J14" s="1"/>
    </row>
    <row r="15" spans="1:10" ht="37.5" x14ac:dyDescent="0.25">
      <c r="A15" s="391"/>
      <c r="B15" s="404"/>
      <c r="C15" s="6" t="s">
        <v>10</v>
      </c>
      <c r="D15" s="7">
        <f t="shared" si="1"/>
        <v>4431.8</v>
      </c>
      <c r="E15" s="7">
        <v>1390</v>
      </c>
      <c r="F15" s="7">
        <v>1520.9</v>
      </c>
      <c r="G15" s="7">
        <f>F15</f>
        <v>1520.9</v>
      </c>
      <c r="H15" s="1"/>
      <c r="I15" s="1"/>
      <c r="J15" s="1"/>
    </row>
    <row r="16" spans="1:10" ht="30" customHeight="1" x14ac:dyDescent="0.25">
      <c r="A16" s="377"/>
      <c r="B16" s="405"/>
      <c r="C16" s="6" t="s">
        <v>11</v>
      </c>
      <c r="D16" s="7">
        <f t="shared" si="1"/>
        <v>0</v>
      </c>
      <c r="E16" s="7"/>
      <c r="F16" s="7"/>
      <c r="G16" s="7"/>
      <c r="H16" s="1"/>
      <c r="I16" s="1"/>
      <c r="J16" s="1"/>
    </row>
    <row r="17" spans="1:10" ht="81.599999999999994" customHeight="1" x14ac:dyDescent="0.25">
      <c r="A17" s="9" t="s">
        <v>91</v>
      </c>
      <c r="B17" s="3" t="s">
        <v>32</v>
      </c>
      <c r="C17" s="6" t="s">
        <v>9</v>
      </c>
      <c r="D17" s="7">
        <f t="shared" si="1"/>
        <v>28707.7</v>
      </c>
      <c r="E17" s="7">
        <v>7075.7</v>
      </c>
      <c r="F17" s="7">
        <v>10816</v>
      </c>
      <c r="G17" s="7">
        <v>10816</v>
      </c>
      <c r="H17" s="1"/>
      <c r="I17" s="1"/>
      <c r="J17" s="1"/>
    </row>
    <row r="18" spans="1:10" ht="36" customHeight="1" x14ac:dyDescent="0.25">
      <c r="A18" s="379" t="s">
        <v>8</v>
      </c>
      <c r="B18" s="375" t="s">
        <v>18</v>
      </c>
      <c r="C18" s="6" t="s">
        <v>9</v>
      </c>
      <c r="D18" s="7">
        <f t="shared" ref="D18:G19" si="2">D21+D24</f>
        <v>1888</v>
      </c>
      <c r="E18" s="7">
        <f t="shared" si="2"/>
        <v>1888</v>
      </c>
      <c r="F18" s="7">
        <f t="shared" si="2"/>
        <v>0</v>
      </c>
      <c r="G18" s="7">
        <f t="shared" si="2"/>
        <v>0</v>
      </c>
      <c r="H18" s="1"/>
      <c r="I18" s="1"/>
      <c r="J18" s="1"/>
    </row>
    <row r="19" spans="1:10" ht="37.5" x14ac:dyDescent="0.25">
      <c r="A19" s="391"/>
      <c r="B19" s="406"/>
      <c r="C19" s="6" t="s">
        <v>10</v>
      </c>
      <c r="D19" s="7">
        <f t="shared" si="2"/>
        <v>33971</v>
      </c>
      <c r="E19" s="7">
        <f t="shared" si="2"/>
        <v>33971</v>
      </c>
      <c r="F19" s="7">
        <f t="shared" si="2"/>
        <v>0</v>
      </c>
      <c r="G19" s="7">
        <f t="shared" si="2"/>
        <v>0</v>
      </c>
      <c r="H19" s="1"/>
      <c r="I19" s="1"/>
      <c r="J19" s="1"/>
    </row>
    <row r="20" spans="1:10" ht="37.5" x14ac:dyDescent="0.25">
      <c r="A20" s="377"/>
      <c r="B20" s="407"/>
      <c r="C20" s="6" t="s">
        <v>11</v>
      </c>
      <c r="D20" s="7">
        <f t="shared" si="1"/>
        <v>0</v>
      </c>
      <c r="E20" s="7">
        <f>SUM(F20:H20)</f>
        <v>0</v>
      </c>
      <c r="F20" s="7">
        <f>SUM(G20:I20)</f>
        <v>0</v>
      </c>
      <c r="G20" s="7">
        <f>SUM(H20:J20)</f>
        <v>0</v>
      </c>
      <c r="H20" s="1"/>
      <c r="I20" s="1"/>
      <c r="J20" s="1"/>
    </row>
    <row r="21" spans="1:10" ht="37.5" x14ac:dyDescent="0.25">
      <c r="A21" s="375" t="s">
        <v>16</v>
      </c>
      <c r="B21" s="375" t="s">
        <v>87</v>
      </c>
      <c r="C21" s="6" t="s">
        <v>9</v>
      </c>
      <c r="D21" s="7">
        <f t="shared" si="1"/>
        <v>100</v>
      </c>
      <c r="E21" s="7">
        <v>100</v>
      </c>
      <c r="F21" s="7">
        <v>0</v>
      </c>
      <c r="G21" s="7">
        <v>0</v>
      </c>
      <c r="H21" s="1"/>
      <c r="I21" s="1"/>
      <c r="J21" s="1"/>
    </row>
    <row r="22" spans="1:10" ht="37.5" x14ac:dyDescent="0.25">
      <c r="A22" s="376"/>
      <c r="B22" s="392"/>
      <c r="C22" s="6" t="s">
        <v>10</v>
      </c>
      <c r="D22" s="7">
        <f t="shared" si="1"/>
        <v>0</v>
      </c>
      <c r="E22" s="7">
        <v>0</v>
      </c>
      <c r="F22" s="7">
        <v>0</v>
      </c>
      <c r="G22" s="7">
        <v>0</v>
      </c>
      <c r="H22" s="1"/>
      <c r="I22" s="1"/>
      <c r="J22" s="1"/>
    </row>
    <row r="23" spans="1:10" ht="33.6" customHeight="1" x14ac:dyDescent="0.25">
      <c r="A23" s="400"/>
      <c r="B23" s="378"/>
      <c r="C23" s="6" t="s">
        <v>11</v>
      </c>
      <c r="D23" s="7">
        <f t="shared" si="1"/>
        <v>0</v>
      </c>
      <c r="E23" s="7">
        <v>0</v>
      </c>
      <c r="F23" s="7">
        <v>0</v>
      </c>
      <c r="G23" s="7">
        <v>0</v>
      </c>
      <c r="H23" s="1"/>
      <c r="I23" s="1"/>
      <c r="J23" s="1"/>
    </row>
    <row r="24" spans="1:10" ht="37.5" x14ac:dyDescent="0.25">
      <c r="A24" s="379" t="s">
        <v>17</v>
      </c>
      <c r="B24" s="375" t="s">
        <v>88</v>
      </c>
      <c r="C24" s="6" t="s">
        <v>9</v>
      </c>
      <c r="D24" s="7">
        <f t="shared" si="1"/>
        <v>1788</v>
      </c>
      <c r="E24" s="7">
        <v>1788</v>
      </c>
      <c r="F24" s="7">
        <v>0</v>
      </c>
      <c r="G24" s="7">
        <v>0</v>
      </c>
      <c r="H24" s="1"/>
      <c r="I24" s="1"/>
      <c r="J24" s="1"/>
    </row>
    <row r="25" spans="1:10" ht="37.5" x14ac:dyDescent="0.25">
      <c r="A25" s="391"/>
      <c r="B25" s="404"/>
      <c r="C25" s="6" t="s">
        <v>10</v>
      </c>
      <c r="D25" s="7">
        <f t="shared" si="1"/>
        <v>33971</v>
      </c>
      <c r="E25" s="7">
        <v>33971</v>
      </c>
      <c r="F25" s="7">
        <v>0</v>
      </c>
      <c r="G25" s="7">
        <v>0</v>
      </c>
      <c r="H25" s="1"/>
      <c r="I25" s="1"/>
      <c r="J25" s="1"/>
    </row>
    <row r="26" spans="1:10" ht="37.5" x14ac:dyDescent="0.25">
      <c r="A26" s="377"/>
      <c r="B26" s="405"/>
      <c r="C26" s="6" t="s">
        <v>11</v>
      </c>
      <c r="D26" s="7">
        <f t="shared" si="1"/>
        <v>0</v>
      </c>
      <c r="E26" s="7">
        <v>0</v>
      </c>
      <c r="F26" s="7">
        <v>0</v>
      </c>
      <c r="G26" s="7">
        <v>0</v>
      </c>
      <c r="H26" s="1"/>
      <c r="I26" s="1"/>
      <c r="J26" s="1"/>
    </row>
    <row r="27" spans="1:10" ht="37.5" x14ac:dyDescent="0.25">
      <c r="A27" s="379" t="s">
        <v>12</v>
      </c>
      <c r="B27" s="375" t="s">
        <v>20</v>
      </c>
      <c r="C27" s="6" t="s">
        <v>9</v>
      </c>
      <c r="D27" s="7">
        <f t="shared" si="1"/>
        <v>150</v>
      </c>
      <c r="E27" s="7">
        <v>50</v>
      </c>
      <c r="F27" s="7">
        <v>50</v>
      </c>
      <c r="G27" s="7">
        <v>50</v>
      </c>
      <c r="H27" s="1"/>
      <c r="I27" s="1"/>
      <c r="J27" s="1"/>
    </row>
    <row r="28" spans="1:10" ht="128.44999999999999" customHeight="1" x14ac:dyDescent="0.25">
      <c r="A28" s="391"/>
      <c r="B28" s="417"/>
      <c r="C28" s="6" t="s">
        <v>10</v>
      </c>
      <c r="D28" s="7">
        <f t="shared" si="1"/>
        <v>150</v>
      </c>
      <c r="E28" s="7">
        <v>50</v>
      </c>
      <c r="F28" s="7">
        <v>50</v>
      </c>
      <c r="G28" s="7">
        <v>50</v>
      </c>
      <c r="H28" s="1"/>
      <c r="I28" s="1"/>
      <c r="J28" s="1"/>
    </row>
    <row r="29" spans="1:10" ht="121.15" customHeight="1" x14ac:dyDescent="0.25">
      <c r="A29" s="10" t="s">
        <v>19</v>
      </c>
      <c r="B29" s="6" t="s">
        <v>43</v>
      </c>
      <c r="C29" s="6" t="s">
        <v>9</v>
      </c>
      <c r="D29" s="7">
        <f t="shared" si="1"/>
        <v>150</v>
      </c>
      <c r="E29" s="7">
        <v>50</v>
      </c>
      <c r="F29" s="7">
        <v>50</v>
      </c>
      <c r="G29" s="7">
        <v>50</v>
      </c>
      <c r="H29" s="1"/>
      <c r="I29" s="1"/>
      <c r="J29" s="1"/>
    </row>
    <row r="30" spans="1:10" ht="37.5" x14ac:dyDescent="0.25">
      <c r="A30" s="372"/>
      <c r="B30" s="419" t="s">
        <v>89</v>
      </c>
      <c r="C30" s="11" t="s">
        <v>9</v>
      </c>
      <c r="D30" s="12">
        <f>D8+D18+D27+D29</f>
        <v>336836.89999999997</v>
      </c>
      <c r="E30" s="12">
        <f>E8+E18+E27+E29</f>
        <v>111044.09999999999</v>
      </c>
      <c r="F30" s="12">
        <f>F8+F18+F27+F29</f>
        <v>112896.4</v>
      </c>
      <c r="G30" s="12">
        <f>G8+G18+G27+G29</f>
        <v>112896.4</v>
      </c>
      <c r="H30" s="1"/>
      <c r="I30" s="1"/>
      <c r="J30" s="1"/>
    </row>
    <row r="31" spans="1:10" ht="37.5" x14ac:dyDescent="0.25">
      <c r="A31" s="372"/>
      <c r="B31" s="419"/>
      <c r="C31" s="11" t="s">
        <v>10</v>
      </c>
      <c r="D31" s="12">
        <f>D9+D19+D28</f>
        <v>38552.800000000003</v>
      </c>
      <c r="E31" s="12">
        <f>E9+E19+E28</f>
        <v>35411</v>
      </c>
      <c r="F31" s="12">
        <f>F9+F19+F28</f>
        <v>1570.9</v>
      </c>
      <c r="G31" s="12">
        <f>G9+G19+G28</f>
        <v>1570.9</v>
      </c>
      <c r="H31" s="1"/>
      <c r="I31" s="1"/>
      <c r="J31" s="1"/>
    </row>
    <row r="32" spans="1:10" ht="37.5" x14ac:dyDescent="0.25">
      <c r="A32" s="372"/>
      <c r="B32" s="419"/>
      <c r="C32" s="11" t="s">
        <v>11</v>
      </c>
      <c r="D32" s="12">
        <f>D10+D20</f>
        <v>0</v>
      </c>
      <c r="E32" s="12">
        <f>E10+E20</f>
        <v>0</v>
      </c>
      <c r="F32" s="12">
        <f>F10+F20</f>
        <v>0</v>
      </c>
      <c r="G32" s="12">
        <f>G10+G20</f>
        <v>0</v>
      </c>
      <c r="H32" s="1"/>
      <c r="I32" s="1"/>
      <c r="J32" s="1"/>
    </row>
    <row r="33" spans="1:10" ht="18.75" x14ac:dyDescent="0.3">
      <c r="A33" s="394" t="s">
        <v>21</v>
      </c>
      <c r="B33" s="395"/>
      <c r="C33" s="395"/>
      <c r="D33" s="395"/>
      <c r="E33" s="395"/>
      <c r="F33" s="395"/>
      <c r="G33" s="396"/>
      <c r="H33" s="1"/>
      <c r="I33" s="1"/>
      <c r="J33" s="1"/>
    </row>
    <row r="34" spans="1:10" ht="46.5" customHeight="1" x14ac:dyDescent="0.25">
      <c r="A34" s="379" t="s">
        <v>22</v>
      </c>
      <c r="B34" s="375" t="s">
        <v>23</v>
      </c>
      <c r="C34" s="6" t="s">
        <v>9</v>
      </c>
      <c r="D34" s="7">
        <f>D37+D40+D43</f>
        <v>221887.7</v>
      </c>
      <c r="E34" s="7">
        <f>E37+E40+E43</f>
        <v>72089.899999999994</v>
      </c>
      <c r="F34" s="7">
        <f>F37+F40+F43</f>
        <v>74898.899999999994</v>
      </c>
      <c r="G34" s="7">
        <f>G37+G40+G43</f>
        <v>74898.899999999994</v>
      </c>
      <c r="H34" s="1"/>
      <c r="I34" s="1"/>
      <c r="J34" s="1"/>
    </row>
    <row r="35" spans="1:10" ht="37.5" x14ac:dyDescent="0.25">
      <c r="A35" s="391"/>
      <c r="B35" s="376"/>
      <c r="C35" s="6" t="s">
        <v>10</v>
      </c>
      <c r="D35" s="7">
        <f t="shared" ref="D35:G36" si="3">D38+D41</f>
        <v>4787</v>
      </c>
      <c r="E35" s="7">
        <f t="shared" si="3"/>
        <v>1529</v>
      </c>
      <c r="F35" s="7">
        <f t="shared" si="3"/>
        <v>1629</v>
      </c>
      <c r="G35" s="7">
        <f t="shared" si="3"/>
        <v>1629</v>
      </c>
      <c r="H35" s="1"/>
      <c r="I35" s="1"/>
      <c r="J35" s="1"/>
    </row>
    <row r="36" spans="1:10" ht="37.5" x14ac:dyDescent="0.25">
      <c r="A36" s="377"/>
      <c r="B36" s="400"/>
      <c r="C36" s="6" t="s">
        <v>11</v>
      </c>
      <c r="D36" s="7">
        <f t="shared" si="3"/>
        <v>0</v>
      </c>
      <c r="E36" s="7">
        <f t="shared" si="3"/>
        <v>0</v>
      </c>
      <c r="F36" s="7">
        <f t="shared" si="3"/>
        <v>0</v>
      </c>
      <c r="G36" s="7">
        <f t="shared" si="3"/>
        <v>0</v>
      </c>
      <c r="H36" s="1"/>
      <c r="I36" s="1"/>
      <c r="J36" s="1"/>
    </row>
    <row r="37" spans="1:10" ht="37.5" x14ac:dyDescent="0.25">
      <c r="A37" s="379" t="s">
        <v>25</v>
      </c>
      <c r="B37" s="421" t="s">
        <v>24</v>
      </c>
      <c r="C37" s="6" t="s">
        <v>9</v>
      </c>
      <c r="D37" s="7">
        <f t="shared" ref="D37:D65" si="4">E37+F37+G37</f>
        <v>193784.7</v>
      </c>
      <c r="E37" s="7">
        <v>64594.9</v>
      </c>
      <c r="F37" s="7">
        <f>E37</f>
        <v>64594.9</v>
      </c>
      <c r="G37" s="7">
        <f>F37</f>
        <v>64594.9</v>
      </c>
      <c r="H37" s="1"/>
      <c r="I37" s="1"/>
      <c r="J37" s="1"/>
    </row>
    <row r="38" spans="1:10" ht="37.5" x14ac:dyDescent="0.25">
      <c r="A38" s="391"/>
      <c r="B38" s="422"/>
      <c r="C38" s="6" t="s">
        <v>10</v>
      </c>
      <c r="D38" s="7">
        <f t="shared" si="4"/>
        <v>0</v>
      </c>
      <c r="E38" s="7"/>
      <c r="F38" s="7"/>
      <c r="G38" s="7"/>
      <c r="H38" s="1"/>
      <c r="I38" s="1"/>
      <c r="J38" s="1"/>
    </row>
    <row r="39" spans="1:10" ht="106.15" customHeight="1" x14ac:dyDescent="0.25">
      <c r="A39" s="377"/>
      <c r="B39" s="423"/>
      <c r="C39" s="6" t="s">
        <v>11</v>
      </c>
      <c r="D39" s="7">
        <f t="shared" si="4"/>
        <v>0</v>
      </c>
      <c r="E39" s="7"/>
      <c r="F39" s="7"/>
      <c r="G39" s="7"/>
      <c r="H39" s="1"/>
      <c r="I39" s="1"/>
      <c r="J39" s="1"/>
    </row>
    <row r="40" spans="1:10" ht="37.5" x14ac:dyDescent="0.25">
      <c r="A40" s="379" t="s">
        <v>26</v>
      </c>
      <c r="B40" s="375" t="s">
        <v>28</v>
      </c>
      <c r="C40" s="6" t="s">
        <v>9</v>
      </c>
      <c r="D40" s="7">
        <f t="shared" si="4"/>
        <v>0</v>
      </c>
      <c r="E40" s="7"/>
      <c r="F40" s="7"/>
      <c r="G40" s="7"/>
      <c r="H40" s="1"/>
      <c r="I40" s="1"/>
      <c r="J40" s="1"/>
    </row>
    <row r="41" spans="1:10" ht="37.5" x14ac:dyDescent="0.25">
      <c r="A41" s="391"/>
      <c r="B41" s="392"/>
      <c r="C41" s="6" t="s">
        <v>10</v>
      </c>
      <c r="D41" s="14">
        <f t="shared" si="4"/>
        <v>4787</v>
      </c>
      <c r="E41" s="7">
        <v>1529</v>
      </c>
      <c r="F41" s="7">
        <v>1629</v>
      </c>
      <c r="G41" s="7">
        <v>1629</v>
      </c>
      <c r="H41" s="1"/>
      <c r="I41" s="1"/>
      <c r="J41" s="1"/>
    </row>
    <row r="42" spans="1:10" ht="37.5" x14ac:dyDescent="0.25">
      <c r="A42" s="391"/>
      <c r="B42" s="392"/>
      <c r="C42" s="2" t="s">
        <v>11</v>
      </c>
      <c r="D42" s="7">
        <f t="shared" si="4"/>
        <v>0</v>
      </c>
      <c r="E42" s="15"/>
      <c r="F42" s="15"/>
      <c r="G42" s="15"/>
      <c r="H42" s="1"/>
      <c r="I42" s="1"/>
      <c r="J42" s="1"/>
    </row>
    <row r="43" spans="1:10" ht="93.75" x14ac:dyDescent="0.25">
      <c r="A43" s="10" t="s">
        <v>30</v>
      </c>
      <c r="B43" s="6" t="s">
        <v>31</v>
      </c>
      <c r="C43" s="6" t="s">
        <v>9</v>
      </c>
      <c r="D43" s="7">
        <f t="shared" si="4"/>
        <v>28103</v>
      </c>
      <c r="E43" s="15">
        <v>7495</v>
      </c>
      <c r="F43" s="15">
        <v>10304</v>
      </c>
      <c r="G43" s="15">
        <v>10304</v>
      </c>
      <c r="H43" s="1"/>
      <c r="I43" s="1"/>
      <c r="J43" s="1"/>
    </row>
    <row r="44" spans="1:10" ht="37.5" x14ac:dyDescent="0.25">
      <c r="A44" s="389" t="s">
        <v>29</v>
      </c>
      <c r="B44" s="386" t="s">
        <v>27</v>
      </c>
      <c r="C44" s="6" t="s">
        <v>9</v>
      </c>
      <c r="D44" s="7">
        <f t="shared" si="4"/>
        <v>294.89999999999998</v>
      </c>
      <c r="E44" s="7">
        <v>98.3</v>
      </c>
      <c r="F44" s="7">
        <v>98.3</v>
      </c>
      <c r="G44" s="7">
        <v>98.3</v>
      </c>
      <c r="H44" s="1"/>
      <c r="I44" s="1"/>
      <c r="J44" s="1"/>
    </row>
    <row r="45" spans="1:10" ht="129.6" customHeight="1" x14ac:dyDescent="0.25">
      <c r="A45" s="390"/>
      <c r="B45" s="420"/>
      <c r="C45" s="6" t="s">
        <v>10</v>
      </c>
      <c r="D45" s="7">
        <f t="shared" si="4"/>
        <v>5598</v>
      </c>
      <c r="E45" s="7">
        <v>1866</v>
      </c>
      <c r="F45" s="7">
        <v>1866</v>
      </c>
      <c r="G45" s="7">
        <v>1866</v>
      </c>
      <c r="H45" s="1"/>
      <c r="I45" s="1"/>
      <c r="J45" s="1"/>
    </row>
    <row r="46" spans="1:10" ht="111.75" customHeight="1" x14ac:dyDescent="0.25">
      <c r="A46" s="383" t="s">
        <v>34</v>
      </c>
      <c r="B46" s="393" t="s">
        <v>33</v>
      </c>
      <c r="C46" s="6" t="s">
        <v>9</v>
      </c>
      <c r="D46" s="7">
        <f t="shared" si="4"/>
        <v>6020.3</v>
      </c>
      <c r="E46" s="7">
        <v>3320.3</v>
      </c>
      <c r="F46" s="7">
        <v>2100</v>
      </c>
      <c r="G46" s="7">
        <v>600</v>
      </c>
      <c r="H46" s="1"/>
      <c r="I46" s="1"/>
      <c r="J46" s="1"/>
    </row>
    <row r="47" spans="1:10" ht="37.5" x14ac:dyDescent="0.25">
      <c r="A47" s="383"/>
      <c r="B47" s="386"/>
      <c r="C47" s="6" t="s">
        <v>10</v>
      </c>
      <c r="D47" s="7">
        <f t="shared" si="4"/>
        <v>0</v>
      </c>
      <c r="E47" s="7"/>
      <c r="F47" s="7"/>
      <c r="G47" s="7"/>
      <c r="H47" s="1"/>
      <c r="I47" s="1"/>
      <c r="J47" s="1"/>
    </row>
    <row r="48" spans="1:10" ht="46.9" customHeight="1" x14ac:dyDescent="0.25">
      <c r="A48" s="383"/>
      <c r="B48" s="386"/>
      <c r="C48" s="6" t="s">
        <v>11</v>
      </c>
      <c r="D48" s="7">
        <f t="shared" si="4"/>
        <v>0</v>
      </c>
      <c r="E48" s="7"/>
      <c r="F48" s="7"/>
      <c r="G48" s="7"/>
      <c r="H48" s="1"/>
      <c r="I48" s="1"/>
      <c r="J48" s="1"/>
    </row>
    <row r="49" spans="1:10" ht="37.5" x14ac:dyDescent="0.25">
      <c r="A49" s="383" t="s">
        <v>36</v>
      </c>
      <c r="B49" s="375" t="s">
        <v>35</v>
      </c>
      <c r="C49" s="6" t="s">
        <v>9</v>
      </c>
      <c r="D49" s="7">
        <f t="shared" si="4"/>
        <v>150</v>
      </c>
      <c r="E49" s="7">
        <v>50</v>
      </c>
      <c r="F49" s="7">
        <v>50</v>
      </c>
      <c r="G49" s="7">
        <v>50</v>
      </c>
      <c r="H49" s="1"/>
      <c r="I49" s="1"/>
      <c r="J49" s="1"/>
    </row>
    <row r="50" spans="1:10" ht="105.6" customHeight="1" x14ac:dyDescent="0.25">
      <c r="A50" s="383"/>
      <c r="B50" s="405"/>
      <c r="C50" s="6" t="s">
        <v>10</v>
      </c>
      <c r="D50" s="7">
        <f t="shared" si="4"/>
        <v>2848.8</v>
      </c>
      <c r="E50" s="7">
        <v>949.6</v>
      </c>
      <c r="F50" s="7">
        <v>949.6</v>
      </c>
      <c r="G50" s="7">
        <v>949.6</v>
      </c>
      <c r="H50" s="1"/>
      <c r="I50" s="1"/>
      <c r="J50" s="1"/>
    </row>
    <row r="51" spans="1:10" ht="281.45" customHeight="1" x14ac:dyDescent="0.25">
      <c r="A51" s="10" t="s">
        <v>37</v>
      </c>
      <c r="B51" s="6" t="s">
        <v>38</v>
      </c>
      <c r="C51" s="6" t="s">
        <v>9</v>
      </c>
      <c r="D51" s="7">
        <f t="shared" si="4"/>
        <v>12000</v>
      </c>
      <c r="E51" s="16">
        <v>4000</v>
      </c>
      <c r="F51" s="16">
        <v>4000</v>
      </c>
      <c r="G51" s="16">
        <v>4000</v>
      </c>
    </row>
    <row r="52" spans="1:10" ht="95.25" customHeight="1" x14ac:dyDescent="0.25">
      <c r="A52" s="383" t="s">
        <v>102</v>
      </c>
      <c r="B52" s="386" t="s">
        <v>39</v>
      </c>
      <c r="C52" s="6" t="s">
        <v>9</v>
      </c>
      <c r="D52" s="7">
        <f t="shared" si="4"/>
        <v>0</v>
      </c>
      <c r="E52" s="16"/>
      <c r="F52" s="16"/>
      <c r="G52" s="16"/>
    </row>
    <row r="53" spans="1:10" ht="39" customHeight="1" thickBot="1" x14ac:dyDescent="0.3">
      <c r="A53" s="390"/>
      <c r="B53" s="390"/>
      <c r="C53" s="6" t="s">
        <v>10</v>
      </c>
      <c r="D53" s="7">
        <f t="shared" si="4"/>
        <v>0</v>
      </c>
      <c r="E53" s="16"/>
      <c r="F53" s="16"/>
      <c r="G53" s="16"/>
    </row>
    <row r="54" spans="1:10" ht="301.14999999999998" customHeight="1" thickBot="1" x14ac:dyDescent="0.3">
      <c r="A54" s="10" t="s">
        <v>40</v>
      </c>
      <c r="B54" s="17" t="s">
        <v>83</v>
      </c>
      <c r="C54" s="6" t="s">
        <v>9</v>
      </c>
      <c r="D54" s="14">
        <f t="shared" si="4"/>
        <v>35718</v>
      </c>
      <c r="E54" s="16">
        <v>11906</v>
      </c>
      <c r="F54" s="16">
        <f>E54</f>
        <v>11906</v>
      </c>
      <c r="G54" s="16">
        <f>F54</f>
        <v>11906</v>
      </c>
    </row>
    <row r="55" spans="1:10" ht="201" customHeight="1" x14ac:dyDescent="0.25">
      <c r="A55" s="10" t="s">
        <v>41</v>
      </c>
      <c r="B55" s="18" t="s">
        <v>84</v>
      </c>
      <c r="C55" s="6"/>
      <c r="D55" s="14">
        <f t="shared" si="4"/>
        <v>20910</v>
      </c>
      <c r="E55" s="16">
        <v>6970</v>
      </c>
      <c r="F55" s="16">
        <f>E55</f>
        <v>6970</v>
      </c>
      <c r="G55" s="16">
        <f>F55</f>
        <v>6970</v>
      </c>
    </row>
    <row r="56" spans="1:10" ht="56.25" x14ac:dyDescent="0.25">
      <c r="A56" s="10" t="s">
        <v>85</v>
      </c>
      <c r="B56" s="6" t="s">
        <v>44</v>
      </c>
      <c r="C56" s="6" t="s">
        <v>9</v>
      </c>
      <c r="D56" s="7">
        <f>D57+D58+D59+D60+D61</f>
        <v>2370</v>
      </c>
      <c r="E56" s="7">
        <f>E57+E58+E59+E60+E61</f>
        <v>790</v>
      </c>
      <c r="F56" s="7">
        <f>F57+F58+F59+F60+F61</f>
        <v>790</v>
      </c>
      <c r="G56" s="7">
        <f>G57+G58+G59+G60+G61</f>
        <v>790</v>
      </c>
    </row>
    <row r="57" spans="1:10" ht="131.25" x14ac:dyDescent="0.3">
      <c r="A57" s="10" t="s">
        <v>103</v>
      </c>
      <c r="B57" s="5" t="s">
        <v>42</v>
      </c>
      <c r="C57" s="6" t="s">
        <v>9</v>
      </c>
      <c r="D57" s="7">
        <f t="shared" si="4"/>
        <v>120</v>
      </c>
      <c r="E57" s="16">
        <v>40</v>
      </c>
      <c r="F57" s="16">
        <v>40</v>
      </c>
      <c r="G57" s="16">
        <v>40</v>
      </c>
    </row>
    <row r="58" spans="1:10" ht="168.75" x14ac:dyDescent="0.25">
      <c r="A58" s="19" t="s">
        <v>104</v>
      </c>
      <c r="B58" s="6" t="s">
        <v>45</v>
      </c>
      <c r="C58" s="6" t="s">
        <v>9</v>
      </c>
      <c r="D58" s="7">
        <f t="shared" si="4"/>
        <v>900</v>
      </c>
      <c r="E58" s="16">
        <v>300</v>
      </c>
      <c r="F58" s="16">
        <v>300</v>
      </c>
      <c r="G58" s="16">
        <v>300</v>
      </c>
    </row>
    <row r="59" spans="1:10" ht="37.5" x14ac:dyDescent="0.25">
      <c r="A59" s="20" t="s">
        <v>105</v>
      </c>
      <c r="B59" s="21" t="s">
        <v>46</v>
      </c>
      <c r="C59" s="6" t="s">
        <v>9</v>
      </c>
      <c r="D59" s="7">
        <f t="shared" si="4"/>
        <v>150</v>
      </c>
      <c r="E59" s="16">
        <v>50</v>
      </c>
      <c r="F59" s="16">
        <v>50</v>
      </c>
      <c r="G59" s="16">
        <v>50</v>
      </c>
    </row>
    <row r="60" spans="1:10" ht="93.75" x14ac:dyDescent="0.3">
      <c r="A60" s="20" t="s">
        <v>106</v>
      </c>
      <c r="B60" s="22" t="s">
        <v>48</v>
      </c>
      <c r="C60" s="6" t="s">
        <v>9</v>
      </c>
      <c r="D60" s="7">
        <f t="shared" si="4"/>
        <v>750</v>
      </c>
      <c r="E60" s="16">
        <v>250</v>
      </c>
      <c r="F60" s="16">
        <v>250</v>
      </c>
      <c r="G60" s="16">
        <v>250</v>
      </c>
    </row>
    <row r="61" spans="1:10" ht="50.25" customHeight="1" x14ac:dyDescent="0.3">
      <c r="A61" s="20" t="s">
        <v>107</v>
      </c>
      <c r="B61" s="5" t="s">
        <v>47</v>
      </c>
      <c r="C61" s="6" t="s">
        <v>9</v>
      </c>
      <c r="D61" s="7">
        <f t="shared" si="4"/>
        <v>450</v>
      </c>
      <c r="E61" s="16">
        <v>150</v>
      </c>
      <c r="F61" s="16">
        <v>150</v>
      </c>
      <c r="G61" s="16">
        <v>150</v>
      </c>
    </row>
    <row r="62" spans="1:10" ht="207" customHeight="1" x14ac:dyDescent="0.25">
      <c r="A62" s="411" t="s">
        <v>86</v>
      </c>
      <c r="B62" s="375" t="s">
        <v>60</v>
      </c>
      <c r="C62" s="6" t="s">
        <v>9</v>
      </c>
      <c r="D62" s="16">
        <f t="shared" si="4"/>
        <v>33.900000000000006</v>
      </c>
      <c r="E62" s="16">
        <v>11.3</v>
      </c>
      <c r="F62" s="16">
        <v>11.3</v>
      </c>
      <c r="G62" s="16">
        <v>11.3</v>
      </c>
    </row>
    <row r="63" spans="1:10" ht="50.25" customHeight="1" x14ac:dyDescent="0.25">
      <c r="A63" s="412"/>
      <c r="B63" s="378"/>
      <c r="C63" s="6" t="s">
        <v>10</v>
      </c>
      <c r="D63" s="16">
        <f t="shared" si="4"/>
        <v>642.59999999999991</v>
      </c>
      <c r="E63" s="16">
        <v>214.2</v>
      </c>
      <c r="F63" s="16">
        <v>214.2</v>
      </c>
      <c r="G63" s="16">
        <v>214.2</v>
      </c>
    </row>
    <row r="64" spans="1:10" ht="50.25" customHeight="1" x14ac:dyDescent="0.25">
      <c r="A64" s="411" t="s">
        <v>101</v>
      </c>
      <c r="B64" s="386" t="s">
        <v>62</v>
      </c>
      <c r="C64" s="6" t="s">
        <v>9</v>
      </c>
      <c r="D64" s="16">
        <f t="shared" si="4"/>
        <v>429.2</v>
      </c>
      <c r="E64" s="16">
        <v>143.1</v>
      </c>
      <c r="F64" s="16">
        <v>143.1</v>
      </c>
      <c r="G64" s="16">
        <v>143</v>
      </c>
    </row>
    <row r="65" spans="1:7" ht="50.25" customHeight="1" x14ac:dyDescent="0.25">
      <c r="A65" s="412"/>
      <c r="B65" s="387"/>
      <c r="C65" s="6" t="s">
        <v>10</v>
      </c>
      <c r="D65" s="16">
        <f t="shared" si="4"/>
        <v>8153.7000000000007</v>
      </c>
      <c r="E65" s="16">
        <v>2717.9</v>
      </c>
      <c r="F65" s="16">
        <v>2717.9</v>
      </c>
      <c r="G65" s="16">
        <v>2717.9</v>
      </c>
    </row>
    <row r="66" spans="1:7" ht="36.6" customHeight="1" x14ac:dyDescent="0.25">
      <c r="A66" s="424"/>
      <c r="B66" s="419" t="s">
        <v>90</v>
      </c>
      <c r="C66" s="11" t="s">
        <v>9</v>
      </c>
      <c r="D66" s="12">
        <f>D34+D44+D46+D49+D51+D52+D54+D55+D56+D62+D64</f>
        <v>299814.00000000006</v>
      </c>
      <c r="E66" s="12">
        <f>E34+E44+E46+E49+E51+E52+E54+E55+E56+E62+E64</f>
        <v>99378.900000000009</v>
      </c>
      <c r="F66" s="12">
        <f>F34+F44+F46+F49+F51+F52+F54+F55+F56+F62+F64</f>
        <v>100967.6</v>
      </c>
      <c r="G66" s="12">
        <f>G34+G44+G46+G49+G51+G52+G54+G55+G56+G62+G64</f>
        <v>99467.5</v>
      </c>
    </row>
    <row r="67" spans="1:7" ht="42" customHeight="1" x14ac:dyDescent="0.25">
      <c r="A67" s="424"/>
      <c r="B67" s="419"/>
      <c r="C67" s="11" t="s">
        <v>10</v>
      </c>
      <c r="D67" s="12">
        <f>D35+D45+D47+D50+D53+D63+D65</f>
        <v>22030.1</v>
      </c>
      <c r="E67" s="12">
        <f>E35+E45+E47+E50+E53+E63+E65</f>
        <v>7276.7000000000007</v>
      </c>
      <c r="F67" s="12">
        <f>F35+F45+F47+F50+F53+F63+F65</f>
        <v>7376.7000000000007</v>
      </c>
      <c r="G67" s="12">
        <f>G35+G45+G47+G50+G53+G63+G65</f>
        <v>7376.7000000000007</v>
      </c>
    </row>
    <row r="68" spans="1:7" ht="49.9" customHeight="1" x14ac:dyDescent="0.25">
      <c r="A68" s="424"/>
      <c r="B68" s="419"/>
      <c r="C68" s="11" t="s">
        <v>11</v>
      </c>
      <c r="D68" s="12">
        <f>D36+D48</f>
        <v>0</v>
      </c>
      <c r="E68" s="12">
        <f>E36+E48</f>
        <v>0</v>
      </c>
      <c r="F68" s="12">
        <f>F36+F48</f>
        <v>0</v>
      </c>
      <c r="G68" s="12">
        <f>G36+G48</f>
        <v>0</v>
      </c>
    </row>
    <row r="69" spans="1:7" ht="22.15" customHeight="1" x14ac:dyDescent="0.25">
      <c r="A69" s="418" t="s">
        <v>49</v>
      </c>
      <c r="B69" s="418"/>
      <c r="C69" s="418"/>
      <c r="D69" s="418"/>
      <c r="E69" s="418"/>
      <c r="F69" s="418"/>
      <c r="G69" s="418"/>
    </row>
    <row r="70" spans="1:7" ht="37.5" x14ac:dyDescent="0.25">
      <c r="A70" s="413" t="s">
        <v>52</v>
      </c>
      <c r="B70" s="386" t="s">
        <v>50</v>
      </c>
      <c r="C70" s="6" t="s">
        <v>9</v>
      </c>
      <c r="D70" s="16">
        <f>D72+D74+D76+D78</f>
        <v>218639.1</v>
      </c>
      <c r="E70" s="16">
        <f>E72+E74+E76+E78</f>
        <v>71413.600000000006</v>
      </c>
      <c r="F70" s="16">
        <f>F72+F74+F76+F78</f>
        <v>74074.3</v>
      </c>
      <c r="G70" s="16">
        <f>G72+G74+G76+G78</f>
        <v>73151.200000000012</v>
      </c>
    </row>
    <row r="71" spans="1:7" ht="36.75" customHeight="1" x14ac:dyDescent="0.25">
      <c r="A71" s="390"/>
      <c r="B71" s="386"/>
      <c r="C71" s="6" t="s">
        <v>10</v>
      </c>
      <c r="D71" s="16">
        <f>D73+D75+D77</f>
        <v>1370</v>
      </c>
      <c r="E71" s="16">
        <f>E73+E75+E77</f>
        <v>390</v>
      </c>
      <c r="F71" s="16">
        <f>F73+F75+F77</f>
        <v>490</v>
      </c>
      <c r="G71" s="16">
        <f>G73+G75+G77</f>
        <v>490</v>
      </c>
    </row>
    <row r="72" spans="1:7" ht="112.5" customHeight="1" x14ac:dyDescent="0.25">
      <c r="A72" s="413" t="s">
        <v>54</v>
      </c>
      <c r="B72" s="386" t="s">
        <v>51</v>
      </c>
      <c r="C72" s="6" t="s">
        <v>9</v>
      </c>
      <c r="D72" s="16">
        <f t="shared" ref="D72:D83" si="5">E72+F72+G72</f>
        <v>160972.70000000001</v>
      </c>
      <c r="E72" s="16">
        <f>52854.3</f>
        <v>52854.3</v>
      </c>
      <c r="F72" s="16">
        <f>53649.6</f>
        <v>53649.599999999999</v>
      </c>
      <c r="G72" s="16">
        <f>54468.8</f>
        <v>54468.800000000003</v>
      </c>
    </row>
    <row r="73" spans="1:7" ht="43.9" customHeight="1" x14ac:dyDescent="0.25">
      <c r="A73" s="390"/>
      <c r="B73" s="387"/>
      <c r="C73" s="6" t="s">
        <v>10</v>
      </c>
      <c r="D73" s="16">
        <f t="shared" si="5"/>
        <v>0</v>
      </c>
      <c r="E73" s="16"/>
      <c r="F73" s="16"/>
      <c r="G73" s="16"/>
    </row>
    <row r="74" spans="1:7" ht="37.5" x14ac:dyDescent="0.25">
      <c r="A74" s="414" t="s">
        <v>55</v>
      </c>
      <c r="B74" s="386" t="s">
        <v>28</v>
      </c>
      <c r="C74" s="6" t="s">
        <v>9</v>
      </c>
      <c r="D74" s="16">
        <f t="shared" si="5"/>
        <v>0</v>
      </c>
      <c r="E74" s="16"/>
      <c r="F74" s="16"/>
      <c r="G74" s="16"/>
    </row>
    <row r="75" spans="1:7" ht="66.599999999999994" customHeight="1" x14ac:dyDescent="0.25">
      <c r="A75" s="414"/>
      <c r="B75" s="387"/>
      <c r="C75" s="6" t="s">
        <v>10</v>
      </c>
      <c r="D75" s="23">
        <f t="shared" si="5"/>
        <v>1370</v>
      </c>
      <c r="E75" s="16">
        <v>390</v>
      </c>
      <c r="F75" s="16">
        <v>490</v>
      </c>
      <c r="G75" s="16">
        <v>490</v>
      </c>
    </row>
    <row r="76" spans="1:7" ht="44.45" customHeight="1" x14ac:dyDescent="0.25">
      <c r="A76" s="414" t="s">
        <v>56</v>
      </c>
      <c r="B76" s="388" t="s">
        <v>57</v>
      </c>
      <c r="C76" s="6" t="s">
        <v>9</v>
      </c>
      <c r="D76" s="16">
        <f t="shared" si="5"/>
        <v>52127.4</v>
      </c>
      <c r="E76" s="16">
        <v>17032.3</v>
      </c>
      <c r="F76" s="16">
        <v>17412.7</v>
      </c>
      <c r="G76" s="16">
        <v>17682.400000000001</v>
      </c>
    </row>
    <row r="77" spans="1:7" ht="57" customHeight="1" x14ac:dyDescent="0.25">
      <c r="A77" s="414"/>
      <c r="B77" s="388"/>
      <c r="C77" s="6" t="s">
        <v>10</v>
      </c>
      <c r="D77" s="16">
        <f t="shared" si="5"/>
        <v>0</v>
      </c>
      <c r="E77" s="16"/>
      <c r="F77" s="16"/>
      <c r="G77" s="16"/>
    </row>
    <row r="78" spans="1:7" ht="103.15" customHeight="1" x14ac:dyDescent="0.25">
      <c r="A78" s="24" t="s">
        <v>58</v>
      </c>
      <c r="B78" s="6" t="s">
        <v>59</v>
      </c>
      <c r="C78" s="6" t="s">
        <v>9</v>
      </c>
      <c r="D78" s="16">
        <f t="shared" si="5"/>
        <v>5539</v>
      </c>
      <c r="E78" s="16">
        <v>1527</v>
      </c>
      <c r="F78" s="16">
        <v>3012</v>
      </c>
      <c r="G78" s="16">
        <v>1000</v>
      </c>
    </row>
    <row r="79" spans="1:7" ht="150" customHeight="1" x14ac:dyDescent="0.25">
      <c r="A79" s="10" t="s">
        <v>53</v>
      </c>
      <c r="B79" s="6" t="s">
        <v>100</v>
      </c>
      <c r="C79" s="6" t="s">
        <v>9</v>
      </c>
      <c r="D79" s="16">
        <f t="shared" si="5"/>
        <v>1500</v>
      </c>
      <c r="E79" s="16">
        <v>500</v>
      </c>
      <c r="F79" s="16">
        <v>500</v>
      </c>
      <c r="G79" s="16">
        <v>500</v>
      </c>
    </row>
    <row r="80" spans="1:7" ht="38.450000000000003" customHeight="1" x14ac:dyDescent="0.25">
      <c r="A80" s="379" t="s">
        <v>61</v>
      </c>
      <c r="B80" s="409" t="s">
        <v>110</v>
      </c>
      <c r="C80" s="2" t="s">
        <v>9</v>
      </c>
      <c r="D80" s="25">
        <f t="shared" si="5"/>
        <v>0</v>
      </c>
      <c r="E80" s="25">
        <v>0</v>
      </c>
      <c r="F80" s="25">
        <v>0</v>
      </c>
      <c r="G80" s="25">
        <v>0</v>
      </c>
    </row>
    <row r="81" spans="1:7" ht="33.6" hidden="1" customHeight="1" x14ac:dyDescent="0.25">
      <c r="A81" s="377"/>
      <c r="B81" s="410"/>
      <c r="C81" s="2" t="s">
        <v>10</v>
      </c>
      <c r="D81" s="25">
        <f t="shared" si="5"/>
        <v>0</v>
      </c>
      <c r="E81" s="25">
        <v>0</v>
      </c>
      <c r="F81" s="25">
        <v>0</v>
      </c>
      <c r="G81" s="25">
        <v>0</v>
      </c>
    </row>
    <row r="82" spans="1:7" ht="39" customHeight="1" x14ac:dyDescent="0.25">
      <c r="A82" s="8" t="s">
        <v>82</v>
      </c>
      <c r="B82" s="2" t="s">
        <v>93</v>
      </c>
      <c r="C82" s="2" t="s">
        <v>9</v>
      </c>
      <c r="D82" s="25">
        <f t="shared" si="5"/>
        <v>150</v>
      </c>
      <c r="E82" s="25">
        <v>50</v>
      </c>
      <c r="F82" s="25">
        <v>50</v>
      </c>
      <c r="G82" s="25">
        <v>50</v>
      </c>
    </row>
    <row r="83" spans="1:7" ht="67.150000000000006" customHeight="1" x14ac:dyDescent="0.25">
      <c r="A83" s="8" t="s">
        <v>92</v>
      </c>
      <c r="B83" s="2" t="s">
        <v>94</v>
      </c>
      <c r="C83" s="2" t="s">
        <v>9</v>
      </c>
      <c r="D83" s="25">
        <f t="shared" si="5"/>
        <v>252</v>
      </c>
      <c r="E83" s="25">
        <v>84</v>
      </c>
      <c r="F83" s="25">
        <v>84</v>
      </c>
      <c r="G83" s="25">
        <v>84</v>
      </c>
    </row>
    <row r="84" spans="1:7" ht="49.15" customHeight="1" x14ac:dyDescent="0.25">
      <c r="A84" s="366"/>
      <c r="B84" s="368" t="s">
        <v>90</v>
      </c>
      <c r="C84" s="26" t="s">
        <v>9</v>
      </c>
      <c r="D84" s="27">
        <f>D70+D79+D80+D82+D83</f>
        <v>220541.1</v>
      </c>
      <c r="E84" s="27">
        <f>E70+E79+E80+E82+E83</f>
        <v>72047.600000000006</v>
      </c>
      <c r="F84" s="27">
        <f>F70+F79+F80+F82+F83</f>
        <v>74708.3</v>
      </c>
      <c r="G84" s="27">
        <f>G70+G79+G80+G82+G83</f>
        <v>73785.200000000012</v>
      </c>
    </row>
    <row r="85" spans="1:7" ht="39.6" customHeight="1" x14ac:dyDescent="0.25">
      <c r="A85" s="367"/>
      <c r="B85" s="369"/>
      <c r="C85" s="26" t="s">
        <v>10</v>
      </c>
      <c r="D85" s="27">
        <f>D71+D81</f>
        <v>1370</v>
      </c>
      <c r="E85" s="27">
        <f>E71+E81</f>
        <v>390</v>
      </c>
      <c r="F85" s="27">
        <f>F71+F81</f>
        <v>490</v>
      </c>
      <c r="G85" s="27">
        <f>G71+G81</f>
        <v>490</v>
      </c>
    </row>
    <row r="86" spans="1:7" ht="18.75" x14ac:dyDescent="0.25">
      <c r="A86" s="385" t="s">
        <v>108</v>
      </c>
      <c r="B86" s="385"/>
      <c r="C86" s="385"/>
      <c r="D86" s="385"/>
      <c r="E86" s="385"/>
      <c r="F86" s="385"/>
      <c r="G86" s="385"/>
    </row>
    <row r="87" spans="1:7" ht="37.5" x14ac:dyDescent="0.3">
      <c r="A87" s="379" t="s">
        <v>64</v>
      </c>
      <c r="B87" s="375" t="s">
        <v>63</v>
      </c>
      <c r="C87" s="6" t="s">
        <v>9</v>
      </c>
      <c r="D87" s="28">
        <f>E87+F87+G87</f>
        <v>11632.599999999999</v>
      </c>
      <c r="E87" s="28">
        <v>3752.6</v>
      </c>
      <c r="F87" s="28">
        <v>3876.3</v>
      </c>
      <c r="G87" s="28">
        <v>4003.7</v>
      </c>
    </row>
    <row r="88" spans="1:7" ht="37.5" x14ac:dyDescent="0.3">
      <c r="A88" s="377"/>
      <c r="B88" s="378"/>
      <c r="C88" s="6" t="s">
        <v>10</v>
      </c>
      <c r="D88" s="28">
        <f t="shared" ref="D88:D94" si="6">E88+F88+G88</f>
        <v>0</v>
      </c>
      <c r="E88" s="28"/>
      <c r="F88" s="28"/>
      <c r="G88" s="28"/>
    </row>
    <row r="89" spans="1:7" ht="37.5" x14ac:dyDescent="0.3">
      <c r="A89" s="383" t="s">
        <v>68</v>
      </c>
      <c r="B89" s="375" t="s">
        <v>65</v>
      </c>
      <c r="C89" s="6" t="s">
        <v>9</v>
      </c>
      <c r="D89" s="28">
        <f t="shared" si="6"/>
        <v>9703.2999999999993</v>
      </c>
      <c r="E89" s="28">
        <v>3066</v>
      </c>
      <c r="F89" s="28">
        <v>3232.8</v>
      </c>
      <c r="G89" s="28">
        <v>3404.5</v>
      </c>
    </row>
    <row r="90" spans="1:7" ht="64.900000000000006" customHeight="1" x14ac:dyDescent="0.3">
      <c r="A90" s="383"/>
      <c r="B90" s="378"/>
      <c r="C90" s="6" t="s">
        <v>10</v>
      </c>
      <c r="D90" s="28">
        <f t="shared" si="6"/>
        <v>0</v>
      </c>
      <c r="E90" s="28"/>
      <c r="F90" s="28"/>
      <c r="G90" s="28"/>
    </row>
    <row r="91" spans="1:7" ht="37.5" x14ac:dyDescent="0.3">
      <c r="A91" s="383" t="s">
        <v>69</v>
      </c>
      <c r="B91" s="375" t="s">
        <v>66</v>
      </c>
      <c r="C91" s="6" t="s">
        <v>9</v>
      </c>
      <c r="D91" s="28">
        <f t="shared" si="6"/>
        <v>22378.799999999999</v>
      </c>
      <c r="E91" s="28">
        <v>7145.5</v>
      </c>
      <c r="F91" s="28">
        <v>7456.5</v>
      </c>
      <c r="G91" s="28">
        <v>7776.8</v>
      </c>
    </row>
    <row r="92" spans="1:7" ht="37.5" x14ac:dyDescent="0.3">
      <c r="A92" s="383"/>
      <c r="B92" s="378"/>
      <c r="C92" s="6" t="s">
        <v>10</v>
      </c>
      <c r="D92" s="28">
        <f t="shared" si="6"/>
        <v>0</v>
      </c>
      <c r="E92" s="28"/>
      <c r="F92" s="28"/>
      <c r="G92" s="28"/>
    </row>
    <row r="93" spans="1:7" ht="37.5" x14ac:dyDescent="0.3">
      <c r="A93" s="384" t="s">
        <v>70</v>
      </c>
      <c r="B93" s="375" t="s">
        <v>67</v>
      </c>
      <c r="C93" s="6" t="s">
        <v>9</v>
      </c>
      <c r="D93" s="28">
        <f t="shared" si="6"/>
        <v>87547.799999999988</v>
      </c>
      <c r="E93" s="28">
        <v>27886.6</v>
      </c>
      <c r="F93" s="28">
        <v>29169.8</v>
      </c>
      <c r="G93" s="28">
        <v>30491.4</v>
      </c>
    </row>
    <row r="94" spans="1:7" ht="37.5" x14ac:dyDescent="0.3">
      <c r="A94" s="384"/>
      <c r="B94" s="378"/>
      <c r="C94" s="6" t="s">
        <v>10</v>
      </c>
      <c r="D94" s="28">
        <f t="shared" si="6"/>
        <v>0</v>
      </c>
      <c r="E94" s="28"/>
      <c r="F94" s="28"/>
      <c r="G94" s="28"/>
    </row>
    <row r="95" spans="1:7" ht="37.5" x14ac:dyDescent="0.3">
      <c r="A95" s="384" t="s">
        <v>99</v>
      </c>
      <c r="B95" s="380" t="s">
        <v>109</v>
      </c>
      <c r="C95" s="6" t="s">
        <v>9</v>
      </c>
      <c r="D95" s="28">
        <f>E95+F95+G95</f>
        <v>25102.9</v>
      </c>
      <c r="E95" s="28">
        <v>7952.2</v>
      </c>
      <c r="F95" s="28">
        <v>8363.5</v>
      </c>
      <c r="G95" s="28">
        <v>8787.2000000000007</v>
      </c>
    </row>
    <row r="96" spans="1:7" ht="37.5" x14ac:dyDescent="0.3">
      <c r="A96" s="384"/>
      <c r="B96" s="381"/>
      <c r="C96" s="6" t="s">
        <v>10</v>
      </c>
      <c r="D96" s="28">
        <f>E96+F96+G96</f>
        <v>0</v>
      </c>
      <c r="E96" s="28"/>
      <c r="F96" s="28"/>
      <c r="G96" s="28"/>
    </row>
    <row r="97" spans="1:7" ht="39.6" customHeight="1" x14ac:dyDescent="0.3">
      <c r="A97" s="370"/>
      <c r="B97" s="372" t="s">
        <v>90</v>
      </c>
      <c r="C97" s="11" t="s">
        <v>9</v>
      </c>
      <c r="D97" s="29">
        <f t="shared" ref="D97:G98" si="7">D87+D89+D91+D93+D95</f>
        <v>156365.4</v>
      </c>
      <c r="E97" s="29">
        <f t="shared" si="7"/>
        <v>49802.899999999994</v>
      </c>
      <c r="F97" s="29">
        <f t="shared" si="7"/>
        <v>52098.9</v>
      </c>
      <c r="G97" s="29">
        <f t="shared" si="7"/>
        <v>54463.600000000006</v>
      </c>
    </row>
    <row r="98" spans="1:7" ht="43.15" customHeight="1" x14ac:dyDescent="0.3">
      <c r="A98" s="371"/>
      <c r="B98" s="372"/>
      <c r="C98" s="11" t="s">
        <v>10</v>
      </c>
      <c r="D98" s="29">
        <f t="shared" si="7"/>
        <v>0</v>
      </c>
      <c r="E98" s="29">
        <f t="shared" si="7"/>
        <v>0</v>
      </c>
      <c r="F98" s="29">
        <f t="shared" si="7"/>
        <v>0</v>
      </c>
      <c r="G98" s="29">
        <f t="shared" si="7"/>
        <v>0</v>
      </c>
    </row>
    <row r="99" spans="1:7" ht="25.9" customHeight="1" x14ac:dyDescent="0.3">
      <c r="A99" s="382" t="s">
        <v>71</v>
      </c>
      <c r="B99" s="382"/>
      <c r="C99" s="382"/>
      <c r="D99" s="382"/>
      <c r="E99" s="382"/>
      <c r="F99" s="382"/>
      <c r="G99" s="382"/>
    </row>
    <row r="100" spans="1:7" ht="175.15" customHeight="1" x14ac:dyDescent="0.3">
      <c r="A100" s="375" t="s">
        <v>73</v>
      </c>
      <c r="B100" s="30" t="s">
        <v>95</v>
      </c>
      <c r="C100" s="37" t="s">
        <v>9</v>
      </c>
      <c r="D100" s="28">
        <f>E100+F100+G100</f>
        <v>12435</v>
      </c>
      <c r="E100" s="38">
        <v>4145</v>
      </c>
      <c r="F100" s="31">
        <v>4145</v>
      </c>
      <c r="G100" s="31">
        <v>4145</v>
      </c>
    </row>
    <row r="101" spans="1:7" ht="112.9" customHeight="1" x14ac:dyDescent="0.3">
      <c r="A101" s="376"/>
      <c r="B101" s="32" t="s">
        <v>96</v>
      </c>
      <c r="C101" s="39"/>
      <c r="D101" s="28">
        <f t="shared" ref="D101:D107" si="8">E101+F101+G101</f>
        <v>984.30000000000007</v>
      </c>
      <c r="E101" s="40">
        <v>328.1</v>
      </c>
      <c r="F101" s="33">
        <v>328.1</v>
      </c>
      <c r="G101" s="33">
        <v>328.1</v>
      </c>
    </row>
    <row r="102" spans="1:7" ht="93.6" customHeight="1" x14ac:dyDescent="0.3">
      <c r="A102" s="376"/>
      <c r="B102" s="376" t="s">
        <v>97</v>
      </c>
      <c r="C102" s="41"/>
      <c r="D102" s="28">
        <f t="shared" si="8"/>
        <v>865.19999999999993</v>
      </c>
      <c r="E102" s="42">
        <v>288.39999999999998</v>
      </c>
      <c r="F102" s="34">
        <v>288.39999999999998</v>
      </c>
      <c r="G102" s="34">
        <v>288.39999999999998</v>
      </c>
    </row>
    <row r="103" spans="1:7" ht="69.599999999999994" customHeight="1" x14ac:dyDescent="0.3">
      <c r="A103" s="377"/>
      <c r="B103" s="378"/>
      <c r="C103" s="35" t="s">
        <v>10</v>
      </c>
      <c r="D103" s="31">
        <f t="shared" si="8"/>
        <v>16581.900000000001</v>
      </c>
      <c r="E103" s="28">
        <v>5527.3</v>
      </c>
      <c r="F103" s="28">
        <v>5527.3</v>
      </c>
      <c r="G103" s="28">
        <v>5527.3</v>
      </c>
    </row>
    <row r="104" spans="1:7" ht="78.599999999999994" customHeight="1" x14ac:dyDescent="0.3">
      <c r="A104" s="8" t="s">
        <v>75</v>
      </c>
      <c r="B104" s="13" t="s">
        <v>74</v>
      </c>
      <c r="C104" s="2" t="s">
        <v>9</v>
      </c>
      <c r="D104" s="31">
        <f t="shared" si="8"/>
        <v>450</v>
      </c>
      <c r="E104" s="31">
        <v>150</v>
      </c>
      <c r="F104" s="31">
        <v>150</v>
      </c>
      <c r="G104" s="31">
        <v>150</v>
      </c>
    </row>
    <row r="105" spans="1:7" ht="130.9" customHeight="1" x14ac:dyDescent="0.3">
      <c r="A105" s="10" t="s">
        <v>78</v>
      </c>
      <c r="B105" s="6" t="s">
        <v>81</v>
      </c>
      <c r="C105" s="2" t="s">
        <v>9</v>
      </c>
      <c r="D105" s="31">
        <f t="shared" si="8"/>
        <v>300</v>
      </c>
      <c r="E105" s="28">
        <v>100</v>
      </c>
      <c r="F105" s="28">
        <v>100</v>
      </c>
      <c r="G105" s="28">
        <v>100</v>
      </c>
    </row>
    <row r="106" spans="1:7" ht="142.9" customHeight="1" x14ac:dyDescent="0.3">
      <c r="A106" s="10" t="s">
        <v>79</v>
      </c>
      <c r="B106" s="6" t="s">
        <v>77</v>
      </c>
      <c r="C106" s="2" t="s">
        <v>9</v>
      </c>
      <c r="D106" s="31">
        <f t="shared" si="8"/>
        <v>240</v>
      </c>
      <c r="E106" s="28">
        <v>80</v>
      </c>
      <c r="F106" s="28">
        <v>80</v>
      </c>
      <c r="G106" s="28">
        <v>80</v>
      </c>
    </row>
    <row r="107" spans="1:7" ht="75" x14ac:dyDescent="0.3">
      <c r="A107" s="10" t="s">
        <v>80</v>
      </c>
      <c r="B107" s="6" t="s">
        <v>76</v>
      </c>
      <c r="C107" s="6" t="s">
        <v>9</v>
      </c>
      <c r="D107" s="28">
        <f t="shared" si="8"/>
        <v>3600</v>
      </c>
      <c r="E107" s="28">
        <v>1200</v>
      </c>
      <c r="F107" s="28">
        <v>1200</v>
      </c>
      <c r="G107" s="28">
        <v>1200</v>
      </c>
    </row>
    <row r="108" spans="1:7" ht="37.5" x14ac:dyDescent="0.3">
      <c r="A108" s="373"/>
      <c r="B108" s="374" t="s">
        <v>90</v>
      </c>
      <c r="C108" s="36" t="s">
        <v>9</v>
      </c>
      <c r="D108" s="29">
        <f>D100+D104+D105+D106+D107</f>
        <v>17025</v>
      </c>
      <c r="E108" s="29">
        <f>E100+E104+E105+E106+E107</f>
        <v>5675</v>
      </c>
      <c r="F108" s="29">
        <f>F100+F104+F105+F106+F107</f>
        <v>5675</v>
      </c>
      <c r="G108" s="29">
        <f>G100+G104+G105+G106+G107</f>
        <v>5675</v>
      </c>
    </row>
    <row r="109" spans="1:7" ht="37.5" x14ac:dyDescent="0.3">
      <c r="A109" s="373"/>
      <c r="B109" s="373"/>
      <c r="C109" s="36" t="s">
        <v>10</v>
      </c>
      <c r="D109" s="29">
        <f>D103</f>
        <v>16581.900000000001</v>
      </c>
      <c r="E109" s="29">
        <f>E103</f>
        <v>5527.3</v>
      </c>
      <c r="F109" s="29">
        <f>F103</f>
        <v>5527.3</v>
      </c>
      <c r="G109" s="29">
        <f>G103</f>
        <v>5527.3</v>
      </c>
    </row>
    <row r="110" spans="1:7" ht="37.5" x14ac:dyDescent="0.3">
      <c r="A110" s="362"/>
      <c r="B110" s="365" t="s">
        <v>98</v>
      </c>
      <c r="C110" s="36" t="s">
        <v>9</v>
      </c>
      <c r="D110" s="29">
        <f t="shared" ref="D110:G111" si="9">D30+D66+D84+D97+D108</f>
        <v>1030582.4</v>
      </c>
      <c r="E110" s="29">
        <f t="shared" si="9"/>
        <v>337948.5</v>
      </c>
      <c r="F110" s="29">
        <f t="shared" si="9"/>
        <v>346346.2</v>
      </c>
      <c r="G110" s="29">
        <f t="shared" si="9"/>
        <v>346287.69999999995</v>
      </c>
    </row>
    <row r="111" spans="1:7" ht="37.5" x14ac:dyDescent="0.3">
      <c r="A111" s="363"/>
      <c r="B111" s="363"/>
      <c r="C111" s="36" t="s">
        <v>10</v>
      </c>
      <c r="D111" s="29">
        <f t="shared" si="9"/>
        <v>78534.8</v>
      </c>
      <c r="E111" s="29">
        <f t="shared" si="9"/>
        <v>48605</v>
      </c>
      <c r="F111" s="29">
        <f t="shared" si="9"/>
        <v>14964.900000000001</v>
      </c>
      <c r="G111" s="29">
        <f t="shared" si="9"/>
        <v>14964.900000000001</v>
      </c>
    </row>
    <row r="112" spans="1:7" ht="37.5" x14ac:dyDescent="0.3">
      <c r="A112" s="364"/>
      <c r="B112" s="364"/>
      <c r="C112" s="36" t="s">
        <v>11</v>
      </c>
      <c r="D112" s="29">
        <f>D32+D68</f>
        <v>0</v>
      </c>
      <c r="E112" s="29">
        <f>E32+E68</f>
        <v>0</v>
      </c>
      <c r="F112" s="29">
        <f>F32+F68</f>
        <v>0</v>
      </c>
      <c r="G112" s="29">
        <f>G32+G68</f>
        <v>0</v>
      </c>
    </row>
  </sheetData>
  <mergeCells count="77">
    <mergeCell ref="B27:B28"/>
    <mergeCell ref="A21:A23"/>
    <mergeCell ref="B21:B23"/>
    <mergeCell ref="A69:G69"/>
    <mergeCell ref="A74:A75"/>
    <mergeCell ref="A33:G33"/>
    <mergeCell ref="B30:B32"/>
    <mergeCell ref="B44:B45"/>
    <mergeCell ref="B49:B50"/>
    <mergeCell ref="A52:A53"/>
    <mergeCell ref="B52:B53"/>
    <mergeCell ref="A37:A39"/>
    <mergeCell ref="B37:B39"/>
    <mergeCell ref="B66:B68"/>
    <mergeCell ref="A66:A68"/>
    <mergeCell ref="A72:A73"/>
    <mergeCell ref="B2:G3"/>
    <mergeCell ref="A27:A28"/>
    <mergeCell ref="B34:B36"/>
    <mergeCell ref="B80:B81"/>
    <mergeCell ref="A62:A63"/>
    <mergeCell ref="B64:B65"/>
    <mergeCell ref="A64:A65"/>
    <mergeCell ref="A70:A71"/>
    <mergeCell ref="A76:A77"/>
    <mergeCell ref="A30:A32"/>
    <mergeCell ref="E5:G5"/>
    <mergeCell ref="A5:A6"/>
    <mergeCell ref="B5:B6"/>
    <mergeCell ref="D5:D6"/>
    <mergeCell ref="C5:C6"/>
    <mergeCell ref="B14:B16"/>
    <mergeCell ref="A7:G7"/>
    <mergeCell ref="A8:A10"/>
    <mergeCell ref="B8:B10"/>
    <mergeCell ref="A11:A13"/>
    <mergeCell ref="A24:A26"/>
    <mergeCell ref="B24:B26"/>
    <mergeCell ref="A18:A20"/>
    <mergeCell ref="B11:B13"/>
    <mergeCell ref="A14:A16"/>
    <mergeCell ref="B18:B20"/>
    <mergeCell ref="A44:A45"/>
    <mergeCell ref="A34:A36"/>
    <mergeCell ref="A40:A42"/>
    <mergeCell ref="B40:B42"/>
    <mergeCell ref="A46:A48"/>
    <mergeCell ref="B46:B48"/>
    <mergeCell ref="A49:A50"/>
    <mergeCell ref="B89:B90"/>
    <mergeCell ref="A89:A90"/>
    <mergeCell ref="B87:B88"/>
    <mergeCell ref="A93:A94"/>
    <mergeCell ref="B93:B94"/>
    <mergeCell ref="B62:B63"/>
    <mergeCell ref="A80:A81"/>
    <mergeCell ref="A86:G86"/>
    <mergeCell ref="B72:B73"/>
    <mergeCell ref="B74:B75"/>
    <mergeCell ref="B70:B71"/>
    <mergeCell ref="B76:B77"/>
    <mergeCell ref="A110:A112"/>
    <mergeCell ref="B110:B112"/>
    <mergeCell ref="A84:A85"/>
    <mergeCell ref="B84:B85"/>
    <mergeCell ref="A97:A98"/>
    <mergeCell ref="B97:B98"/>
    <mergeCell ref="A108:A109"/>
    <mergeCell ref="B108:B109"/>
    <mergeCell ref="A100:A103"/>
    <mergeCell ref="B102:B103"/>
    <mergeCell ref="A87:A88"/>
    <mergeCell ref="B95:B96"/>
    <mergeCell ref="B91:B92"/>
    <mergeCell ref="A99:G99"/>
    <mergeCell ref="A91:A92"/>
    <mergeCell ref="A95:A96"/>
  </mergeCells>
  <phoneticPr fontId="0" type="noConversion"/>
  <pageMargins left="0.70866141732283472" right="0.39370078740157483" top="0.74803149606299213" bottom="0.74803149606299213" header="0.31496062992125984" footer="0.31496062992125984"/>
  <pageSetup paperSize="9" scale="45" orientation="portrait" horizontalDpi="180" verticalDpi="180" r:id="rId1"/>
  <rowBreaks count="4" manualBreakCount="4">
    <brk id="32" max="16383" man="1"/>
    <brk id="51" max="6" man="1"/>
    <brk id="68" max="16383" man="1"/>
    <brk id="8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7" sqref="C7"/>
    </sheetView>
  </sheetViews>
  <sheetFormatPr defaultRowHeight="15" x14ac:dyDescent="0.25"/>
  <sheetData/>
  <phoneticPr fontId="0" type="noConversion"/>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с изменениями</vt:lpstr>
      <vt:lpstr>Лист1</vt:lpstr>
      <vt:lpstr>Лист2</vt:lpstr>
      <vt:lpstr>Лист3</vt:lpstr>
      <vt:lpstr>'с изменениями'!Заголовки_для_печати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2016-09-09T05:23:15Z</cp:lastPrinted>
  <dcterms:created xsi:type="dcterms:W3CDTF">2006-09-28T05:33:49Z</dcterms:created>
  <dcterms:modified xsi:type="dcterms:W3CDTF">2023-02-26T12:11:05Z</dcterms:modified>
</cp:coreProperties>
</file>