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0" yWindow="0" windowWidth="17520" windowHeight="11880" tabRatio="928" firstSheet="1" activeTab="1"/>
  </bookViews>
  <sheets>
    <sheet name="Накопительная" sheetId="2" state="hidden" r:id="rId1"/>
    <sheet name="Меню" sheetId="1" r:id="rId2"/>
  </sheets>
  <definedNames>
    <definedName name="_xlnm._FilterDatabase" localSheetId="1" hidden="1">Меню!$A$1:$A$1130</definedName>
  </definedNames>
  <calcPr calcId="124519"/>
</workbook>
</file>

<file path=xl/calcChain.xml><?xml version="1.0" encoding="utf-8"?>
<calcChain xmlns="http://schemas.openxmlformats.org/spreadsheetml/2006/main">
  <c r="B221" i="1"/>
  <c r="B220"/>
  <c r="B219"/>
  <c r="B34" l="1"/>
  <c r="B593"/>
  <c r="B592"/>
  <c r="B591"/>
  <c r="B1055" l="1"/>
  <c r="B826" l="1"/>
  <c r="B756"/>
  <c r="B161" l="1"/>
  <c r="B618"/>
  <c r="C403"/>
  <c r="C195"/>
  <c r="B195" s="1"/>
  <c r="B86"/>
  <c r="B783" l="1"/>
  <c r="B185"/>
  <c r="B1085"/>
  <c r="B1073"/>
  <c r="B996"/>
  <c r="B942"/>
  <c r="B932"/>
  <c r="B860"/>
  <c r="B853"/>
  <c r="B796"/>
  <c r="B786"/>
  <c r="B716"/>
  <c r="B702"/>
  <c r="B643"/>
  <c r="B628"/>
  <c r="B552"/>
  <c r="B496"/>
  <c r="B470"/>
  <c r="B408"/>
  <c r="B396"/>
  <c r="B387"/>
  <c r="B329"/>
  <c r="B253"/>
  <c r="B199"/>
  <c r="B186"/>
  <c r="B133"/>
  <c r="B118"/>
  <c r="B54"/>
  <c r="B42"/>
  <c r="B1081"/>
  <c r="B1038"/>
  <c r="B995"/>
  <c r="B941"/>
  <c r="B935"/>
  <c r="B877"/>
  <c r="B859"/>
  <c r="B784"/>
  <c r="B714"/>
  <c r="B700"/>
  <c r="B626"/>
  <c r="B551"/>
  <c r="B490"/>
  <c r="B466"/>
  <c r="B399"/>
  <c r="B327"/>
  <c r="B252"/>
  <c r="B183"/>
  <c r="B136"/>
  <c r="B116"/>
  <c r="B1092"/>
  <c r="B1016"/>
  <c r="B946"/>
  <c r="B802"/>
  <c r="B788"/>
  <c r="B718"/>
  <c r="B629"/>
  <c r="B561"/>
  <c r="B501"/>
  <c r="B487"/>
  <c r="B410"/>
  <c r="B336"/>
  <c r="B273"/>
  <c r="B187"/>
  <c r="B134"/>
  <c r="B904"/>
  <c r="B890"/>
  <c r="B1129" l="1"/>
  <c r="B1128"/>
  <c r="B1127"/>
  <c r="B1126"/>
  <c r="B1123"/>
  <c r="B1122"/>
  <c r="B1121"/>
  <c r="B1119"/>
  <c r="B1118"/>
  <c r="B1117"/>
  <c r="B1116"/>
  <c r="B1115"/>
  <c r="B1114"/>
  <c r="B1113"/>
  <c r="B1108"/>
  <c r="B1107"/>
  <c r="B1106"/>
  <c r="B1105"/>
  <c r="B1103"/>
  <c r="B1102"/>
  <c r="B1101"/>
  <c r="B1100"/>
  <c r="B1098"/>
  <c r="B1097"/>
  <c r="B1096"/>
  <c r="B1095"/>
  <c r="B1094"/>
  <c r="B1093"/>
  <c r="C1090"/>
  <c r="B1090" s="1"/>
  <c r="B1088"/>
  <c r="B1087"/>
  <c r="B1086"/>
  <c r="B1084"/>
  <c r="B1083"/>
  <c r="B1082"/>
  <c r="B1079"/>
  <c r="B1078"/>
  <c r="B1077"/>
  <c r="B1076"/>
  <c r="B1075"/>
  <c r="B1074"/>
  <c r="B1072"/>
  <c r="B1067"/>
  <c r="B1066"/>
  <c r="B1065"/>
  <c r="B1064"/>
  <c r="B1062"/>
  <c r="B1061"/>
  <c r="B1060"/>
  <c r="B1059"/>
  <c r="B1058"/>
  <c r="B1057"/>
  <c r="B1054"/>
  <c r="B1049"/>
  <c r="B1046"/>
  <c r="B1044"/>
  <c r="B1040"/>
  <c r="B1039"/>
  <c r="B1036"/>
  <c r="B1047"/>
  <c r="B1043"/>
  <c r="B1041"/>
  <c r="B1034"/>
  <c r="B1033"/>
  <c r="B1032"/>
  <c r="B1031"/>
  <c r="B1030"/>
  <c r="B1024" l="1"/>
  <c r="B1023"/>
  <c r="B1022"/>
  <c r="B1020"/>
  <c r="B1019"/>
  <c r="B1018"/>
  <c r="B1015"/>
  <c r="B1014"/>
  <c r="B1013"/>
  <c r="B1011"/>
  <c r="B1009"/>
  <c r="B1008"/>
  <c r="B1007"/>
  <c r="B1006"/>
  <c r="B1005"/>
  <c r="B1004"/>
  <c r="B1002"/>
  <c r="B1001"/>
  <c r="B1000"/>
  <c r="B999"/>
  <c r="B998"/>
  <c r="B997"/>
  <c r="B994"/>
  <c r="B992"/>
  <c r="B991"/>
  <c r="B990"/>
  <c r="B989"/>
  <c r="C987"/>
  <c r="B987" s="1"/>
  <c r="B983"/>
  <c r="B982"/>
  <c r="B981"/>
  <c r="B980"/>
  <c r="B978"/>
  <c r="B977"/>
  <c r="B976"/>
  <c r="B975"/>
  <c r="B974"/>
  <c r="B973"/>
  <c r="B971"/>
  <c r="B970"/>
  <c r="B965"/>
  <c r="B964"/>
  <c r="B963"/>
  <c r="B962"/>
  <c r="B960"/>
  <c r="B959"/>
  <c r="B958"/>
  <c r="B953"/>
  <c r="B952"/>
  <c r="B951"/>
  <c r="B950"/>
  <c r="B948"/>
  <c r="B947"/>
  <c r="B945"/>
  <c r="B944"/>
  <c r="B943"/>
  <c r="C939"/>
  <c r="B939" s="1"/>
  <c r="B937"/>
  <c r="B936"/>
  <c r="B934"/>
  <c r="B933"/>
  <c r="B931"/>
  <c r="C929"/>
  <c r="B929" s="1"/>
  <c r="C923"/>
  <c r="B923" s="1"/>
  <c r="B927"/>
  <c r="B926"/>
  <c r="B925"/>
  <c r="B918"/>
  <c r="B916"/>
  <c r="B915"/>
  <c r="B914"/>
  <c r="B913"/>
  <c r="B911"/>
  <c r="B910"/>
  <c r="B909"/>
  <c r="B908"/>
  <c r="B907"/>
  <c r="B906"/>
  <c r="B903"/>
  <c r="B897" l="1"/>
  <c r="B896"/>
  <c r="B895"/>
  <c r="B893"/>
  <c r="B892"/>
  <c r="B891"/>
  <c r="B889"/>
  <c r="B883"/>
  <c r="B878"/>
  <c r="B884"/>
  <c r="B882"/>
  <c r="B880"/>
  <c r="B879"/>
  <c r="B875"/>
  <c r="B874"/>
  <c r="B872"/>
  <c r="B871"/>
  <c r="C870"/>
  <c r="C873" s="1"/>
  <c r="B869"/>
  <c r="B868"/>
  <c r="B867"/>
  <c r="B865"/>
  <c r="B864"/>
  <c r="B863"/>
  <c r="B862"/>
  <c r="B861"/>
  <c r="B857"/>
  <c r="B856"/>
  <c r="B855"/>
  <c r="B854"/>
  <c r="B848"/>
  <c r="B847"/>
  <c r="B846"/>
  <c r="B845"/>
  <c r="B843"/>
  <c r="B842"/>
  <c r="B841"/>
  <c r="B840"/>
  <c r="B839"/>
  <c r="B838"/>
  <c r="B836"/>
  <c r="B835"/>
  <c r="B830"/>
  <c r="B829"/>
  <c r="B828"/>
  <c r="C825"/>
  <c r="B824"/>
  <c r="B823"/>
  <c r="B822"/>
  <c r="B821"/>
  <c r="B820"/>
  <c r="B819"/>
  <c r="B818"/>
  <c r="B798"/>
  <c r="B801"/>
  <c r="B800"/>
  <c r="B795"/>
  <c r="B789"/>
  <c r="B785"/>
  <c r="B813"/>
  <c r="B812"/>
  <c r="B811"/>
  <c r="B810"/>
  <c r="B808"/>
  <c r="B807"/>
  <c r="B806"/>
  <c r="B805"/>
  <c r="B797"/>
  <c r="C793"/>
  <c r="B793" s="1"/>
  <c r="B791"/>
  <c r="B790"/>
  <c r="B787"/>
  <c r="C781"/>
  <c r="B781" s="1"/>
  <c r="B779"/>
  <c r="B778"/>
  <c r="B777"/>
  <c r="B776"/>
  <c r="B775"/>
  <c r="B774"/>
  <c r="B773"/>
  <c r="B768"/>
  <c r="B767"/>
  <c r="B766"/>
  <c r="B765"/>
  <c r="B763"/>
  <c r="B762"/>
  <c r="B761"/>
  <c r="B760"/>
  <c r="B759"/>
  <c r="B758"/>
  <c r="B755"/>
  <c r="B749"/>
  <c r="B748"/>
  <c r="B747"/>
  <c r="B746"/>
  <c r="B740"/>
  <c r="C730"/>
  <c r="B744"/>
  <c r="B742"/>
  <c r="B741"/>
  <c r="B737"/>
  <c r="B736"/>
  <c r="B735"/>
  <c r="B734"/>
  <c r="B733"/>
  <c r="B732"/>
  <c r="B731"/>
  <c r="B724"/>
  <c r="B717"/>
  <c r="B706"/>
  <c r="B703"/>
  <c r="B694"/>
  <c r="B695"/>
  <c r="C692"/>
  <c r="B692" s="1"/>
  <c r="C690"/>
  <c r="B690" s="1"/>
  <c r="B725"/>
  <c r="B723"/>
  <c r="B721"/>
  <c r="B720"/>
  <c r="B719"/>
  <c r="B715"/>
  <c r="C712"/>
  <c r="B712" s="1"/>
  <c r="B710"/>
  <c r="B709"/>
  <c r="B708"/>
  <c r="B707"/>
  <c r="B705"/>
  <c r="B704"/>
  <c r="B701"/>
  <c r="C698"/>
  <c r="B698" s="1"/>
  <c r="B679"/>
  <c r="B684"/>
  <c r="B685"/>
  <c r="B683"/>
  <c r="B682"/>
  <c r="B680"/>
  <c r="B678"/>
  <c r="B677"/>
  <c r="B676"/>
  <c r="B675"/>
  <c r="B673"/>
  <c r="B672"/>
  <c r="B666"/>
  <c r="B665"/>
  <c r="B664"/>
  <c r="B663"/>
  <c r="B661"/>
  <c r="B660"/>
  <c r="B659"/>
  <c r="B658"/>
  <c r="B657"/>
  <c r="B652"/>
  <c r="B651"/>
  <c r="B650"/>
  <c r="B648"/>
  <c r="B647"/>
  <c r="B646"/>
  <c r="B645"/>
  <c r="B644"/>
  <c r="B627"/>
  <c r="B620"/>
  <c r="B641"/>
  <c r="B640"/>
  <c r="B639"/>
  <c r="B638"/>
  <c r="C636"/>
  <c r="B636" s="1"/>
  <c r="B634"/>
  <c r="B633"/>
  <c r="B632"/>
  <c r="B631"/>
  <c r="B630"/>
  <c r="B625"/>
  <c r="C623"/>
  <c r="B623" s="1"/>
  <c r="B621"/>
  <c r="B619"/>
  <c r="B608"/>
  <c r="B614"/>
  <c r="B613"/>
  <c r="B612"/>
  <c r="B611"/>
  <c r="B609"/>
  <c r="B607"/>
  <c r="B606"/>
  <c r="B605"/>
  <c r="B604"/>
  <c r="B602"/>
  <c r="B601"/>
  <c r="B596"/>
  <c r="B594"/>
  <c r="B588"/>
  <c r="B587"/>
  <c r="B586"/>
  <c r="B585"/>
  <c r="B584"/>
  <c r="B583"/>
  <c r="B582"/>
  <c r="B574"/>
  <c r="B566"/>
  <c r="B563"/>
  <c r="B547"/>
  <c r="C541"/>
  <c r="B541" s="1"/>
  <c r="B577"/>
  <c r="B576"/>
  <c r="B575"/>
  <c r="B572"/>
  <c r="B571"/>
  <c r="B570"/>
  <c r="B569"/>
  <c r="B567"/>
  <c r="B565"/>
  <c r="B564"/>
  <c r="B562"/>
  <c r="C559"/>
  <c r="B559" s="1"/>
  <c r="B557"/>
  <c r="B556"/>
  <c r="B555"/>
  <c r="B554"/>
  <c r="B553"/>
  <c r="B549"/>
  <c r="B548"/>
  <c r="C545"/>
  <c r="B545" s="1"/>
  <c r="C543"/>
  <c r="B543" s="1"/>
  <c r="B531"/>
  <c r="B537"/>
  <c r="B536"/>
  <c r="B535"/>
  <c r="B534"/>
  <c r="B532"/>
  <c r="B530"/>
  <c r="B529"/>
  <c r="B528"/>
  <c r="B527"/>
  <c r="B525"/>
  <c r="B524"/>
  <c r="B523"/>
  <c r="B518"/>
  <c r="B517"/>
  <c r="B516"/>
  <c r="B515"/>
  <c r="B513"/>
  <c r="B512"/>
  <c r="B511"/>
  <c r="B491"/>
  <c r="B506"/>
  <c r="B505"/>
  <c r="B504"/>
  <c r="B503"/>
  <c r="B500"/>
  <c r="B499"/>
  <c r="B498"/>
  <c r="B497"/>
  <c r="B495"/>
  <c r="B493"/>
  <c r="B492"/>
  <c r="B486"/>
  <c r="B485"/>
  <c r="B484"/>
  <c r="B482"/>
  <c r="C481"/>
  <c r="B480"/>
  <c r="B479"/>
  <c r="B478"/>
  <c r="B477"/>
  <c r="B476"/>
  <c r="B475"/>
  <c r="B473"/>
  <c r="B472"/>
  <c r="B471"/>
  <c r="B469"/>
  <c r="B468"/>
  <c r="B467"/>
  <c r="C464"/>
  <c r="B464" s="1"/>
  <c r="B462"/>
  <c r="B461"/>
  <c r="B460"/>
  <c r="B459"/>
  <c r="B455"/>
  <c r="B452"/>
  <c r="B446"/>
  <c r="B453"/>
  <c r="B451"/>
  <c r="B450"/>
  <c r="B448"/>
  <c r="B447"/>
  <c r="B445"/>
  <c r="B444"/>
  <c r="B443"/>
  <c r="B441"/>
  <c r="B440"/>
  <c r="B434"/>
  <c r="B433"/>
  <c r="B432"/>
  <c r="B431"/>
  <c r="C428"/>
  <c r="B429"/>
  <c r="B427"/>
  <c r="B426"/>
  <c r="B425"/>
  <c r="B424"/>
  <c r="B423"/>
  <c r="B422"/>
  <c r="B421"/>
  <c r="B420"/>
  <c r="B415"/>
  <c r="B414"/>
  <c r="B413"/>
  <c r="B411"/>
  <c r="B409"/>
  <c r="B407"/>
  <c r="B406"/>
  <c r="B405"/>
  <c r="B403"/>
  <c r="B401"/>
  <c r="B400"/>
  <c r="B398"/>
  <c r="B397"/>
  <c r="B395"/>
  <c r="C393"/>
  <c r="B393" s="1"/>
  <c r="B391"/>
  <c r="B390"/>
  <c r="B389"/>
  <c r="B388"/>
  <c r="B376"/>
  <c r="B382"/>
  <c r="B381"/>
  <c r="B380"/>
  <c r="B379"/>
  <c r="B377"/>
  <c r="B375"/>
  <c r="B374"/>
  <c r="B373"/>
  <c r="B372"/>
  <c r="B370"/>
  <c r="B369"/>
  <c r="B363"/>
  <c r="B362"/>
  <c r="B361"/>
  <c r="C359"/>
  <c r="B358"/>
  <c r="B357"/>
  <c r="B356"/>
  <c r="B355"/>
  <c r="B354"/>
  <c r="B353"/>
  <c r="B352"/>
  <c r="B330"/>
  <c r="B347"/>
  <c r="B346"/>
  <c r="B345"/>
  <c r="B344"/>
  <c r="B342"/>
  <c r="B341"/>
  <c r="B340"/>
  <c r="B339"/>
  <c r="B337"/>
  <c r="B335"/>
  <c r="C334"/>
  <c r="B334" s="1"/>
  <c r="B332"/>
  <c r="B331"/>
  <c r="B328"/>
  <c r="C325"/>
  <c r="B325" s="1"/>
  <c r="B323"/>
  <c r="B313"/>
  <c r="B318"/>
  <c r="B319"/>
  <c r="B317"/>
  <c r="B316"/>
  <c r="B314"/>
  <c r="B312"/>
  <c r="B311"/>
  <c r="B310"/>
  <c r="B309"/>
  <c r="B307"/>
  <c r="B306"/>
  <c r="B305"/>
  <c r="B300"/>
  <c r="B299"/>
  <c r="B298"/>
  <c r="B297"/>
  <c r="B295"/>
  <c r="B287"/>
  <c r="B288"/>
  <c r="B289"/>
  <c r="B290"/>
  <c r="B291"/>
  <c r="B292"/>
  <c r="B293"/>
  <c r="B286"/>
  <c r="B281"/>
  <c r="B280"/>
  <c r="B279"/>
  <c r="B276"/>
  <c r="B271"/>
  <c r="B264"/>
  <c r="B247"/>
  <c r="C244"/>
  <c r="B244" s="1"/>
  <c r="B277"/>
  <c r="B275"/>
  <c r="B272"/>
  <c r="B270"/>
  <c r="B268"/>
  <c r="B266"/>
  <c r="B265"/>
  <c r="B263"/>
  <c r="B262"/>
  <c r="B261"/>
  <c r="B259"/>
  <c r="B258"/>
  <c r="B257"/>
  <c r="B256"/>
  <c r="B255"/>
  <c r="B254"/>
  <c r="B251"/>
  <c r="B249"/>
  <c r="B248"/>
  <c r="B246"/>
  <c r="B232"/>
  <c r="B239"/>
  <c r="B238"/>
  <c r="B237"/>
  <c r="B236"/>
  <c r="B234"/>
  <c r="B233"/>
  <c r="B231"/>
  <c r="B230"/>
  <c r="B229"/>
  <c r="B227"/>
  <c r="B226"/>
  <c r="B217" l="1"/>
  <c r="B216"/>
  <c r="B215"/>
  <c r="B214"/>
  <c r="B213"/>
  <c r="B207"/>
  <c r="B206"/>
  <c r="B205"/>
  <c r="B203"/>
  <c r="B202"/>
  <c r="B200"/>
  <c r="B198"/>
  <c r="B197"/>
  <c r="B193"/>
  <c r="B192"/>
  <c r="B191"/>
  <c r="B190"/>
  <c r="B189"/>
  <c r="B188"/>
  <c r="B184"/>
  <c r="C181"/>
  <c r="B181" s="1"/>
  <c r="B179"/>
  <c r="B178"/>
  <c r="B177"/>
  <c r="B176"/>
  <c r="B171"/>
  <c r="B172"/>
  <c r="B170"/>
  <c r="B169"/>
  <c r="B167"/>
  <c r="B166"/>
  <c r="C165"/>
  <c r="B164"/>
  <c r="B163"/>
  <c r="B160"/>
  <c r="B155"/>
  <c r="B154"/>
  <c r="B153"/>
  <c r="B151"/>
  <c r="B150"/>
  <c r="B149"/>
  <c r="B98" l="1"/>
  <c r="B99"/>
  <c r="B23"/>
  <c r="B138"/>
  <c r="B123"/>
  <c r="B55"/>
  <c r="B121"/>
  <c r="B144"/>
  <c r="B143"/>
  <c r="B142"/>
  <c r="B141"/>
  <c r="B139"/>
  <c r="B137"/>
  <c r="B132"/>
  <c r="B131"/>
  <c r="B130"/>
  <c r="C128"/>
  <c r="B128" s="1"/>
  <c r="B126"/>
  <c r="B125"/>
  <c r="B124"/>
  <c r="B122"/>
  <c r="B120"/>
  <c r="B119"/>
  <c r="B117"/>
  <c r="C114"/>
  <c r="B114" s="1"/>
  <c r="B112"/>
  <c r="C110"/>
  <c r="B110" s="1"/>
  <c r="B105" l="1"/>
  <c r="B104"/>
  <c r="B103"/>
  <c r="B102"/>
  <c r="B100"/>
  <c r="B97"/>
  <c r="B96"/>
  <c r="B95"/>
  <c r="B93"/>
  <c r="B92"/>
  <c r="B91"/>
  <c r="B84" l="1"/>
  <c r="C83"/>
  <c r="B82"/>
  <c r="B81"/>
  <c r="B80"/>
  <c r="B79"/>
  <c r="B78"/>
  <c r="B77"/>
  <c r="B76"/>
  <c r="B75"/>
  <c r="B70"/>
  <c r="B69"/>
  <c r="B68"/>
  <c r="B66"/>
  <c r="B65"/>
  <c r="B64"/>
  <c r="B63"/>
  <c r="B60"/>
  <c r="B59"/>
  <c r="B58"/>
  <c r="B61"/>
  <c r="B56"/>
  <c r="B53"/>
  <c r="C51"/>
  <c r="B51" s="1"/>
  <c r="B41"/>
  <c r="B49"/>
  <c r="B48"/>
  <c r="B47"/>
  <c r="B46"/>
  <c r="B45"/>
  <c r="B44"/>
  <c r="B43"/>
  <c r="C39"/>
  <c r="B39" s="1"/>
  <c r="B37"/>
  <c r="B36"/>
  <c r="B35"/>
  <c r="B30" l="1"/>
  <c r="B29"/>
  <c r="B28"/>
  <c r="B27"/>
  <c r="B25"/>
  <c r="B24"/>
  <c r="B22"/>
  <c r="B21"/>
  <c r="B20"/>
  <c r="B18"/>
  <c r="B16"/>
  <c r="B15"/>
  <c r="O14" i="2" l="1"/>
  <c r="S28" l="1"/>
  <c r="R28"/>
  <c r="Q28"/>
  <c r="P28"/>
  <c r="M28"/>
  <c r="L28"/>
  <c r="K28"/>
  <c r="J28"/>
  <c r="I28"/>
  <c r="H28"/>
  <c r="G28"/>
  <c r="L27"/>
  <c r="K27"/>
  <c r="J27"/>
  <c r="I27"/>
  <c r="G27"/>
  <c r="T27" l="1"/>
  <c r="S27" l="1"/>
  <c r="R27"/>
  <c r="Q27"/>
  <c r="P27"/>
  <c r="M27"/>
  <c r="N20" l="1"/>
  <c r="T16"/>
  <c r="O12"/>
  <c r="N12"/>
  <c r="L12"/>
  <c r="H12"/>
  <c r="I12"/>
  <c r="G11"/>
  <c r="J11"/>
  <c r="R11"/>
  <c r="F10"/>
  <c r="K29" l="1"/>
  <c r="M14"/>
  <c r="R10"/>
  <c r="G10"/>
  <c r="R8"/>
  <c r="Q8"/>
  <c r="G8"/>
  <c r="L8"/>
  <c r="Q7"/>
  <c r="N7"/>
  <c r="J7"/>
  <c r="G7"/>
  <c r="I7"/>
  <c r="U32"/>
  <c r="U29"/>
  <c r="U28"/>
  <c r="U27"/>
  <c r="U18"/>
  <c r="U17"/>
  <c r="U16"/>
  <c r="U15"/>
  <c r="U10"/>
  <c r="U9"/>
  <c r="U8"/>
  <c r="U7"/>
  <c r="T32"/>
  <c r="T31"/>
  <c r="T29"/>
  <c r="T28"/>
  <c r="T9"/>
  <c r="T7"/>
  <c r="S32"/>
  <c r="S29"/>
  <c r="S18"/>
  <c r="S16"/>
  <c r="S15"/>
  <c r="S10"/>
  <c r="S8"/>
  <c r="S7"/>
  <c r="R32"/>
  <c r="R29"/>
  <c r="R17"/>
  <c r="R16"/>
  <c r="R15"/>
  <c r="R9"/>
  <c r="R7"/>
  <c r="Q32"/>
  <c r="Q31"/>
  <c r="Q29"/>
  <c r="Q16"/>
  <c r="P32"/>
  <c r="O32"/>
  <c r="P29"/>
  <c r="P16"/>
  <c r="P10"/>
  <c r="P9"/>
  <c r="P8"/>
  <c r="P7"/>
  <c r="O31"/>
  <c r="O29"/>
  <c r="O28"/>
  <c r="O27"/>
  <c r="O17"/>
  <c r="O16"/>
  <c r="O15"/>
  <c r="O10"/>
  <c r="O9"/>
  <c r="O7"/>
  <c r="N32"/>
  <c r="N29"/>
  <c r="N28"/>
  <c r="N27"/>
  <c r="N18"/>
  <c r="N16"/>
  <c r="N10"/>
  <c r="N8"/>
  <c r="M32"/>
  <c r="M31"/>
  <c r="M29"/>
  <c r="M16"/>
  <c r="M10"/>
  <c r="M9"/>
  <c r="M8"/>
  <c r="M7"/>
  <c r="L32"/>
  <c r="L31"/>
  <c r="L29"/>
  <c r="L16"/>
  <c r="L15"/>
  <c r="L10"/>
  <c r="L9"/>
  <c r="L7"/>
  <c r="K32"/>
  <c r="K18"/>
  <c r="K16"/>
  <c r="K10"/>
  <c r="K9"/>
  <c r="K8"/>
  <c r="K7"/>
  <c r="J32"/>
  <c r="J31"/>
  <c r="J29"/>
  <c r="J17"/>
  <c r="J16"/>
  <c r="J10"/>
  <c r="J8"/>
  <c r="I32"/>
  <c r="I29"/>
  <c r="I16"/>
  <c r="I9"/>
  <c r="H32"/>
  <c r="H29"/>
  <c r="H18"/>
  <c r="H16"/>
  <c r="H10"/>
  <c r="H9"/>
  <c r="H8"/>
  <c r="H7"/>
  <c r="G32"/>
  <c r="G31"/>
  <c r="G29"/>
  <c r="G16"/>
  <c r="G15"/>
  <c r="V10" l="1"/>
  <c r="V7"/>
  <c r="U19" l="1"/>
  <c r="U25" l="1"/>
  <c r="U24"/>
  <c r="T23"/>
  <c r="S14"/>
  <c r="S23"/>
  <c r="S25"/>
  <c r="R14"/>
  <c r="R25"/>
  <c r="R23"/>
  <c r="Q25"/>
  <c r="Q23"/>
  <c r="P24"/>
  <c r="P23"/>
  <c r="O25"/>
  <c r="O23"/>
  <c r="N25"/>
  <c r="N23"/>
  <c r="L14"/>
  <c r="L25"/>
  <c r="L23"/>
  <c r="K24"/>
  <c r="K23"/>
  <c r="J14"/>
  <c r="J25"/>
  <c r="J23"/>
  <c r="I25"/>
  <c r="I23"/>
  <c r="H14"/>
  <c r="H26"/>
  <c r="H24"/>
  <c r="H23"/>
  <c r="G14"/>
  <c r="G26"/>
  <c r="G25"/>
  <c r="G23"/>
  <c r="Q22" l="1"/>
  <c r="S12" l="1"/>
  <c r="R12"/>
  <c r="Q12"/>
  <c r="M12"/>
  <c r="G12"/>
  <c r="J12" l="1"/>
  <c r="U12"/>
  <c r="K12"/>
  <c r="T12"/>
  <c r="J19" l="1"/>
  <c r="R20"/>
  <c r="J20"/>
  <c r="M20"/>
  <c r="P20" l="1"/>
  <c r="U23" l="1"/>
  <c r="U22"/>
  <c r="U13" l="1"/>
  <c r="U20"/>
  <c r="T14" l="1"/>
  <c r="T8"/>
  <c r="T13" l="1"/>
  <c r="T19"/>
  <c r="S19" l="1"/>
  <c r="S26"/>
  <c r="S22" l="1"/>
  <c r="S13"/>
  <c r="K22" l="1"/>
  <c r="I26"/>
  <c r="I19"/>
  <c r="R13" l="1"/>
  <c r="R24"/>
  <c r="Q14" l="1"/>
  <c r="Q19" l="1"/>
  <c r="Q13" l="1"/>
  <c r="P13" l="1"/>
  <c r="P14" l="1"/>
  <c r="P26"/>
  <c r="H20" l="1"/>
  <c r="M24" l="1"/>
  <c r="O8" l="1"/>
  <c r="O19"/>
  <c r="N14"/>
  <c r="O13" l="1"/>
  <c r="I22" l="1"/>
  <c r="L19" l="1"/>
  <c r="N19" l="1"/>
  <c r="M23"/>
  <c r="M19"/>
  <c r="N13" l="1"/>
  <c r="M13"/>
  <c r="L26"/>
  <c r="L20" l="1"/>
  <c r="L13"/>
  <c r="K19" l="1"/>
  <c r="K13" l="1"/>
  <c r="K14" l="1"/>
  <c r="K26"/>
  <c r="J13" l="1"/>
  <c r="I14"/>
  <c r="V14" s="1"/>
  <c r="W14" s="1"/>
  <c r="H19" l="1"/>
  <c r="I8" l="1"/>
  <c r="H27" l="1"/>
  <c r="H13"/>
  <c r="G19"/>
  <c r="G13" l="1"/>
  <c r="F12"/>
  <c r="B17" l="1"/>
  <c r="B18" s="1"/>
  <c r="B19" s="1"/>
  <c r="I13" l="1"/>
  <c r="V32"/>
  <c r="W32" s="1"/>
  <c r="F32"/>
  <c r="V31"/>
  <c r="F31"/>
  <c r="V30"/>
  <c r="F30"/>
  <c r="V29"/>
  <c r="F29"/>
  <c r="V28"/>
  <c r="F28"/>
  <c r="V26"/>
  <c r="W26" s="1"/>
  <c r="F26"/>
  <c r="V25"/>
  <c r="W25" s="1"/>
  <c r="F25"/>
  <c r="V24"/>
  <c r="W24" s="1"/>
  <c r="F24"/>
  <c r="V23"/>
  <c r="W23" s="1"/>
  <c r="F23"/>
  <c r="V22"/>
  <c r="W22" s="1"/>
  <c r="F22"/>
  <c r="V21"/>
  <c r="W21" s="1"/>
  <c r="F21"/>
  <c r="V20"/>
  <c r="W20" s="1"/>
  <c r="X20" s="1"/>
  <c r="V18"/>
  <c r="W18" s="1"/>
  <c r="X18" s="1"/>
  <c r="V17"/>
  <c r="W17" s="1"/>
  <c r="F17"/>
  <c r="V16"/>
  <c r="W16" s="1"/>
  <c r="F16"/>
  <c r="V15"/>
  <c r="W15" s="1"/>
  <c r="F15"/>
  <c r="B20"/>
  <c r="B21" s="1"/>
  <c r="B22" s="1"/>
  <c r="B23" s="1"/>
  <c r="B25" s="1"/>
  <c r="B26" s="1"/>
  <c r="B27" s="1"/>
  <c r="B28" s="1"/>
  <c r="B29" s="1"/>
  <c r="B30" s="1"/>
  <c r="B31" s="1"/>
  <c r="B32" s="1"/>
  <c r="F14"/>
  <c r="X14" s="1"/>
  <c r="F13"/>
  <c r="V12"/>
  <c r="V11"/>
  <c r="F9"/>
  <c r="V8"/>
  <c r="W8" s="1"/>
  <c r="F8"/>
  <c r="W7"/>
  <c r="F7"/>
  <c r="X16" l="1"/>
  <c r="X21"/>
  <c r="X23"/>
  <c r="X25"/>
  <c r="X22"/>
  <c r="X24"/>
  <c r="X26"/>
  <c r="X17"/>
  <c r="X32"/>
  <c r="W10"/>
  <c r="X10" s="1"/>
  <c r="W11"/>
  <c r="X11" s="1"/>
  <c r="W12"/>
  <c r="X12" s="1"/>
  <c r="W30"/>
  <c r="X30" s="1"/>
  <c r="W29"/>
  <c r="X29" s="1"/>
  <c r="W28"/>
  <c r="X28" s="1"/>
  <c r="W31"/>
  <c r="X31" s="1"/>
  <c r="Y15"/>
  <c r="X15"/>
  <c r="Y22"/>
  <c r="Y24"/>
  <c r="Z7"/>
  <c r="AA7"/>
  <c r="X8"/>
  <c r="AA17"/>
  <c r="Y17"/>
  <c r="Z17"/>
  <c r="Z18"/>
  <c r="AA18"/>
  <c r="AA20"/>
  <c r="Y20"/>
  <c r="Z20"/>
  <c r="Z21"/>
  <c r="Z23"/>
  <c r="AA23"/>
  <c r="Y7"/>
  <c r="AA25"/>
  <c r="Y25"/>
  <c r="Z25"/>
  <c r="Z26"/>
  <c r="X7"/>
  <c r="AA8"/>
  <c r="Y8"/>
  <c r="Z8"/>
  <c r="AA15"/>
  <c r="AA16"/>
  <c r="AB16" s="1"/>
  <c r="Y18"/>
  <c r="Y21"/>
  <c r="Z22"/>
  <c r="Y23"/>
  <c r="Z24"/>
  <c r="AA24"/>
  <c r="Y26"/>
  <c r="AA32"/>
  <c r="Y32"/>
  <c r="Z32"/>
  <c r="AA14" l="1"/>
  <c r="AA11"/>
  <c r="AB15"/>
  <c r="Z14"/>
  <c r="AA31"/>
  <c r="Y14"/>
  <c r="AA12"/>
  <c r="Z11"/>
  <c r="AB22"/>
  <c r="Z12"/>
  <c r="Y10"/>
  <c r="Y31"/>
  <c r="AA29"/>
  <c r="Y12"/>
  <c r="Y11"/>
  <c r="Z29"/>
  <c r="Z10"/>
  <c r="AA10"/>
  <c r="Z31"/>
  <c r="Y30"/>
  <c r="AA30"/>
  <c r="Z30"/>
  <c r="Y29"/>
  <c r="Z28"/>
  <c r="AB28" s="1"/>
  <c r="AB21"/>
  <c r="AB26"/>
  <c r="AB24"/>
  <c r="AB23"/>
  <c r="AB18"/>
  <c r="AB7"/>
  <c r="AB8"/>
  <c r="AB25"/>
  <c r="AB20"/>
  <c r="AB17"/>
  <c r="AB14" l="1"/>
  <c r="AB12"/>
  <c r="AB31"/>
  <c r="AB11"/>
  <c r="AB29"/>
  <c r="AB10"/>
  <c r="AB30"/>
  <c r="V19" l="1"/>
  <c r="W19" s="1"/>
  <c r="X19" s="1"/>
  <c r="V27"/>
  <c r="V9"/>
  <c r="W9" s="1"/>
  <c r="W27" l="1"/>
  <c r="X27" s="1"/>
  <c r="Y19"/>
  <c r="Z19"/>
  <c r="V13"/>
  <c r="W13" s="1"/>
  <c r="Z9"/>
  <c r="AA9"/>
  <c r="Y9"/>
  <c r="X9"/>
  <c r="AA27" l="1"/>
  <c r="Z27"/>
  <c r="Y27"/>
  <c r="Z13"/>
  <c r="X13"/>
  <c r="AB19"/>
  <c r="Y13"/>
  <c r="AA13"/>
  <c r="AB9"/>
  <c r="AB27" l="1"/>
  <c r="AB13"/>
</calcChain>
</file>

<file path=xl/sharedStrings.xml><?xml version="1.0" encoding="utf-8"?>
<sst xmlns="http://schemas.openxmlformats.org/spreadsheetml/2006/main" count="1238" uniqueCount="335">
  <si>
    <t>брутто,г</t>
  </si>
  <si>
    <t>нетто,г</t>
  </si>
  <si>
    <t>Масса порций</t>
  </si>
  <si>
    <t>ПЕРВАЯ НЕДЕЛЯ</t>
  </si>
  <si>
    <t>Первый день</t>
  </si>
  <si>
    <t>Завтрак</t>
  </si>
  <si>
    <t>Обед</t>
  </si>
  <si>
    <t>Полдник</t>
  </si>
  <si>
    <t>Второй день</t>
  </si>
  <si>
    <t>Третий день</t>
  </si>
  <si>
    <t>Четвертый день</t>
  </si>
  <si>
    <t>Пятый день</t>
  </si>
  <si>
    <t>ВТОРАЯ НЕДЕЛЯ</t>
  </si>
  <si>
    <t>Шестой день</t>
  </si>
  <si>
    <t>Седьмой день</t>
  </si>
  <si>
    <t>Восьмой день</t>
  </si>
  <si>
    <t>Девятый день</t>
  </si>
  <si>
    <t>ООО "Магия Вкуса"</t>
  </si>
  <si>
    <t>№</t>
  </si>
  <si>
    <t>Продукты</t>
  </si>
  <si>
    <t>Норма в день по СаНпиН, нетто,г</t>
  </si>
  <si>
    <t>%</t>
  </si>
  <si>
    <t>Норма в день на завтрак (20-25%)</t>
  </si>
  <si>
    <t>Фактически получено</t>
  </si>
  <si>
    <t>Факт в день</t>
  </si>
  <si>
    <t>% выполнения</t>
  </si>
  <si>
    <t>Химический состав</t>
  </si>
  <si>
    <t>Дни</t>
  </si>
  <si>
    <t>белки</t>
  </si>
  <si>
    <t>жиры</t>
  </si>
  <si>
    <t>углеводы</t>
  </si>
  <si>
    <t>Ккал</t>
  </si>
  <si>
    <t>Хлеб пшеничный *</t>
  </si>
  <si>
    <t>Крупы, бобовые</t>
  </si>
  <si>
    <t xml:space="preserve"> Макароны</t>
  </si>
  <si>
    <t xml:space="preserve">Картофель </t>
  </si>
  <si>
    <t xml:space="preserve">Фрукты свежие </t>
  </si>
  <si>
    <t>Фрукты сухие</t>
  </si>
  <si>
    <t>Сахар</t>
  </si>
  <si>
    <t>Кондитерские изделия</t>
  </si>
  <si>
    <t>Чай</t>
  </si>
  <si>
    <t xml:space="preserve">Мясо 1 категории </t>
  </si>
  <si>
    <t>Цыплята 1 категории потрошеные</t>
  </si>
  <si>
    <t xml:space="preserve">Колбасные изделия </t>
  </si>
  <si>
    <t xml:space="preserve">Рыба филе </t>
  </si>
  <si>
    <t>Творог</t>
  </si>
  <si>
    <t>Сметана</t>
  </si>
  <si>
    <t>Сыр</t>
  </si>
  <si>
    <t>Масло сливочное</t>
  </si>
  <si>
    <t>Масло растительное</t>
  </si>
  <si>
    <t>Яйцо куриное</t>
  </si>
  <si>
    <t>Дрожжи хлебопекарные</t>
  </si>
  <si>
    <t>Соль</t>
  </si>
  <si>
    <t>Начальчик летнего оздоровительного лагеря</t>
  </si>
  <si>
    <t>Согласованно :</t>
  </si>
  <si>
    <t>при МАОУ_____________________СОШ</t>
  </si>
  <si>
    <t>Ф.И.О.________________/_____________/_</t>
  </si>
  <si>
    <t>Какао ***</t>
  </si>
  <si>
    <t>Мука *</t>
  </si>
  <si>
    <t>*** с учетом кофейного напитка</t>
  </si>
  <si>
    <t xml:space="preserve">школьных оздоровительных лагерей  для детей с 7 лет и старше                           </t>
  </si>
  <si>
    <t xml:space="preserve">НАКОПИТЕЛЬНАЯ ВЕДОМОСТЬ к примерному цикличному  меню             </t>
  </si>
  <si>
    <t>* С учётом х/б изделия и сухарной панировки, муки, теста слоеного пром. производства</t>
  </si>
  <si>
    <t>за 15 дней</t>
  </si>
  <si>
    <t>Овощи, зелень</t>
  </si>
  <si>
    <t>Молоко**</t>
  </si>
  <si>
    <t>** с учетом кефира</t>
  </si>
  <si>
    <t>Хлеб ржаной*</t>
  </si>
  <si>
    <t>Итого</t>
  </si>
  <si>
    <t xml:space="preserve"> Меню для школьного оздоровительного лагеря</t>
  </si>
  <si>
    <t xml:space="preserve"> Наименование блюда</t>
  </si>
  <si>
    <t>Десятый день</t>
  </si>
  <si>
    <t>Одиннадцатый день</t>
  </si>
  <si>
    <t>ТРЕТЬЯ НЕДЕЛЯ</t>
  </si>
  <si>
    <t>Пятнадцатый день</t>
  </si>
  <si>
    <t>ООО " Магия вкуса "</t>
  </si>
  <si>
    <t xml:space="preserve"> Генеральный директор</t>
  </si>
  <si>
    <t>______   М.Г.Сыскова</t>
  </si>
  <si>
    <t>1 смена</t>
  </si>
  <si>
    <t>Двенадцатый день</t>
  </si>
  <si>
    <t>Тринадцатый день</t>
  </si>
  <si>
    <t>Четырнадцатый день</t>
  </si>
  <si>
    <t>200</t>
  </si>
  <si>
    <t>вода</t>
  </si>
  <si>
    <t>молоко питьевое 2,5% жирности</t>
  </si>
  <si>
    <t>Бутерброд с маслом</t>
  </si>
  <si>
    <t>20/10</t>
  </si>
  <si>
    <t>Какао с молоком</t>
  </si>
  <si>
    <t>какао - порошок</t>
  </si>
  <si>
    <t xml:space="preserve">помидоры свежие </t>
  </si>
  <si>
    <t>масло растительное</t>
  </si>
  <si>
    <t>курица-тушка</t>
  </si>
  <si>
    <t>масса готового мяса</t>
  </si>
  <si>
    <t>картофель</t>
  </si>
  <si>
    <t>морковь</t>
  </si>
  <si>
    <t>лук репчатый</t>
  </si>
  <si>
    <t>огурцы соленые</t>
  </si>
  <si>
    <t>сметана 15%</t>
  </si>
  <si>
    <t>яйцо куриное</t>
  </si>
  <si>
    <t>масса п/ф</t>
  </si>
  <si>
    <t>Фрукт Яблоко</t>
  </si>
  <si>
    <t>крупа гречневая</t>
  </si>
  <si>
    <t>соль йодированная</t>
  </si>
  <si>
    <t>сахар песок</t>
  </si>
  <si>
    <t>лимонная кислота</t>
  </si>
  <si>
    <t>вода питьевая</t>
  </si>
  <si>
    <t>сода пищевая</t>
  </si>
  <si>
    <t>мука пшеничная в/с</t>
  </si>
  <si>
    <t>ванилин</t>
  </si>
  <si>
    <t>Йогурт 2,5% 125 гр</t>
  </si>
  <si>
    <t>Кофейный напиток</t>
  </si>
  <si>
    <t>кофейный напиток</t>
  </si>
  <si>
    <t>говядина гуляш</t>
  </si>
  <si>
    <t>масса отварного мяса</t>
  </si>
  <si>
    <t>горох лущёный</t>
  </si>
  <si>
    <t>Компот из сухофруктов</t>
  </si>
  <si>
    <t>сухофрукты</t>
  </si>
  <si>
    <t>дрожжи саф-момент</t>
  </si>
  <si>
    <t>масса полуфабриката</t>
  </si>
  <si>
    <t>Фрукт Мандарин</t>
  </si>
  <si>
    <t>крупа манная</t>
  </si>
  <si>
    <t>сухарь панировочный</t>
  </si>
  <si>
    <t>лавровый лист</t>
  </si>
  <si>
    <t>90/30</t>
  </si>
  <si>
    <t>филе куриное</t>
  </si>
  <si>
    <t>повидло</t>
  </si>
  <si>
    <t>лимон</t>
  </si>
  <si>
    <t>свекла</t>
  </si>
  <si>
    <t>масса отварной свеклы</t>
  </si>
  <si>
    <t>минтай с/м</t>
  </si>
  <si>
    <t>бедро куриное</t>
  </si>
  <si>
    <t>крупа рис пропаренный</t>
  </si>
  <si>
    <t xml:space="preserve">Рис припущенный </t>
  </si>
  <si>
    <t xml:space="preserve">Компот из кураги </t>
  </si>
  <si>
    <t>курага</t>
  </si>
  <si>
    <t>масло растительное для смазки листа</t>
  </si>
  <si>
    <t>капуста б/кочанная</t>
  </si>
  <si>
    <t>Пюре картофельное</t>
  </si>
  <si>
    <t>Лепешка сметанная</t>
  </si>
  <si>
    <t>Фрукт Банан</t>
  </si>
  <si>
    <t>Кисломолочный напиток</t>
  </si>
  <si>
    <t>снежок 2,5 %</t>
  </si>
  <si>
    <t>масса отварной моркови</t>
  </si>
  <si>
    <t>масса тушеного мяса</t>
  </si>
  <si>
    <t>горошек зеленый консервированный</t>
  </si>
  <si>
    <t>крупа перловая</t>
  </si>
  <si>
    <t xml:space="preserve">томатная паста </t>
  </si>
  <si>
    <t>масло сливочное 72.5 %</t>
  </si>
  <si>
    <t>кефир 2.5%</t>
  </si>
  <si>
    <t>Сырники из творога со сгущенным молоком</t>
  </si>
  <si>
    <t>150/20</t>
  </si>
  <si>
    <t>сырники п/ф(3шт)</t>
  </si>
  <si>
    <t xml:space="preserve">молоко сгущенное </t>
  </si>
  <si>
    <t xml:space="preserve">Капуста тушеная </t>
  </si>
  <si>
    <t>масса готовой рыбы</t>
  </si>
  <si>
    <t>вода для варки</t>
  </si>
  <si>
    <t xml:space="preserve">тесто дрожжевое </t>
  </si>
  <si>
    <t>дрожжи Саф-момент</t>
  </si>
  <si>
    <t>начинка:</t>
  </si>
  <si>
    <t>мука пшеничная в/с на подпыл</t>
  </si>
  <si>
    <t>изюм</t>
  </si>
  <si>
    <t xml:space="preserve">Горячий бутерброд с сыром </t>
  </si>
  <si>
    <t>Яйцо отварное</t>
  </si>
  <si>
    <t>200/5</t>
  </si>
  <si>
    <t xml:space="preserve"> крупа пшеничная</t>
  </si>
  <si>
    <t xml:space="preserve">Каша молочная пшеничная </t>
  </si>
  <si>
    <t>чай чёрный</t>
  </si>
  <si>
    <t xml:space="preserve">Чай с молоком и сахаром  </t>
  </si>
  <si>
    <t>30</t>
  </si>
  <si>
    <t>зелень свежая</t>
  </si>
  <si>
    <t xml:space="preserve">Салат из белокочанной капусты с морковью </t>
  </si>
  <si>
    <t>масса готового продукта</t>
  </si>
  <si>
    <t xml:space="preserve">Суп  картофельный с крупой </t>
  </si>
  <si>
    <t xml:space="preserve"> масло растительное</t>
  </si>
  <si>
    <t>Печень по строгановски</t>
  </si>
  <si>
    <t>печень говяжья</t>
  </si>
  <si>
    <t>масса готовой печени</t>
  </si>
  <si>
    <t xml:space="preserve">масло растительноен </t>
  </si>
  <si>
    <t xml:space="preserve">соус </t>
  </si>
  <si>
    <t xml:space="preserve">макароны </t>
  </si>
  <si>
    <t>Компот из ягодно-яблочной смеси</t>
  </si>
  <si>
    <t xml:space="preserve">Манник "Ванилька"   </t>
  </si>
  <si>
    <t>200/2</t>
  </si>
  <si>
    <t xml:space="preserve">Макароны отварные </t>
  </si>
  <si>
    <t>20/5/10</t>
  </si>
  <si>
    <t>200/3</t>
  </si>
  <si>
    <t xml:space="preserve"> крупа пшено</t>
  </si>
  <si>
    <t xml:space="preserve">Бутерброд с маслом и сыром </t>
  </si>
  <si>
    <t>Каша молочная пшенная</t>
  </si>
  <si>
    <t xml:space="preserve">Кофейный напиток </t>
  </si>
  <si>
    <t>100</t>
  </si>
  <si>
    <t>Нарезка из отварной свеклы</t>
  </si>
  <si>
    <t>220</t>
  </si>
  <si>
    <t>Рыба запеченая под овощами</t>
  </si>
  <si>
    <t>масса запеченой рыбы</t>
  </si>
  <si>
    <t>аскорбиновая кислота</t>
  </si>
  <si>
    <t xml:space="preserve">Рассольник Ленинградский со  сметаной                                                                        </t>
  </si>
  <si>
    <t xml:space="preserve">Пюре картофельное </t>
  </si>
  <si>
    <t xml:space="preserve">Компот из яблок + Витамин С                                                                                        </t>
  </si>
  <si>
    <t>Чай с сахаром</t>
  </si>
  <si>
    <t>30/10</t>
  </si>
  <si>
    <t>масса омлетной массы</t>
  </si>
  <si>
    <t xml:space="preserve">Омлет натуральный </t>
  </si>
  <si>
    <t xml:space="preserve">Салат из свежих огурцов с маслом растительным </t>
  </si>
  <si>
    <t xml:space="preserve">огурцы свежие </t>
  </si>
  <si>
    <t>масса пассерованных овощей</t>
  </si>
  <si>
    <t xml:space="preserve"> Борщ с мясом и сметаной  </t>
  </si>
  <si>
    <t>Гречка по купечески</t>
  </si>
  <si>
    <t xml:space="preserve"> свинина с/м</t>
  </si>
  <si>
    <t>тесто слоеное промышленного производства</t>
  </si>
  <si>
    <t>мука пшеничная  в/с</t>
  </si>
  <si>
    <t>Слойка с сахаром</t>
  </si>
  <si>
    <t>20/12</t>
  </si>
  <si>
    <t xml:space="preserve"> крупа ячневая</t>
  </si>
  <si>
    <t>Каша молочная ячневая</t>
  </si>
  <si>
    <t xml:space="preserve">Чай с сахаром и лимоном </t>
  </si>
  <si>
    <t>220/10</t>
  </si>
  <si>
    <t>бульон от картофеля</t>
  </si>
  <si>
    <t xml:space="preserve">  фарш говяжий</t>
  </si>
  <si>
    <t>крупа рис круглый</t>
  </si>
  <si>
    <t xml:space="preserve">соус томатный </t>
  </si>
  <si>
    <t xml:space="preserve">Салат из моркови с сыром  </t>
  </si>
  <si>
    <t>Суп - пюре овощной с мясом и гренками</t>
  </si>
  <si>
    <t xml:space="preserve">Тефтели мясные с соусом томатным </t>
  </si>
  <si>
    <t xml:space="preserve">Булочка ванильная </t>
  </si>
  <si>
    <t xml:space="preserve">Чай с молоком и сахаром </t>
  </si>
  <si>
    <t>30/5/15</t>
  </si>
  <si>
    <t xml:space="preserve">Бутерброд с маслом и повидлом </t>
  </si>
  <si>
    <t xml:space="preserve">Каша молочная рисовая с маслом </t>
  </si>
  <si>
    <t>Уха рыбацкая</t>
  </si>
  <si>
    <t xml:space="preserve"> минтай с/м (филе с кожей без костей)</t>
  </si>
  <si>
    <t xml:space="preserve">Кура запеченая </t>
  </si>
  <si>
    <t xml:space="preserve">Компот с изюмом + Витамин С </t>
  </si>
  <si>
    <t>яблоки свежие  60%</t>
  </si>
  <si>
    <t xml:space="preserve">Шарлотка с яблоком </t>
  </si>
  <si>
    <t xml:space="preserve">Чай с сахаром </t>
  </si>
  <si>
    <t>20/8</t>
  </si>
  <si>
    <t xml:space="preserve"> крупа манная</t>
  </si>
  <si>
    <t xml:space="preserve">кофейный напиток </t>
  </si>
  <si>
    <t xml:space="preserve">Каша  молочная манная с маслом </t>
  </si>
  <si>
    <t>лимон (сок лимона)</t>
  </si>
  <si>
    <t>макаронные изделия (лапша)</t>
  </si>
  <si>
    <t>плоды шиповника</t>
  </si>
  <si>
    <t xml:space="preserve">Салат из моркови с яблоком </t>
  </si>
  <si>
    <t xml:space="preserve">Плов с мясом </t>
  </si>
  <si>
    <t xml:space="preserve">Отвар из шиповник </t>
  </si>
  <si>
    <t>крахмал</t>
  </si>
  <si>
    <t xml:space="preserve">Кисель из свежих ягод </t>
  </si>
  <si>
    <t>Суп -лапша с мясом</t>
  </si>
  <si>
    <t>20/20</t>
  </si>
  <si>
    <t>Бутерброд с  повидлом</t>
  </si>
  <si>
    <t xml:space="preserve">Каша молочная ячневая </t>
  </si>
  <si>
    <t xml:space="preserve">Какао с молоком </t>
  </si>
  <si>
    <t xml:space="preserve"> фарш говяжий</t>
  </si>
  <si>
    <t xml:space="preserve">соус сметанный с томатом </t>
  </si>
  <si>
    <t>Сложный гарнир</t>
  </si>
  <si>
    <t xml:space="preserve">Компот из яблок +Витамин С                                                                                                   </t>
  </si>
  <si>
    <t xml:space="preserve">Суп гороховый  с гренками и  мясом </t>
  </si>
  <si>
    <t xml:space="preserve">Шницель мясной с соусом сметанно-томатным </t>
  </si>
  <si>
    <t xml:space="preserve">Чай "Витаминый" </t>
  </si>
  <si>
    <t xml:space="preserve">Салат из свежих помидоров </t>
  </si>
  <si>
    <t>30/15/5</t>
  </si>
  <si>
    <t xml:space="preserve">Каша молочная жидкая пшенная </t>
  </si>
  <si>
    <t xml:space="preserve">масса отварного картофеля </t>
  </si>
  <si>
    <t xml:space="preserve">Винегрет овощной                                                                             </t>
  </si>
  <si>
    <t xml:space="preserve">Суп овощной </t>
  </si>
  <si>
    <t xml:space="preserve"> масло раститльное</t>
  </si>
  <si>
    <t xml:space="preserve">Азу </t>
  </si>
  <si>
    <t xml:space="preserve">Гречка рассыпчатая </t>
  </si>
  <si>
    <t xml:space="preserve">Компот из изюма + Витамин С                                                                                     </t>
  </si>
  <si>
    <t>Булочка "Ярославская"</t>
  </si>
  <si>
    <t>30/20</t>
  </si>
  <si>
    <t>Горячий бутерброд с сыром</t>
  </si>
  <si>
    <t>Каша жидкая молочная рисовая с маслом</t>
  </si>
  <si>
    <t>220/5</t>
  </si>
  <si>
    <t>Щи из свежей капусты с картофелем, c мясом со сметаной</t>
  </si>
  <si>
    <t xml:space="preserve">Рыба запеченная в омлете </t>
  </si>
  <si>
    <t xml:space="preserve">Рис припущенный с овощами </t>
  </si>
  <si>
    <t>25/20</t>
  </si>
  <si>
    <t>джем</t>
  </si>
  <si>
    <t xml:space="preserve">Бутерброд с  джемом </t>
  </si>
  <si>
    <t xml:space="preserve"> грудка куриная ( филе без кожи и костей)</t>
  </si>
  <si>
    <t xml:space="preserve">Салат Здоровье </t>
  </si>
  <si>
    <t xml:space="preserve">Рассольник Ленинградский со  сметаной                                                               </t>
  </si>
  <si>
    <t xml:space="preserve">Жаркое по-домашнему  </t>
  </si>
  <si>
    <t xml:space="preserve">Компот из ягодной смеси </t>
  </si>
  <si>
    <t>Ватрушка с повидлом</t>
  </si>
  <si>
    <t>яйцо куриное для смазки</t>
  </si>
  <si>
    <t>Чай с сахаром и лимоном</t>
  </si>
  <si>
    <t xml:space="preserve">Каша молочная овсяная </t>
  </si>
  <si>
    <t xml:space="preserve">Салат из белокочанной капусты с зеленью </t>
  </si>
  <si>
    <t>Печень тушеная с овощами</t>
  </si>
  <si>
    <t xml:space="preserve">Шарлотка с яблоком  </t>
  </si>
  <si>
    <t xml:space="preserve">Свекольник с мясом   со сметаной </t>
  </si>
  <si>
    <t xml:space="preserve">Бутерброд с  сыром </t>
  </si>
  <si>
    <t>масса  отварного  риса</t>
  </si>
  <si>
    <t xml:space="preserve">Голубцы ленивые с мясом и рисом </t>
  </si>
  <si>
    <t>Слойка с повидлом</t>
  </si>
  <si>
    <t xml:space="preserve">Компот из сухофруктов </t>
  </si>
  <si>
    <t>Каша молочная жидкая овсяная</t>
  </si>
  <si>
    <t>хлопья овсяные</t>
  </si>
  <si>
    <t>Нарезка из отварной свеклы с сыром</t>
  </si>
  <si>
    <t xml:space="preserve">Овощное рагу с мясом </t>
  </si>
  <si>
    <t>25/15</t>
  </si>
  <si>
    <t>Каша молочная ячневая с маслом</t>
  </si>
  <si>
    <t>тесто дрожжевое:</t>
  </si>
  <si>
    <t>яйцо для смазки изделия</t>
  </si>
  <si>
    <t>Шанежка с картофелем</t>
  </si>
  <si>
    <t>начинка</t>
  </si>
  <si>
    <t>масса картофельного фарша</t>
  </si>
  <si>
    <t>сметана для смазки изделия</t>
  </si>
  <si>
    <t>Суп гороховый  с гренками на курином бульоне</t>
  </si>
  <si>
    <t>бульон куриный</t>
  </si>
  <si>
    <t>Булочка  Домашняя</t>
  </si>
  <si>
    <t>тесто  дрожжевое</t>
  </si>
  <si>
    <t>сыр Сулугуни</t>
  </si>
  <si>
    <t>смесь ягод "Рябинка"</t>
  </si>
  <si>
    <t xml:space="preserve">Молоко кипяченое питьевое </t>
  </si>
  <si>
    <t>130</t>
  </si>
  <si>
    <t>фарш говяжий</t>
  </si>
  <si>
    <t>свинина с/м</t>
  </si>
  <si>
    <t>Салат из свежих огурцов с маслом растительным</t>
  </si>
  <si>
    <t>Фрукт Апельсин</t>
  </si>
  <si>
    <t>Фрукт Груша</t>
  </si>
  <si>
    <t>150</t>
  </si>
  <si>
    <t>120</t>
  </si>
  <si>
    <t>Салат из свежих помидоров</t>
  </si>
  <si>
    <t>крошка</t>
  </si>
  <si>
    <t>Отвар из шиповника</t>
  </si>
  <si>
    <t>шиповник</t>
  </si>
  <si>
    <t>Исполнитель:                              Технолог-калькулятор Девяткова Н.А.</t>
  </si>
  <si>
    <t>Хлеб "Дарницкий" (нарезной)</t>
  </si>
  <si>
    <t>Хлеб"Рябинушка" пшеничный нарезной</t>
  </si>
  <si>
    <t>хлеб "Рябинушка" пшеничный в переработку</t>
  </si>
  <si>
    <t>Омутинский  район</t>
  </si>
</sst>
</file>

<file path=xl/styles.xml><?xml version="1.0" encoding="utf-8"?>
<styleSheet xmlns="http://schemas.openxmlformats.org/spreadsheetml/2006/main">
  <numFmts count="4">
    <numFmt numFmtId="164" formatCode="_-* #,##0.00_р_._-;\-* #,##0.00_р_._-;_-* &quot;-&quot;??_р_._-;_-@_-"/>
    <numFmt numFmtId="165" formatCode="0.0"/>
    <numFmt numFmtId="166" formatCode="0.000"/>
    <numFmt numFmtId="167" formatCode="_(* #,##0.00_);_(* \(#,##0.00\);_(* &quot;-&quot;??_);_(@_)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 tint="4.9989318521683403E-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 tint="4.9989318521683403E-2"/>
      <name val="Times New Roman"/>
      <family val="1"/>
      <charset val="204"/>
    </font>
    <font>
      <sz val="10"/>
      <name val="Arial Cyr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i/>
      <sz val="1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8" fillId="0" borderId="0"/>
    <xf numFmtId="0" fontId="23" fillId="0" borderId="0"/>
    <xf numFmtId="0" fontId="1" fillId="0" borderId="0"/>
    <xf numFmtId="0" fontId="8" fillId="0" borderId="0"/>
    <xf numFmtId="0" fontId="8" fillId="0" borderId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63">
    <xf numFmtId="0" fontId="0" fillId="0" borderId="0" xfId="0"/>
    <xf numFmtId="0" fontId="2" fillId="0" borderId="0" xfId="0" applyFont="1"/>
    <xf numFmtId="0" fontId="3" fillId="0" borderId="0" xfId="0" applyFont="1"/>
    <xf numFmtId="0" fontId="6" fillId="3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2" fontId="9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" xfId="0" applyFont="1" applyBorder="1"/>
    <xf numFmtId="2" fontId="9" fillId="0" borderId="2" xfId="0" applyNumberFormat="1" applyFont="1" applyBorder="1" applyAlignment="1">
      <alignment horizontal="center" vertical="center"/>
    </xf>
    <xf numFmtId="2" fontId="14" fillId="0" borderId="2" xfId="0" applyNumberFormat="1" applyFont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2" fontId="13" fillId="0" borderId="2" xfId="0" applyNumberFormat="1" applyFont="1" applyFill="1" applyBorder="1" applyAlignment="1">
      <alignment horizontal="center" vertical="center"/>
    </xf>
    <xf numFmtId="2" fontId="13" fillId="6" borderId="2" xfId="0" applyNumberFormat="1" applyFont="1" applyFill="1" applyBorder="1" applyAlignment="1">
      <alignment horizontal="center" vertical="center"/>
    </xf>
    <xf numFmtId="2" fontId="10" fillId="0" borderId="2" xfId="1" applyNumberFormat="1" applyFont="1" applyFill="1" applyBorder="1" applyAlignment="1">
      <alignment horizontal="center" vertical="center"/>
    </xf>
    <xf numFmtId="2" fontId="11" fillId="0" borderId="2" xfId="0" applyNumberFormat="1" applyFont="1" applyFill="1" applyBorder="1" applyAlignment="1">
      <alignment horizontal="center" vertical="center"/>
    </xf>
    <xf numFmtId="0" fontId="9" fillId="0" borderId="0" xfId="0" applyFont="1"/>
    <xf numFmtId="0" fontId="10" fillId="2" borderId="0" xfId="0" applyFont="1" applyFill="1"/>
    <xf numFmtId="165" fontId="12" fillId="2" borderId="2" xfId="0" applyNumberFormat="1" applyFont="1" applyFill="1" applyBorder="1" applyAlignment="1">
      <alignment horizontal="center" vertical="center"/>
    </xf>
    <xf numFmtId="0" fontId="17" fillId="0" borderId="0" xfId="0" applyFont="1"/>
    <xf numFmtId="0" fontId="18" fillId="6" borderId="12" xfId="0" applyFont="1" applyFill="1" applyBorder="1" applyAlignment="1">
      <alignment horizontal="center" vertical="center"/>
    </xf>
    <xf numFmtId="0" fontId="18" fillId="6" borderId="2" xfId="0" applyFont="1" applyFill="1" applyBorder="1"/>
    <xf numFmtId="0" fontId="18" fillId="6" borderId="2" xfId="0" applyFont="1" applyFill="1" applyBorder="1" applyAlignment="1">
      <alignment wrapText="1"/>
    </xf>
    <xf numFmtId="0" fontId="5" fillId="6" borderId="12" xfId="0" applyFont="1" applyFill="1" applyBorder="1" applyAlignment="1">
      <alignment horizontal="center" vertical="center"/>
    </xf>
    <xf numFmtId="0" fontId="5" fillId="6" borderId="2" xfId="0" applyFont="1" applyFill="1" applyBorder="1"/>
    <xf numFmtId="0" fontId="18" fillId="2" borderId="1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wrapText="1"/>
    </xf>
    <xf numFmtId="0" fontId="5" fillId="2" borderId="2" xfId="0" applyFont="1" applyFill="1" applyBorder="1"/>
    <xf numFmtId="0" fontId="10" fillId="0" borderId="0" xfId="0" applyFont="1"/>
    <xf numFmtId="1" fontId="21" fillId="6" borderId="2" xfId="0" applyNumberFormat="1" applyFont="1" applyFill="1" applyBorder="1" applyAlignment="1">
      <alignment horizontal="center" vertical="center"/>
    </xf>
    <xf numFmtId="1" fontId="20" fillId="2" borderId="2" xfId="0" applyNumberFormat="1" applyFont="1" applyFill="1" applyBorder="1" applyAlignment="1">
      <alignment horizontal="center" vertical="center"/>
    </xf>
    <xf numFmtId="1" fontId="21" fillId="4" borderId="2" xfId="0" applyNumberFormat="1" applyFont="1" applyFill="1" applyBorder="1" applyAlignment="1">
      <alignment horizontal="center" vertical="center"/>
    </xf>
    <xf numFmtId="2" fontId="20" fillId="6" borderId="2" xfId="0" applyNumberFormat="1" applyFont="1" applyFill="1" applyBorder="1" applyAlignment="1">
      <alignment horizontal="center" vertical="center"/>
    </xf>
    <xf numFmtId="165" fontId="20" fillId="6" borderId="2" xfId="0" applyNumberFormat="1" applyFont="1" applyFill="1" applyBorder="1" applyAlignment="1">
      <alignment horizontal="center" vertical="center"/>
    </xf>
    <xf numFmtId="1" fontId="21" fillId="6" borderId="13" xfId="0" applyNumberFormat="1" applyFont="1" applyFill="1" applyBorder="1" applyAlignment="1">
      <alignment horizontal="center" vertical="center"/>
    </xf>
    <xf numFmtId="165" fontId="21" fillId="6" borderId="2" xfId="0" applyNumberFormat="1" applyFont="1" applyFill="1" applyBorder="1" applyAlignment="1">
      <alignment horizontal="center" vertical="center"/>
    </xf>
    <xf numFmtId="165" fontId="20" fillId="2" borderId="2" xfId="0" applyNumberFormat="1" applyFont="1" applyFill="1" applyBorder="1" applyAlignment="1">
      <alignment horizontal="center" vertical="center"/>
    </xf>
    <xf numFmtId="165" fontId="19" fillId="2" borderId="2" xfId="0" applyNumberFormat="1" applyFont="1" applyFill="1" applyBorder="1" applyAlignment="1">
      <alignment horizontal="center" vertical="center"/>
    </xf>
    <xf numFmtId="1" fontId="12" fillId="6" borderId="2" xfId="0" applyNumberFormat="1" applyFont="1" applyFill="1" applyBorder="1" applyAlignment="1">
      <alignment horizontal="center" vertical="center"/>
    </xf>
    <xf numFmtId="165" fontId="13" fillId="6" borderId="2" xfId="0" applyNumberFormat="1" applyFont="1" applyFill="1" applyBorder="1" applyAlignment="1">
      <alignment horizontal="center" vertical="center"/>
    </xf>
    <xf numFmtId="1" fontId="12" fillId="6" borderId="13" xfId="0" applyNumberFormat="1" applyFont="1" applyFill="1" applyBorder="1" applyAlignment="1">
      <alignment horizontal="center" vertical="center"/>
    </xf>
    <xf numFmtId="165" fontId="12" fillId="6" borderId="2" xfId="0" applyNumberFormat="1" applyFont="1" applyFill="1" applyBorder="1" applyAlignment="1">
      <alignment horizontal="center" vertical="center"/>
    </xf>
    <xf numFmtId="1" fontId="12" fillId="2" borderId="2" xfId="0" applyNumberFormat="1" applyFont="1" applyFill="1" applyBorder="1" applyAlignment="1">
      <alignment horizontal="center" vertical="center"/>
    </xf>
    <xf numFmtId="1" fontId="21" fillId="2" borderId="2" xfId="0" applyNumberFormat="1" applyFont="1" applyFill="1" applyBorder="1" applyAlignment="1">
      <alignment horizontal="center" vertical="center"/>
    </xf>
    <xf numFmtId="165" fontId="21" fillId="2" borderId="2" xfId="0" applyNumberFormat="1" applyFont="1" applyFill="1" applyBorder="1" applyAlignment="1">
      <alignment horizontal="center" vertical="center"/>
    </xf>
    <xf numFmtId="1" fontId="19" fillId="2" borderId="2" xfId="0" applyNumberFormat="1" applyFont="1" applyFill="1" applyBorder="1" applyAlignment="1">
      <alignment horizontal="center" vertical="center"/>
    </xf>
    <xf numFmtId="2" fontId="13" fillId="2" borderId="2" xfId="0" applyNumberFormat="1" applyFont="1" applyFill="1" applyBorder="1" applyAlignment="1">
      <alignment horizontal="center" vertical="center"/>
    </xf>
    <xf numFmtId="165" fontId="13" fillId="2" borderId="2" xfId="0" applyNumberFormat="1" applyFont="1" applyFill="1" applyBorder="1" applyAlignment="1">
      <alignment horizontal="center" vertical="center"/>
    </xf>
    <xf numFmtId="1" fontId="12" fillId="2" borderId="13" xfId="0" applyNumberFormat="1" applyFont="1" applyFill="1" applyBorder="1" applyAlignment="1">
      <alignment horizontal="center" vertical="center"/>
    </xf>
    <xf numFmtId="2" fontId="13" fillId="2" borderId="2" xfId="0" applyNumberFormat="1" applyFont="1" applyFill="1" applyBorder="1" applyAlignment="1">
      <alignment horizontal="center" vertical="center" wrapText="1"/>
    </xf>
    <xf numFmtId="165" fontId="13" fillId="2" borderId="2" xfId="0" applyNumberFormat="1" applyFont="1" applyFill="1" applyBorder="1" applyAlignment="1">
      <alignment horizontal="center" vertical="center" wrapText="1"/>
    </xf>
    <xf numFmtId="1" fontId="12" fillId="2" borderId="13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13" fillId="0" borderId="0" xfId="0" applyFont="1" applyBorder="1"/>
    <xf numFmtId="0" fontId="10" fillId="2" borderId="0" xfId="0" applyFont="1" applyFill="1" applyBorder="1"/>
    <xf numFmtId="0" fontId="13" fillId="0" borderId="0" xfId="0" applyFont="1" applyBorder="1" applyAlignment="1">
      <alignment horizontal="left"/>
    </xf>
    <xf numFmtId="0" fontId="12" fillId="0" borderId="0" xfId="0" applyFont="1" applyBorder="1"/>
    <xf numFmtId="0" fontId="13" fillId="0" borderId="0" xfId="0" applyFont="1" applyBorder="1" applyAlignment="1">
      <alignment horizontal="center" vertical="center" wrapText="1"/>
    </xf>
    <xf numFmtId="2" fontId="13" fillId="0" borderId="0" xfId="0" applyNumberFormat="1" applyFont="1" applyBorder="1" applyAlignment="1">
      <alignment horizontal="center"/>
    </xf>
    <xf numFmtId="2" fontId="13" fillId="2" borderId="0" xfId="0" applyNumberFormat="1" applyFont="1" applyFill="1" applyBorder="1"/>
    <xf numFmtId="1" fontId="13" fillId="0" borderId="0" xfId="0" applyNumberFormat="1" applyFont="1" applyBorder="1" applyAlignment="1">
      <alignment horizontal="center"/>
    </xf>
    <xf numFmtId="2" fontId="12" fillId="0" borderId="0" xfId="0" applyNumberFormat="1" applyFont="1" applyBorder="1" applyAlignment="1">
      <alignment horizontal="center"/>
    </xf>
    <xf numFmtId="2" fontId="12" fillId="2" borderId="0" xfId="0" applyNumberFormat="1" applyFont="1" applyFill="1" applyBorder="1"/>
    <xf numFmtId="2" fontId="13" fillId="0" borderId="0" xfId="0" applyNumberFormat="1" applyFont="1" applyBorder="1"/>
    <xf numFmtId="2" fontId="12" fillId="0" borderId="0" xfId="0" applyNumberFormat="1" applyFont="1" applyBorder="1"/>
    <xf numFmtId="0" fontId="10" fillId="0" borderId="0" xfId="0" applyFont="1" applyBorder="1"/>
    <xf numFmtId="0" fontId="12" fillId="2" borderId="2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/>
    </xf>
    <xf numFmtId="0" fontId="10" fillId="5" borderId="0" xfId="0" applyFont="1" applyFill="1"/>
    <xf numFmtId="0" fontId="26" fillId="0" borderId="0" xfId="0" applyFont="1"/>
    <xf numFmtId="0" fontId="10" fillId="0" borderId="2" xfId="0" applyNumberFormat="1" applyFont="1" applyFill="1" applyBorder="1" applyAlignment="1">
      <alignment horizontal="right"/>
    </xf>
    <xf numFmtId="2" fontId="10" fillId="0" borderId="2" xfId="0" applyNumberFormat="1" applyFont="1" applyFill="1" applyBorder="1" applyAlignment="1">
      <alignment horizontal="center"/>
    </xf>
    <xf numFmtId="0" fontId="24" fillId="8" borderId="2" xfId="0" applyFont="1" applyFill="1" applyBorder="1" applyAlignment="1">
      <alignment horizontal="left"/>
    </xf>
    <xf numFmtId="0" fontId="25" fillId="8" borderId="2" xfId="0" applyFont="1" applyFill="1" applyBorder="1" applyAlignment="1">
      <alignment horizontal="center"/>
    </xf>
    <xf numFmtId="0" fontId="24" fillId="8" borderId="2" xfId="0" applyFont="1" applyFill="1" applyBorder="1" applyAlignment="1">
      <alignment horizontal="center"/>
    </xf>
    <xf numFmtId="0" fontId="27" fillId="0" borderId="0" xfId="0" applyFont="1"/>
    <xf numFmtId="2" fontId="10" fillId="0" borderId="2" xfId="0" applyNumberFormat="1" applyFont="1" applyFill="1" applyBorder="1" applyAlignment="1">
      <alignment horizontal="center" vertical="center"/>
    </xf>
    <xf numFmtId="2" fontId="11" fillId="0" borderId="2" xfId="0" applyNumberFormat="1" applyFont="1" applyFill="1" applyBorder="1" applyAlignment="1">
      <alignment horizontal="center"/>
    </xf>
    <xf numFmtId="0" fontId="14" fillId="0" borderId="2" xfId="0" applyFont="1" applyFill="1" applyBorder="1"/>
    <xf numFmtId="2" fontId="14" fillId="0" borderId="2" xfId="0" applyNumberFormat="1" applyFont="1" applyFill="1" applyBorder="1" applyAlignment="1">
      <alignment horizontal="center"/>
    </xf>
    <xf numFmtId="0" fontId="0" fillId="0" borderId="0" xfId="0" applyFill="1"/>
    <xf numFmtId="2" fontId="9" fillId="0" borderId="2" xfId="0" applyNumberFormat="1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 vertical="center" wrapText="1"/>
    </xf>
    <xf numFmtId="1" fontId="12" fillId="0" borderId="2" xfId="0" applyNumberFormat="1" applyFont="1" applyFill="1" applyBorder="1" applyAlignment="1">
      <alignment horizontal="center" vertical="center"/>
    </xf>
    <xf numFmtId="1" fontId="20" fillId="0" borderId="2" xfId="0" applyNumberFormat="1" applyFont="1" applyFill="1" applyBorder="1" applyAlignment="1">
      <alignment horizontal="center" vertical="center"/>
    </xf>
    <xf numFmtId="165" fontId="20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/>
    <xf numFmtId="1" fontId="21" fillId="0" borderId="2" xfId="0" applyNumberFormat="1" applyFont="1" applyFill="1" applyBorder="1" applyAlignment="1">
      <alignment horizontal="center" vertical="center"/>
    </xf>
    <xf numFmtId="165" fontId="21" fillId="0" borderId="2" xfId="0" applyNumberFormat="1" applyFont="1" applyFill="1" applyBorder="1" applyAlignment="1">
      <alignment horizontal="center" vertical="center"/>
    </xf>
    <xf numFmtId="0" fontId="13" fillId="0" borderId="0" xfId="0" applyFont="1" applyFill="1" applyBorder="1"/>
    <xf numFmtId="0" fontId="10" fillId="0" borderId="0" xfId="0" applyFont="1" applyFill="1"/>
    <xf numFmtId="0" fontId="12" fillId="0" borderId="0" xfId="0" applyFont="1" applyFill="1"/>
    <xf numFmtId="0" fontId="13" fillId="0" borderId="0" xfId="0" applyFont="1" applyFill="1"/>
    <xf numFmtId="0" fontId="10" fillId="0" borderId="0" xfId="0" applyFont="1" applyFill="1" applyBorder="1"/>
    <xf numFmtId="0" fontId="13" fillId="0" borderId="0" xfId="0" applyFont="1" applyFill="1" applyBorder="1" applyAlignment="1">
      <alignment horizontal="center" vertical="center" wrapText="1"/>
    </xf>
    <xf numFmtId="2" fontId="13" fillId="0" borderId="0" xfId="0" applyNumberFormat="1" applyFont="1" applyFill="1" applyBorder="1"/>
    <xf numFmtId="2" fontId="12" fillId="0" borderId="0" xfId="0" applyNumberFormat="1" applyFont="1" applyFill="1" applyBorder="1"/>
    <xf numFmtId="2" fontId="21" fillId="6" borderId="2" xfId="0" applyNumberFormat="1" applyFont="1" applyFill="1" applyBorder="1" applyAlignment="1">
      <alignment horizontal="center" vertical="center"/>
    </xf>
    <xf numFmtId="165" fontId="20" fillId="5" borderId="2" xfId="0" applyNumberFormat="1" applyFont="1" applyFill="1" applyBorder="1" applyAlignment="1">
      <alignment horizontal="center" vertical="center"/>
    </xf>
    <xf numFmtId="165" fontId="19" fillId="5" borderId="2" xfId="0" applyNumberFormat="1" applyFont="1" applyFill="1" applyBorder="1" applyAlignment="1">
      <alignment horizontal="center" vertical="center"/>
    </xf>
    <xf numFmtId="1" fontId="21" fillId="5" borderId="2" xfId="0" applyNumberFormat="1" applyFont="1" applyFill="1" applyBorder="1" applyAlignment="1">
      <alignment horizontal="center" vertical="center"/>
    </xf>
    <xf numFmtId="2" fontId="20" fillId="5" borderId="2" xfId="0" applyNumberFormat="1" applyFont="1" applyFill="1" applyBorder="1" applyAlignment="1">
      <alignment horizontal="center" vertical="center"/>
    </xf>
    <xf numFmtId="1" fontId="21" fillId="5" borderId="13" xfId="0" applyNumberFormat="1" applyFont="1" applyFill="1" applyBorder="1" applyAlignment="1">
      <alignment horizontal="center" vertical="center"/>
    </xf>
    <xf numFmtId="0" fontId="18" fillId="5" borderId="12" xfId="0" applyFont="1" applyFill="1" applyBorder="1" applyAlignment="1">
      <alignment horizontal="center" vertical="center"/>
    </xf>
    <xf numFmtId="165" fontId="21" fillId="5" borderId="2" xfId="0" applyNumberFormat="1" applyFont="1" applyFill="1" applyBorder="1" applyAlignment="1">
      <alignment horizontal="center" vertical="center"/>
    </xf>
    <xf numFmtId="0" fontId="18" fillId="2" borderId="2" xfId="0" applyFont="1" applyFill="1" applyBorder="1"/>
    <xf numFmtId="2" fontId="20" fillId="2" borderId="2" xfId="0" applyNumberFormat="1" applyFont="1" applyFill="1" applyBorder="1" applyAlignment="1">
      <alignment horizontal="center" vertical="center"/>
    </xf>
    <xf numFmtId="1" fontId="21" fillId="2" borderId="13" xfId="0" applyNumberFormat="1" applyFont="1" applyFill="1" applyBorder="1" applyAlignment="1">
      <alignment horizontal="center" vertical="center"/>
    </xf>
    <xf numFmtId="1" fontId="21" fillId="7" borderId="2" xfId="0" applyNumberFormat="1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wrapText="1"/>
    </xf>
    <xf numFmtId="2" fontId="13" fillId="5" borderId="2" xfId="0" applyNumberFormat="1" applyFont="1" applyFill="1" applyBorder="1" applyAlignment="1">
      <alignment horizontal="center" vertical="center"/>
    </xf>
    <xf numFmtId="1" fontId="12" fillId="5" borderId="13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/>
    </xf>
    <xf numFmtId="0" fontId="0" fillId="0" borderId="0" xfId="0" applyFont="1"/>
    <xf numFmtId="2" fontId="4" fillId="0" borderId="2" xfId="0" applyNumberFormat="1" applyFont="1" applyFill="1" applyBorder="1" applyAlignment="1">
      <alignment horizontal="center" vertical="center" wrapText="1"/>
    </xf>
    <xf numFmtId="0" fontId="30" fillId="0" borderId="0" xfId="0" applyFont="1"/>
    <xf numFmtId="165" fontId="14" fillId="0" borderId="2" xfId="0" applyNumberFormat="1" applyFont="1" applyFill="1" applyBorder="1" applyAlignment="1">
      <alignment horizontal="left" vertical="center"/>
    </xf>
    <xf numFmtId="1" fontId="14" fillId="0" borderId="2" xfId="0" applyNumberFormat="1" applyFont="1" applyFill="1" applyBorder="1" applyAlignment="1">
      <alignment horizontal="center"/>
    </xf>
    <xf numFmtId="2" fontId="4" fillId="0" borderId="2" xfId="0" applyNumberFormat="1" applyFont="1" applyFill="1" applyBorder="1" applyAlignment="1">
      <alignment horizontal="left" vertical="center"/>
    </xf>
    <xf numFmtId="2" fontId="4" fillId="0" borderId="2" xfId="0" applyNumberFormat="1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/>
    </xf>
    <xf numFmtId="2" fontId="1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2" fontId="4" fillId="0" borderId="2" xfId="1" applyNumberFormat="1" applyFont="1" applyFill="1" applyBorder="1" applyAlignment="1">
      <alignment horizontal="left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center"/>
    </xf>
    <xf numFmtId="2" fontId="4" fillId="0" borderId="2" xfId="1" applyNumberFormat="1" applyFont="1" applyFill="1" applyBorder="1" applyAlignment="1">
      <alignment horizontal="center" vertical="center"/>
    </xf>
    <xf numFmtId="1" fontId="14" fillId="0" borderId="2" xfId="1" applyNumberFormat="1" applyFont="1" applyFill="1" applyBorder="1" applyAlignment="1">
      <alignment horizontal="center" vertical="center"/>
    </xf>
    <xf numFmtId="2" fontId="10" fillId="2" borderId="2" xfId="0" applyNumberFormat="1" applyFont="1" applyFill="1" applyBorder="1" applyAlignment="1">
      <alignment horizontal="center" vertical="center"/>
    </xf>
    <xf numFmtId="2" fontId="4" fillId="2" borderId="5" xfId="1" applyNumberFormat="1" applyFont="1" applyFill="1" applyBorder="1" applyAlignment="1">
      <alignment horizontal="left" vertical="center" wrapText="1"/>
    </xf>
    <xf numFmtId="2" fontId="4" fillId="2" borderId="6" xfId="1" applyNumberFormat="1" applyFont="1" applyFill="1" applyBorder="1" applyAlignment="1">
      <alignment horizontal="left" vertical="center" wrapText="1"/>
    </xf>
    <xf numFmtId="2" fontId="4" fillId="2" borderId="7" xfId="1" applyNumberFormat="1" applyFont="1" applyFill="1" applyBorder="1" applyAlignment="1">
      <alignment horizontal="left" vertical="center" wrapText="1"/>
    </xf>
    <xf numFmtId="2" fontId="9" fillId="0" borderId="4" xfId="0" applyNumberFormat="1" applyFont="1" applyFill="1" applyBorder="1" applyAlignment="1">
      <alignment horizontal="center" vertical="center"/>
    </xf>
    <xf numFmtId="0" fontId="31" fillId="0" borderId="0" xfId="0" applyFont="1"/>
    <xf numFmtId="0" fontId="14" fillId="2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vertical="center"/>
    </xf>
    <xf numFmtId="1" fontId="14" fillId="0" borderId="2" xfId="0" applyNumberFormat="1" applyFont="1" applyFill="1" applyBorder="1" applyAlignment="1">
      <alignment horizontal="center" vertical="center"/>
    </xf>
    <xf numFmtId="165" fontId="14" fillId="0" borderId="2" xfId="0" applyNumberFormat="1" applyFont="1" applyFill="1" applyBorder="1" applyAlignment="1">
      <alignment horizontal="left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 wrapText="1"/>
    </xf>
    <xf numFmtId="2" fontId="9" fillId="0" borderId="2" xfId="0" applyNumberFormat="1" applyFont="1" applyFill="1" applyBorder="1" applyAlignment="1">
      <alignment horizontal="center" vertical="center"/>
    </xf>
    <xf numFmtId="2" fontId="5" fillId="0" borderId="2" xfId="1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/>
    </xf>
    <xf numFmtId="2" fontId="5" fillId="2" borderId="2" xfId="1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left" vertical="center"/>
    </xf>
    <xf numFmtId="0" fontId="9" fillId="0" borderId="4" xfId="0" applyNumberFormat="1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left" vertical="center"/>
    </xf>
    <xf numFmtId="2" fontId="4" fillId="0" borderId="6" xfId="0" applyNumberFormat="1" applyFont="1" applyFill="1" applyBorder="1" applyAlignment="1">
      <alignment horizontal="left" vertical="center"/>
    </xf>
    <xf numFmtId="2" fontId="4" fillId="0" borderId="7" xfId="0" applyNumberFormat="1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center"/>
    </xf>
    <xf numFmtId="165" fontId="14" fillId="2" borderId="5" xfId="0" applyNumberFormat="1" applyFont="1" applyFill="1" applyBorder="1" applyAlignment="1">
      <alignment horizontal="left" vertical="center"/>
    </xf>
    <xf numFmtId="165" fontId="14" fillId="2" borderId="6" xfId="0" applyNumberFormat="1" applyFont="1" applyFill="1" applyBorder="1" applyAlignment="1">
      <alignment horizontal="left" vertical="center"/>
    </xf>
    <xf numFmtId="165" fontId="14" fillId="2" borderId="7" xfId="0" applyNumberFormat="1" applyFont="1" applyFill="1" applyBorder="1" applyAlignment="1">
      <alignment horizontal="left" vertical="center"/>
    </xf>
    <xf numFmtId="1" fontId="14" fillId="2" borderId="2" xfId="0" applyNumberFormat="1" applyFont="1" applyFill="1" applyBorder="1" applyAlignment="1">
      <alignment horizontal="center"/>
    </xf>
    <xf numFmtId="2" fontId="14" fillId="2" borderId="2" xfId="0" applyNumberFormat="1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2" fontId="14" fillId="2" borderId="2" xfId="0" applyNumberFormat="1" applyFont="1" applyFill="1" applyBorder="1" applyAlignment="1">
      <alignment horizontal="left" vertical="center"/>
    </xf>
    <xf numFmtId="1" fontId="14" fillId="2" borderId="2" xfId="0" applyNumberFormat="1" applyFont="1" applyFill="1" applyBorder="1" applyAlignment="1">
      <alignment horizontal="center" vertical="center"/>
    </xf>
    <xf numFmtId="2" fontId="14" fillId="0" borderId="2" xfId="0" applyNumberFormat="1" applyFont="1" applyFill="1" applyBorder="1" applyAlignment="1">
      <alignment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4" fillId="2" borderId="2" xfId="0" applyFont="1" applyFill="1" applyBorder="1"/>
    <xf numFmtId="0" fontId="9" fillId="2" borderId="2" xfId="0" applyFont="1" applyFill="1" applyBorder="1"/>
    <xf numFmtId="0" fontId="14" fillId="2" borderId="2" xfId="0" applyFont="1" applyFill="1" applyBorder="1" applyAlignment="1">
      <alignment horizontal="center"/>
    </xf>
    <xf numFmtId="49" fontId="14" fillId="2" borderId="2" xfId="0" applyNumberFormat="1" applyFont="1" applyFill="1" applyBorder="1" applyAlignment="1">
      <alignment horizontal="center" vertical="center"/>
    </xf>
    <xf numFmtId="2" fontId="4" fillId="0" borderId="5" xfId="1" applyNumberFormat="1" applyFont="1" applyFill="1" applyBorder="1" applyAlignment="1">
      <alignment horizontal="left" vertical="center"/>
    </xf>
    <xf numFmtId="2" fontId="4" fillId="0" borderId="6" xfId="1" applyNumberFormat="1" applyFont="1" applyFill="1" applyBorder="1" applyAlignment="1">
      <alignment horizontal="left" vertical="center"/>
    </xf>
    <xf numFmtId="2" fontId="4" fillId="0" borderId="7" xfId="1" applyNumberFormat="1" applyFont="1" applyFill="1" applyBorder="1" applyAlignment="1">
      <alignment horizontal="left" vertical="center"/>
    </xf>
    <xf numFmtId="49" fontId="14" fillId="2" borderId="2" xfId="1" applyNumberFormat="1" applyFont="1" applyFill="1" applyBorder="1" applyAlignment="1">
      <alignment horizontal="center" vertical="center"/>
    </xf>
    <xf numFmtId="0" fontId="26" fillId="0" borderId="0" xfId="0" applyFont="1" applyFill="1"/>
    <xf numFmtId="165" fontId="14" fillId="6" borderId="5" xfId="0" applyNumberFormat="1" applyFont="1" applyFill="1" applyBorder="1" applyAlignment="1">
      <alignment horizontal="left" vertical="center"/>
    </xf>
    <xf numFmtId="2" fontId="5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165" fontId="14" fillId="0" borderId="2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32" fillId="0" borderId="0" xfId="0" applyFont="1"/>
    <xf numFmtId="2" fontId="14" fillId="2" borderId="5" xfId="0" applyNumberFormat="1" applyFont="1" applyFill="1" applyBorder="1" applyAlignment="1">
      <alignment horizontal="left" vertical="center" wrapText="1"/>
    </xf>
    <xf numFmtId="2" fontId="14" fillId="2" borderId="6" xfId="0" applyNumberFormat="1" applyFont="1" applyFill="1" applyBorder="1" applyAlignment="1">
      <alignment horizontal="left" vertical="center" wrapText="1"/>
    </xf>
    <xf numFmtId="2" fontId="14" fillId="2" borderId="7" xfId="0" applyNumberFormat="1" applyFont="1" applyFill="1" applyBorder="1" applyAlignment="1">
      <alignment horizontal="left" vertical="center" wrapText="1"/>
    </xf>
    <xf numFmtId="0" fontId="33" fillId="0" borderId="0" xfId="0" applyFont="1"/>
    <xf numFmtId="0" fontId="0" fillId="0" borderId="0" xfId="0" applyFont="1" applyFill="1"/>
    <xf numFmtId="0" fontId="29" fillId="0" borderId="0" xfId="0" applyFont="1" applyFill="1"/>
    <xf numFmtId="0" fontId="30" fillId="0" borderId="0" xfId="0" applyFont="1" applyFill="1"/>
    <xf numFmtId="0" fontId="33" fillId="0" borderId="0" xfId="0" applyFont="1" applyFill="1"/>
    <xf numFmtId="2" fontId="4" fillId="6" borderId="5" xfId="0" applyNumberFormat="1" applyFont="1" applyFill="1" applyBorder="1" applyAlignment="1">
      <alignment vertical="center"/>
    </xf>
    <xf numFmtId="2" fontId="4" fillId="6" borderId="6" xfId="0" applyNumberFormat="1" applyFont="1" applyFill="1" applyBorder="1" applyAlignment="1">
      <alignment vertical="center"/>
    </xf>
    <xf numFmtId="2" fontId="4" fillId="6" borderId="7" xfId="0" applyNumberFormat="1" applyFont="1" applyFill="1" applyBorder="1" applyAlignment="1">
      <alignment vertical="center"/>
    </xf>
    <xf numFmtId="49" fontId="14" fillId="6" borderId="2" xfId="0" applyNumberFormat="1" applyFont="1" applyFill="1" applyBorder="1" applyAlignment="1">
      <alignment horizontal="center" vertical="center"/>
    </xf>
    <xf numFmtId="2" fontId="9" fillId="0" borderId="2" xfId="0" applyNumberFormat="1" applyFont="1" applyBorder="1" applyAlignment="1">
      <alignment horizontal="right"/>
    </xf>
    <xf numFmtId="2" fontId="9" fillId="0" borderId="2" xfId="0" applyNumberFormat="1" applyFont="1" applyFill="1" applyBorder="1" applyAlignment="1">
      <alignment horizontal="right" vertical="center"/>
    </xf>
    <xf numFmtId="2" fontId="9" fillId="0" borderId="2" xfId="0" applyNumberFormat="1" applyFont="1" applyFill="1" applyBorder="1" applyAlignment="1">
      <alignment horizontal="center" vertical="center" wrapText="1"/>
    </xf>
    <xf numFmtId="2" fontId="14" fillId="0" borderId="5" xfId="0" applyNumberFormat="1" applyFont="1" applyFill="1" applyBorder="1" applyAlignment="1">
      <alignment horizontal="left" vertical="center"/>
    </xf>
    <xf numFmtId="2" fontId="9" fillId="0" borderId="6" xfId="0" applyNumberFormat="1" applyFont="1" applyFill="1" applyBorder="1" applyAlignment="1">
      <alignment horizontal="center" vertical="center" wrapText="1"/>
    </xf>
    <xf numFmtId="2" fontId="9" fillId="0" borderId="7" xfId="0" applyNumberFormat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/>
    </xf>
    <xf numFmtId="165" fontId="9" fillId="2" borderId="2" xfId="0" applyNumberFormat="1" applyFont="1" applyFill="1" applyBorder="1" applyAlignment="1">
      <alignment horizontal="right"/>
    </xf>
    <xf numFmtId="2" fontId="9" fillId="2" borderId="2" xfId="0" applyNumberFormat="1" applyFont="1" applyFill="1" applyBorder="1" applyAlignment="1">
      <alignment horizontal="center"/>
    </xf>
    <xf numFmtId="165" fontId="14" fillId="2" borderId="2" xfId="0" applyNumberFormat="1" applyFont="1" applyFill="1" applyBorder="1" applyAlignment="1">
      <alignment horizontal="center"/>
    </xf>
    <xf numFmtId="2" fontId="5" fillId="2" borderId="2" xfId="0" applyNumberFormat="1" applyFont="1" applyFill="1" applyBorder="1" applyAlignment="1">
      <alignment horizontal="right" vertical="center"/>
    </xf>
    <xf numFmtId="2" fontId="9" fillId="2" borderId="2" xfId="0" applyNumberFormat="1" applyFont="1" applyFill="1" applyBorder="1" applyAlignment="1">
      <alignment horizontal="right"/>
    </xf>
    <xf numFmtId="165" fontId="9" fillId="2" borderId="5" xfId="0" applyNumberFormat="1" applyFont="1" applyFill="1" applyBorder="1" applyAlignment="1">
      <alignment horizontal="right" vertical="center"/>
    </xf>
    <xf numFmtId="2" fontId="14" fillId="2" borderId="2" xfId="0" applyNumberFormat="1" applyFont="1" applyFill="1" applyBorder="1" applyAlignment="1">
      <alignment horizontal="center"/>
    </xf>
    <xf numFmtId="49" fontId="14" fillId="0" borderId="2" xfId="1" applyNumberFormat="1" applyFont="1" applyFill="1" applyBorder="1" applyAlignment="1">
      <alignment horizontal="center" vertical="center"/>
    </xf>
    <xf numFmtId="2" fontId="5" fillId="0" borderId="2" xfId="1" applyNumberFormat="1" applyFont="1" applyFill="1" applyBorder="1" applyAlignment="1">
      <alignment horizontal="right" vertical="center"/>
    </xf>
    <xf numFmtId="2" fontId="5" fillId="0" borderId="2" xfId="1" applyNumberFormat="1" applyFont="1" applyFill="1" applyBorder="1" applyAlignment="1">
      <alignment horizontal="center"/>
    </xf>
    <xf numFmtId="2" fontId="5" fillId="0" borderId="2" xfId="0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horizontal="right" vertical="center"/>
    </xf>
    <xf numFmtId="2" fontId="5" fillId="0" borderId="2" xfId="0" applyNumberFormat="1" applyFont="1" applyFill="1" applyBorder="1" applyAlignment="1">
      <alignment horizontal="center" wrapText="1"/>
    </xf>
    <xf numFmtId="0" fontId="14" fillId="0" borderId="2" xfId="0" applyFont="1" applyBorder="1" applyAlignment="1">
      <alignment horizontal="left" vertical="top"/>
    </xf>
    <xf numFmtId="49" fontId="14" fillId="0" borderId="2" xfId="0" applyNumberFormat="1" applyFont="1" applyBorder="1" applyAlignment="1">
      <alignment horizontal="center" vertical="center"/>
    </xf>
    <xf numFmtId="10" fontId="14" fillId="0" borderId="5" xfId="1" applyNumberFormat="1" applyFont="1" applyFill="1" applyBorder="1" applyAlignment="1">
      <alignment vertical="center" wrapText="1"/>
    </xf>
    <xf numFmtId="10" fontId="14" fillId="0" borderId="2" xfId="1" applyNumberFormat="1" applyFont="1" applyFill="1" applyBorder="1" applyAlignment="1">
      <alignment vertical="center" wrapText="1"/>
    </xf>
    <xf numFmtId="0" fontId="14" fillId="0" borderId="2" xfId="1" applyFont="1" applyFill="1" applyBorder="1" applyAlignment="1">
      <alignment horizontal="center" vertical="center" wrapText="1"/>
    </xf>
    <xf numFmtId="165" fontId="9" fillId="0" borderId="5" xfId="0" applyNumberFormat="1" applyFont="1" applyFill="1" applyBorder="1" applyAlignment="1">
      <alignment horizontal="right" vertical="center"/>
    </xf>
    <xf numFmtId="2" fontId="5" fillId="0" borderId="4" xfId="0" applyNumberFormat="1" applyFont="1" applyFill="1" applyBorder="1" applyAlignment="1">
      <alignment horizontal="center" vertical="center"/>
    </xf>
    <xf numFmtId="2" fontId="14" fillId="0" borderId="4" xfId="1" applyNumberFormat="1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right" vertical="center"/>
    </xf>
    <xf numFmtId="2" fontId="9" fillId="0" borderId="4" xfId="1" applyNumberFormat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right" vertical="center"/>
    </xf>
    <xf numFmtId="0" fontId="9" fillId="2" borderId="2" xfId="0" applyFont="1" applyFill="1" applyBorder="1" applyAlignment="1">
      <alignment horizontal="right" vertical="center"/>
    </xf>
    <xf numFmtId="2" fontId="9" fillId="2" borderId="2" xfId="0" applyNumberFormat="1" applyFont="1" applyFill="1" applyBorder="1" applyAlignment="1">
      <alignment horizontal="center" vertical="center"/>
    </xf>
    <xf numFmtId="165" fontId="14" fillId="2" borderId="2" xfId="0" applyNumberFormat="1" applyFont="1" applyFill="1" applyBorder="1" applyAlignment="1">
      <alignment horizontal="center" vertical="center"/>
    </xf>
    <xf numFmtId="0" fontId="35" fillId="2" borderId="2" xfId="0" applyFont="1" applyFill="1" applyBorder="1" applyAlignment="1">
      <alignment horizontal="right"/>
    </xf>
    <xf numFmtId="0" fontId="14" fillId="2" borderId="2" xfId="0" applyFont="1" applyFill="1" applyBorder="1" applyAlignment="1">
      <alignment horizontal="center" vertical="center"/>
    </xf>
    <xf numFmtId="0" fontId="35" fillId="2" borderId="2" xfId="0" applyFont="1" applyFill="1" applyBorder="1" applyAlignment="1">
      <alignment horizontal="center" vertical="center"/>
    </xf>
    <xf numFmtId="0" fontId="9" fillId="2" borderId="2" xfId="0" applyNumberFormat="1" applyFont="1" applyFill="1" applyBorder="1" applyAlignment="1">
      <alignment horizontal="right"/>
    </xf>
    <xf numFmtId="2" fontId="5" fillId="2" borderId="2" xfId="0" applyNumberFormat="1" applyFont="1" applyFill="1" applyBorder="1" applyAlignment="1">
      <alignment horizontal="center" vertical="center"/>
    </xf>
    <xf numFmtId="0" fontId="9" fillId="2" borderId="2" xfId="0" applyNumberFormat="1" applyFont="1" applyFill="1" applyBorder="1" applyAlignment="1">
      <alignment horizontal="right" vertical="center"/>
    </xf>
    <xf numFmtId="0" fontId="5" fillId="2" borderId="2" xfId="0" applyNumberFormat="1" applyFont="1" applyFill="1" applyBorder="1" applyAlignment="1">
      <alignment horizontal="right" vertical="center"/>
    </xf>
    <xf numFmtId="0" fontId="9" fillId="0" borderId="2" xfId="0" applyNumberFormat="1" applyFont="1" applyFill="1" applyBorder="1" applyAlignment="1">
      <alignment horizontal="right"/>
    </xf>
    <xf numFmtId="2" fontId="5" fillId="0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14" fillId="0" borderId="4" xfId="1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right" vertical="center"/>
    </xf>
    <xf numFmtId="2" fontId="9" fillId="0" borderId="2" xfId="0" applyNumberFormat="1" applyFont="1" applyFill="1" applyBorder="1" applyAlignment="1" applyProtection="1">
      <alignment horizontal="center" vertical="center"/>
    </xf>
    <xf numFmtId="1" fontId="9" fillId="0" borderId="2" xfId="0" applyNumberFormat="1" applyFont="1" applyFill="1" applyBorder="1" applyAlignment="1" applyProtection="1">
      <alignment horizontal="center" vertical="center"/>
    </xf>
    <xf numFmtId="2" fontId="5" fillId="0" borderId="2" xfId="1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right" vertical="center" wrapText="1"/>
    </xf>
    <xf numFmtId="1" fontId="14" fillId="2" borderId="2" xfId="1" applyNumberFormat="1" applyFont="1" applyFill="1" applyBorder="1" applyAlignment="1">
      <alignment horizontal="center" vertical="center"/>
    </xf>
    <xf numFmtId="2" fontId="14" fillId="0" borderId="2" xfId="1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left" vertical="center"/>
    </xf>
    <xf numFmtId="2" fontId="4" fillId="2" borderId="5" xfId="1" applyNumberFormat="1" applyFont="1" applyFill="1" applyBorder="1" applyAlignment="1">
      <alignment horizontal="left" vertical="center"/>
    </xf>
    <xf numFmtId="2" fontId="4" fillId="2" borderId="6" xfId="1" applyNumberFormat="1" applyFont="1" applyFill="1" applyBorder="1" applyAlignment="1">
      <alignment horizontal="left" vertical="center"/>
    </xf>
    <xf numFmtId="2" fontId="4" fillId="2" borderId="7" xfId="1" applyNumberFormat="1" applyFont="1" applyFill="1" applyBorder="1" applyAlignment="1">
      <alignment horizontal="left" vertical="center"/>
    </xf>
    <xf numFmtId="2" fontId="5" fillId="2" borderId="2" xfId="1" applyNumberFormat="1" applyFont="1" applyFill="1" applyBorder="1" applyAlignment="1">
      <alignment horizontal="right" vertical="center" wrapText="1"/>
    </xf>
    <xf numFmtId="2" fontId="9" fillId="2" borderId="2" xfId="1" applyNumberFormat="1" applyFont="1" applyFill="1" applyBorder="1" applyAlignment="1">
      <alignment horizontal="center" vertical="center"/>
    </xf>
    <xf numFmtId="0" fontId="14" fillId="0" borderId="2" xfId="0" applyFont="1" applyBorder="1"/>
    <xf numFmtId="165" fontId="14" fillId="0" borderId="2" xfId="0" applyNumberFormat="1" applyFont="1" applyFill="1" applyBorder="1" applyAlignment="1">
      <alignment horizontal="center" vertical="center"/>
    </xf>
    <xf numFmtId="2" fontId="9" fillId="2" borderId="2" xfId="0" applyNumberFormat="1" applyFont="1" applyFill="1" applyBorder="1" applyAlignment="1">
      <alignment horizontal="right" vertical="center" wrapText="1"/>
    </xf>
    <xf numFmtId="2" fontId="5" fillId="2" borderId="2" xfId="0" applyNumberFormat="1" applyFont="1" applyFill="1" applyBorder="1" applyAlignment="1">
      <alignment horizontal="center" vertical="center" wrapText="1"/>
    </xf>
    <xf numFmtId="2" fontId="35" fillId="2" borderId="2" xfId="0" applyNumberFormat="1" applyFont="1" applyFill="1" applyBorder="1" applyAlignment="1">
      <alignment horizontal="right" vertical="center"/>
    </xf>
    <xf numFmtId="2" fontId="15" fillId="2" borderId="2" xfId="0" applyNumberFormat="1" applyFont="1" applyFill="1" applyBorder="1" applyAlignment="1">
      <alignment horizontal="center" vertical="center"/>
    </xf>
    <xf numFmtId="165" fontId="15" fillId="2" borderId="2" xfId="0" applyNumberFormat="1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right" vertical="center"/>
    </xf>
    <xf numFmtId="2" fontId="5" fillId="2" borderId="1" xfId="0" applyNumberFormat="1" applyFont="1" applyFill="1" applyBorder="1" applyAlignment="1">
      <alignment horizontal="center" vertical="center"/>
    </xf>
    <xf numFmtId="2" fontId="5" fillId="0" borderId="2" xfId="1" applyNumberFormat="1" applyFont="1" applyFill="1" applyBorder="1" applyAlignment="1" applyProtection="1">
      <alignment horizontal="right" vertical="center"/>
    </xf>
    <xf numFmtId="2" fontId="5" fillId="0" borderId="2" xfId="1" applyNumberFormat="1" applyFont="1" applyFill="1" applyBorder="1" applyAlignment="1" applyProtection="1">
      <alignment horizontal="center" vertical="center"/>
    </xf>
    <xf numFmtId="0" fontId="31" fillId="0" borderId="0" xfId="0" applyFont="1" applyFill="1"/>
    <xf numFmtId="0" fontId="0" fillId="0" borderId="0" xfId="0" applyFont="1" applyFill="1" applyAlignment="1">
      <alignment vertical="top"/>
    </xf>
    <xf numFmtId="0" fontId="28" fillId="0" borderId="0" xfId="0" applyFont="1" applyFill="1"/>
    <xf numFmtId="0" fontId="4" fillId="0" borderId="2" xfId="0" applyFont="1" applyFill="1" applyBorder="1" applyAlignment="1">
      <alignment vertical="center" wrapText="1"/>
    </xf>
    <xf numFmtId="0" fontId="9" fillId="0" borderId="2" xfId="0" applyFont="1" applyFill="1" applyBorder="1"/>
    <xf numFmtId="1" fontId="14" fillId="0" borderId="2" xfId="1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2" fontId="5" fillId="6" borderId="2" xfId="0" applyNumberFormat="1" applyFont="1" applyFill="1" applyBorder="1" applyAlignment="1">
      <alignment horizontal="center" vertical="center"/>
    </xf>
    <xf numFmtId="2" fontId="14" fillId="6" borderId="2" xfId="0" applyNumberFormat="1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right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2" fontId="4" fillId="0" borderId="2" xfId="1" applyNumberFormat="1" applyFont="1" applyFill="1" applyBorder="1" applyAlignment="1">
      <alignment horizontal="left" vertical="center"/>
    </xf>
    <xf numFmtId="2" fontId="6" fillId="0" borderId="2" xfId="1" applyNumberFormat="1" applyFont="1" applyFill="1" applyBorder="1" applyAlignment="1">
      <alignment horizontal="center" vertical="center"/>
    </xf>
    <xf numFmtId="2" fontId="36" fillId="0" borderId="2" xfId="1" applyNumberFormat="1" applyFont="1" applyFill="1" applyBorder="1" applyAlignment="1">
      <alignment horizontal="right" vertical="center"/>
    </xf>
    <xf numFmtId="1" fontId="14" fillId="0" borderId="4" xfId="1" applyNumberFormat="1" applyFont="1" applyFill="1" applyBorder="1" applyAlignment="1">
      <alignment horizontal="center" vertical="center" wrapText="1"/>
    </xf>
    <xf numFmtId="165" fontId="14" fillId="6" borderId="2" xfId="1" applyNumberFormat="1" applyFont="1" applyFill="1" applyBorder="1" applyAlignment="1">
      <alignment horizontal="center" vertical="center"/>
    </xf>
    <xf numFmtId="165" fontId="9" fillId="6" borderId="2" xfId="1" applyNumberFormat="1" applyFont="1" applyFill="1" applyBorder="1" applyAlignment="1">
      <alignment horizontal="right" vertical="center"/>
    </xf>
    <xf numFmtId="2" fontId="9" fillId="6" borderId="2" xfId="1" applyNumberFormat="1" applyFont="1" applyFill="1" applyBorder="1" applyAlignment="1">
      <alignment horizontal="center" vertical="center"/>
    </xf>
    <xf numFmtId="165" fontId="14" fillId="0" borderId="2" xfId="1" applyNumberFormat="1" applyFont="1" applyFill="1" applyBorder="1" applyAlignment="1">
      <alignment horizontal="center" vertical="center"/>
    </xf>
    <xf numFmtId="165" fontId="9" fillId="6" borderId="2" xfId="1" applyNumberFormat="1" applyFont="1" applyFill="1" applyBorder="1" applyAlignment="1">
      <alignment horizontal="right" vertical="center" wrapText="1"/>
    </xf>
    <xf numFmtId="2" fontId="9" fillId="0" borderId="2" xfId="1" applyNumberFormat="1" applyFont="1" applyFill="1" applyBorder="1" applyAlignment="1">
      <alignment horizontal="center" vertical="center"/>
    </xf>
    <xf numFmtId="2" fontId="5" fillId="0" borderId="14" xfId="1" applyNumberFormat="1" applyFont="1" applyFill="1" applyBorder="1" applyAlignment="1">
      <alignment horizontal="right" vertical="center"/>
    </xf>
    <xf numFmtId="1" fontId="14" fillId="2" borderId="2" xfId="0" applyNumberFormat="1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right" vertical="center" wrapText="1"/>
    </xf>
    <xf numFmtId="2" fontId="5" fillId="0" borderId="2" xfId="0" applyNumberFormat="1" applyFont="1" applyFill="1" applyBorder="1" applyAlignment="1" applyProtection="1">
      <alignment horizontal="center" vertical="center"/>
    </xf>
    <xf numFmtId="2" fontId="5" fillId="0" borderId="2" xfId="0" applyNumberFormat="1" applyFont="1" applyFill="1" applyBorder="1" applyAlignment="1" applyProtection="1">
      <alignment horizontal="right" vertical="center"/>
    </xf>
    <xf numFmtId="1" fontId="14" fillId="6" borderId="2" xfId="1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165" fontId="14" fillId="0" borderId="5" xfId="1" applyNumberFormat="1" applyFont="1" applyFill="1" applyBorder="1" applyAlignment="1">
      <alignment horizontal="left" vertical="center" wrapText="1"/>
    </xf>
    <xf numFmtId="165" fontId="14" fillId="0" borderId="6" xfId="1" applyNumberFormat="1" applyFont="1" applyFill="1" applyBorder="1" applyAlignment="1">
      <alignment horizontal="left" vertical="center" wrapText="1"/>
    </xf>
    <xf numFmtId="165" fontId="14" fillId="0" borderId="7" xfId="1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right" vertical="center"/>
    </xf>
    <xf numFmtId="2" fontId="9" fillId="6" borderId="2" xfId="1" applyNumberFormat="1" applyFont="1" applyFill="1" applyBorder="1" applyAlignment="1">
      <alignment horizontal="right" vertical="center"/>
    </xf>
    <xf numFmtId="2" fontId="14" fillId="0" borderId="2" xfId="0" applyNumberFormat="1" applyFont="1" applyBorder="1"/>
    <xf numFmtId="0" fontId="5" fillId="0" borderId="2" xfId="0" applyFont="1" applyBorder="1" applyAlignment="1">
      <alignment horizontal="right" vertical="center"/>
    </xf>
    <xf numFmtId="165" fontId="9" fillId="0" borderId="2" xfId="1" applyNumberFormat="1" applyFont="1" applyFill="1" applyBorder="1" applyAlignment="1">
      <alignment horizontal="right" vertical="center" wrapText="1"/>
    </xf>
    <xf numFmtId="2" fontId="4" fillId="0" borderId="2" xfId="1" applyNumberFormat="1" applyFont="1" applyFill="1" applyBorder="1" applyAlignment="1">
      <alignment horizontal="left" vertical="center"/>
    </xf>
    <xf numFmtId="1" fontId="4" fillId="0" borderId="2" xfId="0" applyNumberFormat="1" applyFont="1" applyFill="1" applyBorder="1" applyAlignment="1">
      <alignment horizontal="center" vertical="center"/>
    </xf>
    <xf numFmtId="165" fontId="14" fillId="0" borderId="2" xfId="1" applyNumberFormat="1" applyFont="1" applyFill="1" applyBorder="1" applyAlignment="1">
      <alignment horizontal="left" vertical="center"/>
    </xf>
    <xf numFmtId="165" fontId="9" fillId="0" borderId="2" xfId="0" applyNumberFormat="1" applyFont="1" applyBorder="1" applyAlignment="1">
      <alignment horizontal="right" vertical="center" wrapText="1"/>
    </xf>
    <xf numFmtId="165" fontId="14" fillId="0" borderId="2" xfId="0" applyNumberFormat="1" applyFont="1" applyBorder="1"/>
    <xf numFmtId="165" fontId="9" fillId="6" borderId="5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right" vertical="center" wrapText="1"/>
    </xf>
    <xf numFmtId="0" fontId="14" fillId="0" borderId="5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14" fillId="0" borderId="4" xfId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right" vertical="center"/>
    </xf>
    <xf numFmtId="0" fontId="15" fillId="2" borderId="2" xfId="0" applyFont="1" applyFill="1" applyBorder="1" applyAlignment="1">
      <alignment horizontal="right" vertical="center"/>
    </xf>
    <xf numFmtId="2" fontId="5" fillId="0" borderId="2" xfId="2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right" vertical="center"/>
    </xf>
    <xf numFmtId="165" fontId="9" fillId="2" borderId="2" xfId="0" applyNumberFormat="1" applyFont="1" applyFill="1" applyBorder="1" applyAlignment="1">
      <alignment horizontal="right" vertical="center"/>
    </xf>
    <xf numFmtId="0" fontId="5" fillId="6" borderId="5" xfId="1" applyFont="1" applyFill="1" applyBorder="1" applyAlignment="1">
      <alignment horizontal="right" vertical="center"/>
    </xf>
    <xf numFmtId="2" fontId="4" fillId="2" borderId="2" xfId="1" applyNumberFormat="1" applyFont="1" applyFill="1" applyBorder="1" applyAlignment="1">
      <alignment horizontal="left" vertical="center" wrapText="1"/>
    </xf>
    <xf numFmtId="2" fontId="6" fillId="2" borderId="2" xfId="1" applyNumberFormat="1" applyFont="1" applyFill="1" applyBorder="1" applyAlignment="1">
      <alignment horizontal="center" vertical="center"/>
    </xf>
    <xf numFmtId="1" fontId="14" fillId="2" borderId="4" xfId="1" applyNumberFormat="1" applyFont="1" applyFill="1" applyBorder="1" applyAlignment="1">
      <alignment horizontal="center" vertical="center" wrapText="1"/>
    </xf>
    <xf numFmtId="2" fontId="5" fillId="2" borderId="2" xfId="1" applyNumberFormat="1" applyFont="1" applyFill="1" applyBorder="1" applyAlignment="1">
      <alignment horizontal="right" vertical="center"/>
    </xf>
    <xf numFmtId="2" fontId="36" fillId="2" borderId="2" xfId="1" applyNumberFormat="1" applyFont="1" applyFill="1" applyBorder="1" applyAlignment="1">
      <alignment horizontal="right" vertical="center"/>
    </xf>
    <xf numFmtId="2" fontId="4" fillId="2" borderId="2" xfId="1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2" fontId="5" fillId="2" borderId="2" xfId="2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right"/>
    </xf>
    <xf numFmtId="2" fontId="14" fillId="0" borderId="5" xfId="0" applyNumberFormat="1" applyFont="1" applyFill="1" applyBorder="1" applyAlignment="1">
      <alignment vertical="center" wrapText="1"/>
    </xf>
    <xf numFmtId="2" fontId="14" fillId="0" borderId="6" xfId="0" applyNumberFormat="1" applyFont="1" applyFill="1" applyBorder="1" applyAlignment="1">
      <alignment horizontal="center" vertical="center" wrapText="1"/>
    </xf>
    <xf numFmtId="2" fontId="14" fillId="0" borderId="7" xfId="0" applyNumberFormat="1" applyFont="1" applyFill="1" applyBorder="1" applyAlignment="1">
      <alignment vertical="center" wrapText="1"/>
    </xf>
    <xf numFmtId="2" fontId="9" fillId="2" borderId="2" xfId="0" applyNumberFormat="1" applyFont="1" applyFill="1" applyBorder="1" applyAlignment="1">
      <alignment horizontal="right" wrapText="1"/>
    </xf>
    <xf numFmtId="2" fontId="5" fillId="2" borderId="2" xfId="0" applyNumberFormat="1" applyFont="1" applyFill="1" applyBorder="1" applyAlignment="1">
      <alignment horizontal="right" vertical="center" wrapText="1"/>
    </xf>
    <xf numFmtId="2" fontId="34" fillId="2" borderId="2" xfId="0" applyNumberFormat="1" applyFont="1" applyFill="1" applyBorder="1" applyAlignment="1">
      <alignment horizontal="center" vertical="center"/>
    </xf>
    <xf numFmtId="2" fontId="5" fillId="0" borderId="5" xfId="1" applyNumberFormat="1" applyFont="1" applyFill="1" applyBorder="1" applyAlignment="1">
      <alignment horizontal="right" vertical="center"/>
    </xf>
    <xf numFmtId="165" fontId="5" fillId="0" borderId="2" xfId="0" applyNumberFormat="1" applyFont="1" applyFill="1" applyBorder="1" applyAlignment="1">
      <alignment horizontal="center" vertical="center"/>
    </xf>
    <xf numFmtId="2" fontId="35" fillId="2" borderId="2" xfId="0" applyNumberFormat="1" applyFont="1" applyFill="1" applyBorder="1" applyAlignment="1">
      <alignment horizontal="right"/>
    </xf>
    <xf numFmtId="2" fontId="35" fillId="2" borderId="2" xfId="0" applyNumberFormat="1" applyFont="1" applyFill="1" applyBorder="1" applyAlignment="1">
      <alignment horizontal="center" vertical="center"/>
    </xf>
    <xf numFmtId="2" fontId="35" fillId="2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2" fontId="4" fillId="2" borderId="2" xfId="0" applyNumberFormat="1" applyFont="1" applyFill="1" applyBorder="1" applyAlignment="1">
      <alignment horizontal="left" vertical="center" wrapText="1"/>
    </xf>
    <xf numFmtId="2" fontId="5" fillId="0" borderId="2" xfId="0" applyNumberFormat="1" applyFont="1" applyBorder="1"/>
    <xf numFmtId="2" fontId="5" fillId="0" borderId="2" xfId="0" applyNumberFormat="1" applyFont="1" applyBorder="1" applyAlignment="1">
      <alignment horizontal="right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/>
    <xf numFmtId="1" fontId="5" fillId="6" borderId="2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right" vertical="center" wrapText="1"/>
    </xf>
    <xf numFmtId="2" fontId="9" fillId="2" borderId="2" xfId="0" applyNumberFormat="1" applyFont="1" applyFill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2" fontId="9" fillId="6" borderId="2" xfId="0" applyNumberFormat="1" applyFont="1" applyFill="1" applyBorder="1" applyAlignment="1">
      <alignment horizontal="right" vertical="center"/>
    </xf>
    <xf numFmtId="2" fontId="9" fillId="6" borderId="2" xfId="0" applyNumberFormat="1" applyFont="1" applyFill="1" applyBorder="1" applyAlignment="1">
      <alignment horizontal="right" vertical="center" wrapText="1"/>
    </xf>
    <xf numFmtId="2" fontId="9" fillId="6" borderId="2" xfId="0" applyNumberFormat="1" applyFont="1" applyFill="1" applyBorder="1" applyAlignment="1">
      <alignment horizontal="center" vertical="center"/>
    </xf>
    <xf numFmtId="165" fontId="9" fillId="6" borderId="2" xfId="0" applyNumberFormat="1" applyFont="1" applyFill="1" applyBorder="1" applyAlignment="1">
      <alignment horizontal="right" vertical="center"/>
    </xf>
    <xf numFmtId="2" fontId="15" fillId="2" borderId="2" xfId="0" applyNumberFormat="1" applyFont="1" applyFill="1" applyBorder="1" applyAlignment="1">
      <alignment horizontal="right" vertical="center" wrapText="1"/>
    </xf>
    <xf numFmtId="2" fontId="18" fillId="0" borderId="2" xfId="0" applyNumberFormat="1" applyFont="1" applyFill="1" applyBorder="1" applyAlignment="1">
      <alignment horizontal="right" vertical="center"/>
    </xf>
    <xf numFmtId="2" fontId="18" fillId="0" borderId="2" xfId="0" applyNumberFormat="1" applyFont="1" applyFill="1" applyBorder="1" applyAlignment="1">
      <alignment horizontal="center" vertical="center"/>
    </xf>
    <xf numFmtId="2" fontId="18" fillId="0" borderId="2" xfId="0" applyNumberFormat="1" applyFont="1" applyFill="1" applyBorder="1" applyAlignment="1">
      <alignment horizontal="right"/>
    </xf>
    <xf numFmtId="2" fontId="18" fillId="0" borderId="2" xfId="0" applyNumberFormat="1" applyFont="1" applyFill="1" applyBorder="1" applyAlignment="1">
      <alignment horizontal="center"/>
    </xf>
    <xf numFmtId="1" fontId="5" fillId="0" borderId="2" xfId="0" applyNumberFormat="1" applyFont="1" applyFill="1" applyBorder="1" applyAlignment="1">
      <alignment horizontal="center" vertical="center"/>
    </xf>
    <xf numFmtId="2" fontId="5" fillId="0" borderId="4" xfId="1" applyNumberFormat="1" applyFont="1" applyFill="1" applyBorder="1" applyAlignment="1">
      <alignment horizontal="right" vertical="center"/>
    </xf>
    <xf numFmtId="2" fontId="5" fillId="0" borderId="7" xfId="1" applyNumberFormat="1" applyFont="1" applyFill="1" applyBorder="1" applyAlignment="1">
      <alignment horizontal="center" vertical="center" wrapText="1"/>
    </xf>
    <xf numFmtId="165" fontId="9" fillId="0" borderId="2" xfId="0" applyNumberFormat="1" applyFont="1" applyFill="1" applyBorder="1" applyAlignment="1">
      <alignment horizontal="right" vertical="center"/>
    </xf>
    <xf numFmtId="2" fontId="5" fillId="2" borderId="2" xfId="0" applyNumberFormat="1" applyFont="1" applyFill="1" applyBorder="1" applyAlignment="1">
      <alignment horizontal="center"/>
    </xf>
    <xf numFmtId="0" fontId="14" fillId="2" borderId="2" xfId="0" applyFont="1" applyFill="1" applyBorder="1" applyAlignment="1">
      <alignment vertical="center"/>
    </xf>
    <xf numFmtId="2" fontId="4" fillId="0" borderId="2" xfId="0" applyNumberFormat="1" applyFont="1" applyFill="1" applyBorder="1" applyAlignment="1">
      <alignment vertical="center"/>
    </xf>
    <xf numFmtId="0" fontId="4" fillId="2" borderId="2" xfId="0" applyNumberFormat="1" applyFont="1" applyFill="1" applyBorder="1" applyAlignment="1">
      <alignment horizontal="center" vertical="center"/>
    </xf>
    <xf numFmtId="2" fontId="15" fillId="2" borderId="2" xfId="1" applyNumberFormat="1" applyFont="1" applyFill="1" applyBorder="1" applyAlignment="1">
      <alignment horizontal="right" vertical="center"/>
    </xf>
    <xf numFmtId="2" fontId="15" fillId="2" borderId="2" xfId="1" applyNumberFormat="1" applyFont="1" applyFill="1" applyBorder="1" applyAlignment="1">
      <alignment horizontal="center" vertical="center"/>
    </xf>
    <xf numFmtId="2" fontId="5" fillId="0" borderId="6" xfId="0" applyNumberFormat="1" applyFont="1" applyFill="1" applyBorder="1" applyAlignment="1">
      <alignment horizontal="center" vertical="center"/>
    </xf>
    <xf numFmtId="2" fontId="5" fillId="0" borderId="7" xfId="0" applyNumberFormat="1" applyFont="1" applyFill="1" applyBorder="1" applyAlignment="1">
      <alignment horizontal="center" vertical="center"/>
    </xf>
    <xf numFmtId="2" fontId="37" fillId="2" borderId="2" xfId="0" applyNumberFormat="1" applyFont="1" applyFill="1" applyBorder="1" applyAlignment="1">
      <alignment horizontal="center" vertical="center"/>
    </xf>
    <xf numFmtId="165" fontId="9" fillId="2" borderId="2" xfId="1" applyNumberFormat="1" applyFont="1" applyFill="1" applyBorder="1" applyAlignment="1">
      <alignment horizontal="right" vertical="center"/>
    </xf>
    <xf numFmtId="2" fontId="15" fillId="2" borderId="2" xfId="0" applyNumberFormat="1" applyFont="1" applyFill="1" applyBorder="1" applyAlignment="1">
      <alignment horizontal="right" vertical="center"/>
    </xf>
    <xf numFmtId="2" fontId="15" fillId="0" borderId="2" xfId="0" applyNumberFormat="1" applyFont="1" applyBorder="1" applyAlignment="1">
      <alignment horizontal="center" vertical="center"/>
    </xf>
    <xf numFmtId="2" fontId="15" fillId="2" borderId="2" xfId="1" applyNumberFormat="1" applyFont="1" applyFill="1" applyBorder="1" applyAlignment="1">
      <alignment horizontal="right" vertical="center" wrapText="1"/>
    </xf>
    <xf numFmtId="165" fontId="9" fillId="0" borderId="2" xfId="0" applyNumberFormat="1" applyFont="1" applyBorder="1" applyAlignment="1">
      <alignment horizontal="right" wrapText="1"/>
    </xf>
    <xf numFmtId="165" fontId="14" fillId="0" borderId="5" xfId="1" applyNumberFormat="1" applyFont="1" applyFill="1" applyBorder="1" applyAlignment="1" applyProtection="1">
      <alignment vertical="center" wrapText="1"/>
    </xf>
    <xf numFmtId="165" fontId="14" fillId="0" borderId="6" xfId="1" applyNumberFormat="1" applyFont="1" applyFill="1" applyBorder="1" applyAlignment="1" applyProtection="1">
      <alignment vertical="center" wrapText="1"/>
    </xf>
    <xf numFmtId="165" fontId="14" fillId="0" borderId="7" xfId="1" applyNumberFormat="1" applyFont="1" applyFill="1" applyBorder="1" applyAlignment="1" applyProtection="1">
      <alignment vertical="center" wrapText="1"/>
    </xf>
    <xf numFmtId="49" fontId="14" fillId="6" borderId="2" xfId="1" applyNumberFormat="1" applyFont="1" applyFill="1" applyBorder="1" applyAlignment="1" applyProtection="1">
      <alignment horizontal="center" vertical="center"/>
    </xf>
    <xf numFmtId="49" fontId="9" fillId="0" borderId="2" xfId="1" applyNumberFormat="1" applyFont="1" applyBorder="1" applyAlignment="1" applyProtection="1">
      <alignment horizontal="center" vertical="center"/>
    </xf>
    <xf numFmtId="2" fontId="15" fillId="0" borderId="2" xfId="1" applyNumberFormat="1" applyFont="1" applyFill="1" applyBorder="1" applyAlignment="1" applyProtection="1">
      <alignment horizontal="right" vertical="center"/>
    </xf>
    <xf numFmtId="2" fontId="15" fillId="0" borderId="2" xfId="1" applyNumberFormat="1" applyFont="1" applyFill="1" applyBorder="1" applyAlignment="1" applyProtection="1">
      <alignment horizontal="center" vertical="center"/>
    </xf>
    <xf numFmtId="49" fontId="9" fillId="0" borderId="2" xfId="1" applyNumberFormat="1" applyFont="1" applyFill="1" applyBorder="1" applyAlignment="1" applyProtection="1">
      <alignment horizontal="center" vertical="center"/>
    </xf>
    <xf numFmtId="165" fontId="9" fillId="6" borderId="2" xfId="1" applyNumberFormat="1" applyFont="1" applyFill="1" applyBorder="1" applyAlignment="1" applyProtection="1">
      <alignment horizontal="right" vertical="center"/>
    </xf>
    <xf numFmtId="2" fontId="9" fillId="6" borderId="2" xfId="1" applyNumberFormat="1" applyFont="1" applyFill="1" applyBorder="1" applyAlignment="1" applyProtection="1">
      <alignment horizontal="center" vertical="center"/>
    </xf>
    <xf numFmtId="2" fontId="5" fillId="0" borderId="1" xfId="0" applyNumberFormat="1" applyFont="1" applyFill="1" applyBorder="1" applyAlignment="1" applyProtection="1">
      <alignment horizontal="right" vertical="center"/>
    </xf>
    <xf numFmtId="2" fontId="9" fillId="6" borderId="1" xfId="1" applyNumberFormat="1" applyFont="1" applyFill="1" applyBorder="1" applyAlignment="1" applyProtection="1">
      <alignment horizontal="center" vertical="center"/>
    </xf>
    <xf numFmtId="49" fontId="9" fillId="0" borderId="1" xfId="1" applyNumberFormat="1" applyFont="1" applyFill="1" applyBorder="1" applyAlignment="1" applyProtection="1">
      <alignment horizontal="center" vertical="center"/>
    </xf>
    <xf numFmtId="2" fontId="4" fillId="0" borderId="5" xfId="1" applyNumberFormat="1" applyFont="1" applyFill="1" applyBorder="1" applyAlignment="1" applyProtection="1">
      <alignment horizontal="left" vertical="center"/>
    </xf>
    <xf numFmtId="2" fontId="5" fillId="0" borderId="6" xfId="1" applyNumberFormat="1" applyFont="1" applyFill="1" applyBorder="1" applyAlignment="1" applyProtection="1">
      <alignment horizontal="center" vertical="center"/>
    </xf>
    <xf numFmtId="2" fontId="5" fillId="0" borderId="7" xfId="1" applyNumberFormat="1" applyFont="1" applyFill="1" applyBorder="1" applyAlignment="1" applyProtection="1">
      <alignment horizontal="center" vertical="center"/>
    </xf>
    <xf numFmtId="1" fontId="4" fillId="0" borderId="2" xfId="1" applyNumberFormat="1" applyFont="1" applyFill="1" applyBorder="1" applyAlignment="1" applyProtection="1">
      <alignment horizontal="center" vertical="center"/>
    </xf>
    <xf numFmtId="2" fontId="36" fillId="0" borderId="2" xfId="1" applyNumberFormat="1" applyFont="1" applyFill="1" applyBorder="1" applyAlignment="1" applyProtection="1">
      <alignment horizontal="right" vertical="center"/>
    </xf>
    <xf numFmtId="0" fontId="9" fillId="0" borderId="2" xfId="0" applyFont="1" applyBorder="1" applyAlignment="1" applyProtection="1">
      <alignment horizontal="right" vertical="center"/>
    </xf>
    <xf numFmtId="2" fontId="14" fillId="0" borderId="2" xfId="1" applyNumberFormat="1" applyFont="1" applyFill="1" applyBorder="1" applyAlignment="1">
      <alignment horizontal="center" vertical="center" wrapText="1"/>
    </xf>
    <xf numFmtId="0" fontId="35" fillId="0" borderId="2" xfId="0" applyFont="1" applyFill="1" applyBorder="1" applyAlignment="1" applyProtection="1">
      <alignment horizontal="right" vertical="center"/>
    </xf>
    <xf numFmtId="2" fontId="34" fillId="0" borderId="2" xfId="0" applyNumberFormat="1" applyFont="1" applyFill="1" applyBorder="1" applyAlignment="1" applyProtection="1">
      <alignment horizontal="center" vertical="center"/>
    </xf>
    <xf numFmtId="0" fontId="15" fillId="0" borderId="2" xfId="0" applyFont="1" applyFill="1" applyBorder="1" applyAlignment="1" applyProtection="1">
      <alignment horizontal="right" vertical="center"/>
    </xf>
    <xf numFmtId="2" fontId="15" fillId="0" borderId="2" xfId="0" applyNumberFormat="1" applyFont="1" applyFill="1" applyBorder="1" applyAlignment="1" applyProtection="1">
      <alignment horizontal="center" vertical="center"/>
    </xf>
    <xf numFmtId="1" fontId="15" fillId="2" borderId="2" xfId="0" applyNumberFormat="1" applyFont="1" applyFill="1" applyBorder="1" applyAlignment="1">
      <alignment horizontal="center" vertical="center"/>
    </xf>
    <xf numFmtId="1" fontId="35" fillId="0" borderId="2" xfId="0" applyNumberFormat="1" applyFont="1" applyFill="1" applyBorder="1" applyAlignment="1" applyProtection="1">
      <alignment horizontal="center" vertical="center"/>
    </xf>
    <xf numFmtId="1" fontId="15" fillId="0" borderId="2" xfId="0" applyNumberFormat="1" applyFont="1" applyFill="1" applyBorder="1" applyAlignment="1" applyProtection="1">
      <alignment horizontal="center" vertical="center"/>
    </xf>
    <xf numFmtId="165" fontId="35" fillId="0" borderId="2" xfId="0" applyNumberFormat="1" applyFont="1" applyFill="1" applyBorder="1" applyAlignment="1">
      <alignment horizontal="right" vertical="center"/>
    </xf>
    <xf numFmtId="2" fontId="35" fillId="0" borderId="2" xfId="0" applyNumberFormat="1" applyFont="1" applyFill="1" applyBorder="1" applyAlignment="1">
      <alignment horizontal="center" vertical="center"/>
    </xf>
    <xf numFmtId="1" fontId="35" fillId="0" borderId="2" xfId="0" applyNumberFormat="1" applyFont="1" applyFill="1" applyBorder="1" applyAlignment="1">
      <alignment horizontal="center" vertical="center"/>
    </xf>
    <xf numFmtId="1" fontId="15" fillId="0" borderId="2" xfId="1" applyNumberFormat="1" applyFont="1" applyFill="1" applyBorder="1" applyAlignment="1" applyProtection="1">
      <alignment horizontal="center" vertical="center"/>
    </xf>
    <xf numFmtId="2" fontId="15" fillId="0" borderId="7" xfId="1" applyNumberFormat="1" applyFont="1" applyFill="1" applyBorder="1" applyAlignment="1" applyProtection="1">
      <alignment horizontal="center" vertical="center"/>
    </xf>
    <xf numFmtId="1" fontId="15" fillId="0" borderId="7" xfId="1" applyNumberFormat="1" applyFont="1" applyFill="1" applyBorder="1" applyAlignment="1" applyProtection="1">
      <alignment horizontal="center" vertical="center"/>
    </xf>
    <xf numFmtId="0" fontId="15" fillId="0" borderId="2" xfId="0" applyFont="1" applyFill="1" applyBorder="1" applyAlignment="1">
      <alignment horizontal="right" vertical="center" wrapText="1"/>
    </xf>
    <xf numFmtId="0" fontId="15" fillId="0" borderId="2" xfId="0" applyFont="1" applyFill="1" applyBorder="1" applyAlignment="1">
      <alignment horizontal="center" vertical="center" wrapText="1"/>
    </xf>
    <xf numFmtId="2" fontId="15" fillId="0" borderId="2" xfId="0" applyNumberFormat="1" applyFont="1" applyFill="1" applyBorder="1" applyAlignment="1">
      <alignment horizontal="center" vertical="center" wrapText="1"/>
    </xf>
    <xf numFmtId="1" fontId="15" fillId="0" borderId="2" xfId="0" applyNumberFormat="1" applyFont="1" applyFill="1" applyBorder="1" applyAlignment="1">
      <alignment horizontal="center" vertical="center" wrapText="1"/>
    </xf>
    <xf numFmtId="2" fontId="15" fillId="0" borderId="2" xfId="1" applyNumberFormat="1" applyFont="1" applyFill="1" applyBorder="1" applyAlignment="1">
      <alignment horizontal="right" vertical="center"/>
    </xf>
    <xf numFmtId="2" fontId="15" fillId="0" borderId="2" xfId="1" applyNumberFormat="1" applyFont="1" applyFill="1" applyBorder="1" applyAlignment="1">
      <alignment horizontal="center" vertical="center"/>
    </xf>
    <xf numFmtId="1" fontId="15" fillId="0" borderId="2" xfId="1" applyNumberFormat="1" applyFont="1" applyFill="1" applyBorder="1" applyAlignment="1">
      <alignment horizontal="center" vertical="center"/>
    </xf>
    <xf numFmtId="2" fontId="15" fillId="0" borderId="2" xfId="0" applyNumberFormat="1" applyFont="1" applyFill="1" applyBorder="1" applyAlignment="1">
      <alignment horizontal="right" vertical="center" wrapText="1"/>
    </xf>
    <xf numFmtId="2" fontId="15" fillId="0" borderId="2" xfId="0" applyNumberFormat="1" applyFont="1" applyFill="1" applyBorder="1" applyAlignment="1">
      <alignment horizontal="center" vertical="center"/>
    </xf>
    <xf numFmtId="1" fontId="15" fillId="0" borderId="2" xfId="0" applyNumberFormat="1" applyFont="1" applyFill="1" applyBorder="1" applyAlignment="1">
      <alignment horizontal="center" vertical="center"/>
    </xf>
    <xf numFmtId="1" fontId="15" fillId="0" borderId="2" xfId="0" applyNumberFormat="1" applyFont="1" applyBorder="1" applyAlignment="1">
      <alignment horizontal="center" vertical="center"/>
    </xf>
    <xf numFmtId="1" fontId="15" fillId="2" borderId="2" xfId="1" applyNumberFormat="1" applyFont="1" applyFill="1" applyBorder="1" applyAlignment="1">
      <alignment horizontal="center" vertical="center"/>
    </xf>
    <xf numFmtId="2" fontId="37" fillId="0" borderId="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2" fontId="15" fillId="0" borderId="5" xfId="1" applyNumberFormat="1" applyFont="1" applyFill="1" applyBorder="1" applyAlignment="1">
      <alignment horizontal="right" vertical="center"/>
    </xf>
    <xf numFmtId="1" fontId="35" fillId="2" borderId="2" xfId="0" applyNumberFormat="1" applyFont="1" applyFill="1" applyBorder="1" applyAlignment="1">
      <alignment horizontal="center" vertical="center"/>
    </xf>
    <xf numFmtId="0" fontId="35" fillId="0" borderId="4" xfId="0" applyNumberFormat="1" applyFont="1" applyFill="1" applyBorder="1" applyAlignment="1">
      <alignment horizontal="right" vertical="center"/>
    </xf>
    <xf numFmtId="2" fontId="35" fillId="0" borderId="4" xfId="0" applyNumberFormat="1" applyFont="1" applyFill="1" applyBorder="1" applyAlignment="1">
      <alignment horizontal="center" vertical="center"/>
    </xf>
    <xf numFmtId="1" fontId="35" fillId="0" borderId="4" xfId="0" applyNumberFormat="1" applyFont="1" applyFill="1" applyBorder="1" applyAlignment="1">
      <alignment horizontal="center" vertical="center"/>
    </xf>
    <xf numFmtId="165" fontId="35" fillId="0" borderId="2" xfId="0" applyNumberFormat="1" applyFont="1" applyBorder="1" applyAlignment="1">
      <alignment horizontal="right"/>
    </xf>
    <xf numFmtId="2" fontId="35" fillId="0" borderId="2" xfId="0" applyNumberFormat="1" applyFont="1" applyBorder="1" applyAlignment="1">
      <alignment horizontal="center"/>
    </xf>
    <xf numFmtId="1" fontId="35" fillId="0" borderId="2" xfId="0" applyNumberFormat="1" applyFont="1" applyBorder="1" applyAlignment="1">
      <alignment horizontal="center"/>
    </xf>
    <xf numFmtId="2" fontId="15" fillId="0" borderId="2" xfId="0" applyNumberFormat="1" applyFont="1" applyFill="1" applyBorder="1" applyAlignment="1" applyProtection="1">
      <alignment horizontal="right" vertical="center"/>
    </xf>
    <xf numFmtId="2" fontId="4" fillId="0" borderId="2" xfId="1" applyNumberFormat="1" applyFont="1" applyFill="1" applyBorder="1" applyAlignment="1">
      <alignment horizontal="right" vertical="center"/>
    </xf>
    <xf numFmtId="2" fontId="9" fillId="2" borderId="4" xfId="1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165" fontId="5" fillId="2" borderId="2" xfId="0" applyNumberFormat="1" applyFont="1" applyFill="1" applyBorder="1" applyAlignment="1">
      <alignment horizontal="center" vertical="center"/>
    </xf>
    <xf numFmtId="2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right" vertical="center" wrapText="1"/>
    </xf>
    <xf numFmtId="165" fontId="11" fillId="6" borderId="2" xfId="1" applyNumberFormat="1" applyFont="1" applyFill="1" applyBorder="1" applyAlignment="1">
      <alignment horizontal="center" vertical="center"/>
    </xf>
    <xf numFmtId="2" fontId="9" fillId="0" borderId="2" xfId="1" applyNumberFormat="1" applyFont="1" applyFill="1" applyBorder="1" applyAlignment="1">
      <alignment horizontal="center" vertical="center" wrapText="1"/>
    </xf>
    <xf numFmtId="2" fontId="9" fillId="0" borderId="2" xfId="0" applyNumberFormat="1" applyFont="1" applyFill="1" applyBorder="1" applyAlignment="1">
      <alignment horizontal="right" vertical="center" wrapText="1"/>
    </xf>
    <xf numFmtId="2" fontId="35" fillId="0" borderId="2" xfId="0" applyNumberFormat="1" applyFont="1" applyFill="1" applyBorder="1" applyAlignment="1">
      <alignment horizontal="right" vertical="center" wrapText="1"/>
    </xf>
    <xf numFmtId="2" fontId="37" fillId="0" borderId="2" xfId="0" applyNumberFormat="1" applyFont="1" applyFill="1" applyBorder="1" applyAlignment="1">
      <alignment horizontal="center" vertical="center" wrapText="1"/>
    </xf>
    <xf numFmtId="165" fontId="35" fillId="0" borderId="5" xfId="0" applyNumberFormat="1" applyFont="1" applyFill="1" applyBorder="1" applyAlignment="1">
      <alignment horizontal="right" vertical="center"/>
    </xf>
    <xf numFmtId="2" fontId="15" fillId="6" borderId="2" xfId="0" applyNumberFormat="1" applyFont="1" applyFill="1" applyBorder="1" applyAlignment="1">
      <alignment horizontal="center" vertical="center"/>
    </xf>
    <xf numFmtId="1" fontId="15" fillId="6" borderId="2" xfId="0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4" fillId="0" borderId="2" xfId="0" applyFont="1" applyBorder="1" applyAlignment="1">
      <alignment horizontal="center"/>
    </xf>
    <xf numFmtId="1" fontId="14" fillId="0" borderId="2" xfId="0" applyNumberFormat="1" applyFont="1" applyBorder="1" applyAlignment="1">
      <alignment horizontal="center" vertical="center"/>
    </xf>
    <xf numFmtId="2" fontId="9" fillId="2" borderId="2" xfId="1" applyNumberFormat="1" applyFont="1" applyFill="1" applyBorder="1" applyAlignment="1">
      <alignment horizontal="center" vertical="center" wrapText="1"/>
    </xf>
    <xf numFmtId="165" fontId="35" fillId="0" borderId="2" xfId="1" applyNumberFormat="1" applyFont="1" applyFill="1" applyBorder="1" applyAlignment="1">
      <alignment horizontal="right" vertical="center" wrapText="1"/>
    </xf>
    <xf numFmtId="2" fontId="35" fillId="0" borderId="2" xfId="1" applyNumberFormat="1" applyFont="1" applyFill="1" applyBorder="1" applyAlignment="1">
      <alignment horizontal="center" vertical="center" wrapText="1"/>
    </xf>
    <xf numFmtId="165" fontId="35" fillId="6" borderId="5" xfId="1" applyNumberFormat="1" applyFont="1" applyFill="1" applyBorder="1" applyAlignment="1">
      <alignment horizontal="right" vertical="center" wrapText="1"/>
    </xf>
    <xf numFmtId="2" fontId="34" fillId="6" borderId="2" xfId="1" applyNumberFormat="1" applyFont="1" applyFill="1" applyBorder="1" applyAlignment="1">
      <alignment horizontal="center"/>
    </xf>
    <xf numFmtId="1" fontId="35" fillId="0" borderId="2" xfId="0" applyNumberFormat="1" applyFont="1" applyFill="1" applyBorder="1" applyAlignment="1">
      <alignment horizontal="center"/>
    </xf>
    <xf numFmtId="1" fontId="35" fillId="0" borderId="2" xfId="1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2" borderId="5" xfId="1" applyFont="1" applyFill="1" applyBorder="1" applyAlignment="1">
      <alignment vertical="center"/>
    </xf>
    <xf numFmtId="0" fontId="4" fillId="2" borderId="2" xfId="1" applyFont="1" applyFill="1" applyBorder="1" applyAlignment="1">
      <alignment horizontal="center" vertical="center"/>
    </xf>
    <xf numFmtId="0" fontId="14" fillId="0" borderId="2" xfId="1" applyNumberFormat="1" applyFont="1" applyFill="1" applyBorder="1" applyAlignment="1">
      <alignment horizontal="center" vertical="center"/>
    </xf>
    <xf numFmtId="0" fontId="16" fillId="0" borderId="0" xfId="0" applyFont="1"/>
    <xf numFmtId="0" fontId="2" fillId="0" borderId="0" xfId="0" applyFont="1" applyAlignment="1">
      <alignment horizontal="right"/>
    </xf>
    <xf numFmtId="0" fontId="38" fillId="0" borderId="0" xfId="0" applyFont="1"/>
    <xf numFmtId="0" fontId="4" fillId="6" borderId="0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5" fontId="12" fillId="0" borderId="9" xfId="0" applyNumberFormat="1" applyFont="1" applyBorder="1" applyAlignment="1">
      <alignment horizontal="center" vertical="center" wrapText="1"/>
    </xf>
    <xf numFmtId="165" fontId="12" fillId="0" borderId="2" xfId="0" applyNumberFormat="1" applyFont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Fill="1" applyAlignment="1">
      <alignment horizontal="left" wrapText="1"/>
    </xf>
    <xf numFmtId="0" fontId="13" fillId="0" borderId="0" xfId="0" applyFont="1" applyFill="1" applyBorder="1" applyAlignment="1"/>
    <xf numFmtId="0" fontId="13" fillId="0" borderId="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2" fontId="4" fillId="0" borderId="5" xfId="1" applyNumberFormat="1" applyFont="1" applyFill="1" applyBorder="1" applyAlignment="1">
      <alignment horizontal="left" vertical="center"/>
    </xf>
    <xf numFmtId="2" fontId="4" fillId="0" borderId="6" xfId="1" applyNumberFormat="1" applyFont="1" applyFill="1" applyBorder="1" applyAlignment="1">
      <alignment horizontal="left" vertical="center"/>
    </xf>
    <xf numFmtId="2" fontId="4" fillId="0" borderId="7" xfId="1" applyNumberFormat="1" applyFont="1" applyFill="1" applyBorder="1" applyAlignment="1">
      <alignment horizontal="left" vertical="center"/>
    </xf>
    <xf numFmtId="165" fontId="14" fillId="2" borderId="5" xfId="0" applyNumberFormat="1" applyFont="1" applyFill="1" applyBorder="1" applyAlignment="1">
      <alignment horizontal="left" vertical="center"/>
    </xf>
    <xf numFmtId="165" fontId="14" fillId="2" borderId="6" xfId="0" applyNumberFormat="1" applyFont="1" applyFill="1" applyBorder="1" applyAlignment="1">
      <alignment horizontal="left" vertical="center"/>
    </xf>
    <xf numFmtId="165" fontId="14" fillId="2" borderId="7" xfId="0" applyNumberFormat="1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2" fontId="4" fillId="0" borderId="5" xfId="0" applyNumberFormat="1" applyFont="1" applyBorder="1" applyAlignment="1">
      <alignment horizontal="left" vertical="center" wrapText="1"/>
    </xf>
    <xf numFmtId="2" fontId="4" fillId="0" borderId="6" xfId="0" applyNumberFormat="1" applyFont="1" applyBorder="1" applyAlignment="1">
      <alignment horizontal="left" vertical="center" wrapText="1"/>
    </xf>
    <xf numFmtId="2" fontId="4" fillId="0" borderId="7" xfId="0" applyNumberFormat="1" applyFont="1" applyBorder="1" applyAlignment="1">
      <alignment horizontal="left" vertical="center" wrapText="1"/>
    </xf>
    <xf numFmtId="2" fontId="4" fillId="2" borderId="5" xfId="0" applyNumberFormat="1" applyFont="1" applyFill="1" applyBorder="1" applyAlignment="1">
      <alignment horizontal="left" vertical="center" wrapText="1"/>
    </xf>
    <xf numFmtId="2" fontId="4" fillId="2" borderId="6" xfId="0" applyNumberFormat="1" applyFont="1" applyFill="1" applyBorder="1" applyAlignment="1">
      <alignment horizontal="left" vertical="center" wrapText="1"/>
    </xf>
    <xf numFmtId="2" fontId="4" fillId="2" borderId="7" xfId="0" applyNumberFormat="1" applyFont="1" applyFill="1" applyBorder="1" applyAlignment="1">
      <alignment horizontal="left" vertical="center" wrapText="1"/>
    </xf>
    <xf numFmtId="2" fontId="4" fillId="0" borderId="2" xfId="0" applyNumberFormat="1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2" fontId="4" fillId="0" borderId="5" xfId="0" applyNumberFormat="1" applyFont="1" applyFill="1" applyBorder="1" applyAlignment="1">
      <alignment horizontal="left" vertical="center"/>
    </xf>
    <xf numFmtId="2" fontId="4" fillId="0" borderId="6" xfId="0" applyNumberFormat="1" applyFont="1" applyFill="1" applyBorder="1" applyAlignment="1">
      <alignment horizontal="left" vertical="center"/>
    </xf>
    <xf numFmtId="2" fontId="4" fillId="0" borderId="7" xfId="0" applyNumberFormat="1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2" fontId="4" fillId="2" borderId="5" xfId="0" applyNumberFormat="1" applyFont="1" applyFill="1" applyBorder="1" applyAlignment="1" applyProtection="1">
      <alignment horizontal="left" vertical="center"/>
    </xf>
    <xf numFmtId="2" fontId="4" fillId="2" borderId="6" xfId="0" applyNumberFormat="1" applyFont="1" applyFill="1" applyBorder="1" applyAlignment="1" applyProtection="1">
      <alignment horizontal="left" vertical="center"/>
    </xf>
    <xf numFmtId="2" fontId="4" fillId="2" borderId="7" xfId="0" applyNumberFormat="1" applyFont="1" applyFill="1" applyBorder="1" applyAlignment="1" applyProtection="1">
      <alignment horizontal="left" vertical="center"/>
    </xf>
    <xf numFmtId="10" fontId="14" fillId="0" borderId="5" xfId="1" applyNumberFormat="1" applyFont="1" applyFill="1" applyBorder="1" applyAlignment="1">
      <alignment horizontal="left" vertical="center" wrapText="1"/>
    </xf>
    <xf numFmtId="10" fontId="14" fillId="0" borderId="6" xfId="1" applyNumberFormat="1" applyFont="1" applyFill="1" applyBorder="1" applyAlignment="1">
      <alignment horizontal="left" vertical="center" wrapText="1"/>
    </xf>
    <xf numFmtId="10" fontId="14" fillId="0" borderId="7" xfId="1" applyNumberFormat="1" applyFont="1" applyFill="1" applyBorder="1" applyAlignment="1">
      <alignment horizontal="left" vertical="center" wrapText="1"/>
    </xf>
    <xf numFmtId="2" fontId="4" fillId="2" borderId="5" xfId="1" applyNumberFormat="1" applyFont="1" applyFill="1" applyBorder="1" applyAlignment="1">
      <alignment horizontal="left" vertical="center" wrapText="1"/>
    </xf>
    <xf numFmtId="2" fontId="4" fillId="2" borderId="6" xfId="1" applyNumberFormat="1" applyFont="1" applyFill="1" applyBorder="1" applyAlignment="1">
      <alignment horizontal="left" vertical="center" wrapText="1"/>
    </xf>
    <xf numFmtId="2" fontId="4" fillId="2" borderId="7" xfId="1" applyNumberFormat="1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/>
    </xf>
    <xf numFmtId="0" fontId="14" fillId="0" borderId="7" xfId="0" applyFont="1" applyFill="1" applyBorder="1" applyAlignment="1">
      <alignment horizontal="left"/>
    </xf>
    <xf numFmtId="2" fontId="4" fillId="0" borderId="2" xfId="1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/>
    </xf>
    <xf numFmtId="166" fontId="4" fillId="0" borderId="5" xfId="0" applyNumberFormat="1" applyFont="1" applyFill="1" applyBorder="1" applyAlignment="1">
      <alignment horizontal="left" vertical="center"/>
    </xf>
    <xf numFmtId="166" fontId="4" fillId="0" borderId="6" xfId="0" applyNumberFormat="1" applyFont="1" applyFill="1" applyBorder="1" applyAlignment="1">
      <alignment horizontal="left" vertical="center"/>
    </xf>
    <xf numFmtId="166" fontId="4" fillId="0" borderId="7" xfId="0" applyNumberFormat="1" applyFont="1" applyFill="1" applyBorder="1" applyAlignment="1">
      <alignment horizontal="left" vertical="center"/>
    </xf>
    <xf numFmtId="2" fontId="14" fillId="0" borderId="2" xfId="0" applyNumberFormat="1" applyFont="1" applyBorder="1" applyAlignment="1">
      <alignment horizontal="left" wrapText="1"/>
    </xf>
    <xf numFmtId="2" fontId="4" fillId="2" borderId="5" xfId="1" applyNumberFormat="1" applyFont="1" applyFill="1" applyBorder="1" applyAlignment="1">
      <alignment horizontal="left" vertical="center"/>
    </xf>
    <xf numFmtId="2" fontId="4" fillId="2" borderId="6" xfId="1" applyNumberFormat="1" applyFont="1" applyFill="1" applyBorder="1" applyAlignment="1">
      <alignment horizontal="left" vertical="center"/>
    </xf>
    <xf numFmtId="2" fontId="4" fillId="2" borderId="7" xfId="1" applyNumberFormat="1" applyFont="1" applyFill="1" applyBorder="1" applyAlignment="1">
      <alignment horizontal="left" vertical="center"/>
    </xf>
    <xf numFmtId="2" fontId="4" fillId="0" borderId="5" xfId="0" applyNumberFormat="1" applyFont="1" applyFill="1" applyBorder="1" applyAlignment="1">
      <alignment horizontal="left" vertical="center" wrapText="1"/>
    </xf>
    <xf numFmtId="2" fontId="4" fillId="0" borderId="7" xfId="0" applyNumberFormat="1" applyFont="1" applyFill="1" applyBorder="1" applyAlignment="1">
      <alignment horizontal="left" vertical="center" wrapText="1"/>
    </xf>
    <xf numFmtId="2" fontId="4" fillId="0" borderId="6" xfId="0" applyNumberFormat="1" applyFont="1" applyFill="1" applyBorder="1" applyAlignment="1">
      <alignment horizontal="left" vertical="center" wrapText="1"/>
    </xf>
    <xf numFmtId="165" fontId="14" fillId="2" borderId="5" xfId="0" applyNumberFormat="1" applyFont="1" applyFill="1" applyBorder="1" applyAlignment="1">
      <alignment horizontal="left"/>
    </xf>
    <xf numFmtId="165" fontId="14" fillId="2" borderId="6" xfId="0" applyNumberFormat="1" applyFont="1" applyFill="1" applyBorder="1" applyAlignment="1">
      <alignment horizontal="left"/>
    </xf>
    <xf numFmtId="165" fontId="14" fillId="2" borderId="7" xfId="0" applyNumberFormat="1" applyFont="1" applyFill="1" applyBorder="1" applyAlignment="1">
      <alignment horizontal="left"/>
    </xf>
    <xf numFmtId="0" fontId="4" fillId="0" borderId="16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 applyProtection="1">
      <alignment horizontal="left" vertical="center"/>
    </xf>
    <xf numFmtId="2" fontId="4" fillId="2" borderId="2" xfId="1" applyNumberFormat="1" applyFont="1" applyFill="1" applyBorder="1" applyAlignment="1">
      <alignment horizontal="left" vertical="center"/>
    </xf>
    <xf numFmtId="165" fontId="14" fillId="2" borderId="14" xfId="1" applyNumberFormat="1" applyFont="1" applyFill="1" applyBorder="1" applyAlignment="1">
      <alignment horizontal="left" vertical="center" wrapText="1"/>
    </xf>
    <xf numFmtId="165" fontId="14" fillId="2" borderId="15" xfId="1" applyNumberFormat="1" applyFont="1" applyFill="1" applyBorder="1" applyAlignment="1">
      <alignment horizontal="left" vertical="center" wrapText="1"/>
    </xf>
    <xf numFmtId="165" fontId="14" fillId="2" borderId="16" xfId="1" applyNumberFormat="1" applyFont="1" applyFill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165" fontId="14" fillId="0" borderId="5" xfId="1" applyNumberFormat="1" applyFont="1" applyFill="1" applyBorder="1" applyAlignment="1">
      <alignment horizontal="left" vertical="center" wrapText="1"/>
    </xf>
    <xf numFmtId="165" fontId="14" fillId="0" borderId="6" xfId="1" applyNumberFormat="1" applyFont="1" applyFill="1" applyBorder="1" applyAlignment="1">
      <alignment horizontal="left" vertical="center" wrapText="1"/>
    </xf>
    <xf numFmtId="165" fontId="14" fillId="0" borderId="7" xfId="1" applyNumberFormat="1" applyFont="1" applyFill="1" applyBorder="1" applyAlignment="1">
      <alignment horizontal="left" vertical="center" wrapText="1"/>
    </xf>
  </cellXfs>
  <cellStyles count="10">
    <cellStyle name="Обычный" xfId="0" builtinId="0"/>
    <cellStyle name="Обычный 2" xfId="1"/>
    <cellStyle name="Обычный 3" xfId="4"/>
    <cellStyle name="Обычный 3 2" xfId="5"/>
    <cellStyle name="Обычный 4" xfId="3"/>
    <cellStyle name="Обычный_Лист3" xfId="2"/>
    <cellStyle name="Финансовый 2" xfId="6"/>
    <cellStyle name="Финансовый 3" xfId="7"/>
    <cellStyle name="Финансовый 3 2" xfId="8"/>
    <cellStyle name="Финансовый 4" xfId="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AB364"/>
  <sheetViews>
    <sheetView topLeftCell="B1" workbookViewId="0">
      <selection activeCell="O15" sqref="O15"/>
    </sheetView>
  </sheetViews>
  <sheetFormatPr defaultColWidth="9.140625" defaultRowHeight="12.75"/>
  <cols>
    <col min="1" max="1" width="9.140625" style="27"/>
    <col min="2" max="2" width="3.85546875" style="27" customWidth="1"/>
    <col min="3" max="3" width="20.28515625" style="27" customWidth="1"/>
    <col min="4" max="4" width="6.28515625" style="27" customWidth="1"/>
    <col min="5" max="5" width="4.5703125" style="27" customWidth="1"/>
    <col min="6" max="6" width="6.140625" style="27" customWidth="1"/>
    <col min="7" max="8" width="6.7109375" style="16" customWidth="1"/>
    <col min="9" max="9" width="6" style="16" customWidth="1"/>
    <col min="10" max="10" width="6.28515625" style="16" customWidth="1"/>
    <col min="11" max="11" width="5.7109375" style="16" customWidth="1"/>
    <col min="12" max="12" width="7.28515625" style="16" customWidth="1"/>
    <col min="13" max="13" width="6.85546875" style="16" customWidth="1"/>
    <col min="14" max="14" width="6.5703125" style="70" customWidth="1"/>
    <col min="15" max="20" width="6.28515625" style="16" customWidth="1"/>
    <col min="21" max="21" width="5.5703125" style="16" customWidth="1"/>
    <col min="22" max="22" width="5.140625" style="27" customWidth="1"/>
    <col min="23" max="23" width="5.85546875" style="27" customWidth="1"/>
    <col min="24" max="24" width="6.140625" style="27" customWidth="1"/>
    <col min="25" max="26" width="8" style="27" customWidth="1"/>
    <col min="27" max="27" width="7.85546875" style="27" customWidth="1"/>
    <col min="28" max="28" width="7.28515625" style="27" customWidth="1"/>
    <col min="29" max="16384" width="9.140625" style="27"/>
  </cols>
  <sheetData>
    <row r="1" spans="2:28" ht="15.75">
      <c r="B1" s="18" t="s">
        <v>17</v>
      </c>
    </row>
    <row r="2" spans="2:28" ht="10.5" customHeight="1">
      <c r="B2" s="472" t="s">
        <v>61</v>
      </c>
      <c r="C2" s="472"/>
      <c r="D2" s="472"/>
      <c r="E2" s="472"/>
      <c r="F2" s="472"/>
      <c r="G2" s="472"/>
      <c r="H2" s="472"/>
      <c r="I2" s="472"/>
      <c r="J2" s="472"/>
      <c r="K2" s="472"/>
      <c r="L2" s="472"/>
      <c r="M2" s="472"/>
      <c r="N2" s="472"/>
      <c r="O2" s="472"/>
      <c r="P2" s="472"/>
      <c r="Q2" s="472"/>
      <c r="R2" s="472"/>
      <c r="S2" s="472"/>
      <c r="T2" s="472"/>
      <c r="U2" s="472"/>
      <c r="V2" s="472"/>
      <c r="W2" s="472"/>
      <c r="X2" s="472"/>
      <c r="Y2" s="472"/>
      <c r="Z2" s="472"/>
      <c r="AA2" s="472"/>
      <c r="AB2" s="472"/>
    </row>
    <row r="3" spans="2:28" ht="17.25" customHeight="1" thickBot="1">
      <c r="B3" s="472" t="s">
        <v>60</v>
      </c>
      <c r="C3" s="472"/>
      <c r="D3" s="472"/>
      <c r="E3" s="472"/>
      <c r="F3" s="472"/>
      <c r="G3" s="472"/>
      <c r="H3" s="472"/>
      <c r="I3" s="472"/>
      <c r="J3" s="472"/>
      <c r="K3" s="472"/>
      <c r="L3" s="472"/>
      <c r="M3" s="472"/>
      <c r="N3" s="472"/>
      <c r="O3" s="472"/>
      <c r="P3" s="472"/>
      <c r="Q3" s="472"/>
      <c r="R3" s="472"/>
      <c r="S3" s="472"/>
      <c r="T3" s="472"/>
      <c r="U3" s="472"/>
      <c r="V3" s="472"/>
      <c r="W3" s="472"/>
      <c r="X3" s="472"/>
      <c r="Y3" s="472"/>
      <c r="Z3" s="472"/>
      <c r="AA3" s="472"/>
      <c r="AB3" s="472"/>
    </row>
    <row r="4" spans="2:28">
      <c r="B4" s="473" t="s">
        <v>18</v>
      </c>
      <c r="C4" s="475" t="s">
        <v>19</v>
      </c>
      <c r="D4" s="475" t="s">
        <v>20</v>
      </c>
      <c r="E4" s="477" t="s">
        <v>21</v>
      </c>
      <c r="F4" s="475" t="s">
        <v>22</v>
      </c>
      <c r="G4" s="475" t="s">
        <v>23</v>
      </c>
      <c r="H4" s="475"/>
      <c r="I4" s="475"/>
      <c r="J4" s="475"/>
      <c r="K4" s="475"/>
      <c r="L4" s="475"/>
      <c r="M4" s="475"/>
      <c r="N4" s="475"/>
      <c r="O4" s="475"/>
      <c r="P4" s="475"/>
      <c r="Q4" s="475"/>
      <c r="R4" s="475"/>
      <c r="S4" s="475"/>
      <c r="T4" s="475"/>
      <c r="U4" s="475"/>
      <c r="V4" s="480" t="s">
        <v>63</v>
      </c>
      <c r="W4" s="475" t="s">
        <v>24</v>
      </c>
      <c r="X4" s="482" t="s">
        <v>25</v>
      </c>
      <c r="Y4" s="475" t="s">
        <v>26</v>
      </c>
      <c r="Z4" s="475"/>
      <c r="AA4" s="475"/>
      <c r="AB4" s="484"/>
    </row>
    <row r="5" spans="2:28">
      <c r="B5" s="474"/>
      <c r="C5" s="476"/>
      <c r="D5" s="476"/>
      <c r="E5" s="478"/>
      <c r="F5" s="476"/>
      <c r="G5" s="485" t="s">
        <v>27</v>
      </c>
      <c r="H5" s="485"/>
      <c r="I5" s="485"/>
      <c r="J5" s="485"/>
      <c r="K5" s="485"/>
      <c r="L5" s="485"/>
      <c r="M5" s="485"/>
      <c r="N5" s="485"/>
      <c r="O5" s="485"/>
      <c r="P5" s="485"/>
      <c r="Q5" s="485"/>
      <c r="R5" s="485"/>
      <c r="S5" s="485"/>
      <c r="T5" s="485"/>
      <c r="U5" s="485"/>
      <c r="V5" s="481"/>
      <c r="W5" s="476"/>
      <c r="X5" s="483"/>
      <c r="Y5" s="476" t="s">
        <v>28</v>
      </c>
      <c r="Z5" s="476" t="s">
        <v>29</v>
      </c>
      <c r="AA5" s="476" t="s">
        <v>30</v>
      </c>
      <c r="AB5" s="486" t="s">
        <v>31</v>
      </c>
    </row>
    <row r="6" spans="2:28" ht="21.75" customHeight="1">
      <c r="B6" s="474"/>
      <c r="C6" s="476"/>
      <c r="D6" s="476"/>
      <c r="E6" s="479"/>
      <c r="F6" s="476"/>
      <c r="G6" s="66">
        <v>1</v>
      </c>
      <c r="H6" s="66">
        <v>2</v>
      </c>
      <c r="I6" s="66">
        <v>3</v>
      </c>
      <c r="J6" s="67">
        <v>4</v>
      </c>
      <c r="K6" s="66">
        <v>5</v>
      </c>
      <c r="L6" s="66">
        <v>6</v>
      </c>
      <c r="M6" s="66">
        <v>7</v>
      </c>
      <c r="N6" s="84">
        <v>8</v>
      </c>
      <c r="O6" s="66">
        <v>9</v>
      </c>
      <c r="P6" s="66">
        <v>10</v>
      </c>
      <c r="Q6" s="66">
        <v>11</v>
      </c>
      <c r="R6" s="66">
        <v>12</v>
      </c>
      <c r="S6" s="66">
        <v>13</v>
      </c>
      <c r="T6" s="66">
        <v>14</v>
      </c>
      <c r="U6" s="66">
        <v>15</v>
      </c>
      <c r="V6" s="481"/>
      <c r="W6" s="476"/>
      <c r="X6" s="483"/>
      <c r="Y6" s="476"/>
      <c r="Z6" s="476"/>
      <c r="AA6" s="476"/>
      <c r="AB6" s="486"/>
    </row>
    <row r="7" spans="2:28" ht="15">
      <c r="B7" s="19">
        <v>1</v>
      </c>
      <c r="C7" s="20" t="s">
        <v>67</v>
      </c>
      <c r="D7" s="28">
        <v>80</v>
      </c>
      <c r="E7" s="28">
        <v>75</v>
      </c>
      <c r="F7" s="28">
        <f>D7*E7/100</f>
        <v>60</v>
      </c>
      <c r="G7" s="29" t="e">
        <f>Меню!#REF!+18.5</f>
        <v>#REF!</v>
      </c>
      <c r="H7" s="29" t="e">
        <f>Меню!#REF!</f>
        <v>#REF!</v>
      </c>
      <c r="I7" s="29" t="e">
        <f>Меню!#REF!+Меню!#REF!+Меню!#REF!</f>
        <v>#REF!</v>
      </c>
      <c r="J7" s="29" t="e">
        <f>Меню!#REF!+Меню!#REF!+49.8</f>
        <v>#REF!</v>
      </c>
      <c r="K7" s="29" t="e">
        <f>Меню!#REF!+Меню!#REF!</f>
        <v>#REF!</v>
      </c>
      <c r="L7" s="29" t="e">
        <f>Меню!#REF!+Меню!#REF!</f>
        <v>#REF!</v>
      </c>
      <c r="M7" s="29" t="e">
        <f>Меню!#REF!</f>
        <v>#REF!</v>
      </c>
      <c r="N7" s="86" t="e">
        <f>Меню!#REF!+Меню!#REF!+30</f>
        <v>#REF!</v>
      </c>
      <c r="O7" s="29" t="e">
        <f>Меню!#REF!</f>
        <v>#REF!</v>
      </c>
      <c r="P7" s="29" t="e">
        <f>Меню!#REF!+Меню!#REF!</f>
        <v>#REF!</v>
      </c>
      <c r="Q7" s="29" t="e">
        <f>Меню!#REF!+18.5</f>
        <v>#REF!</v>
      </c>
      <c r="R7" s="29" t="e">
        <f>Меню!#REF!</f>
        <v>#REF!</v>
      </c>
      <c r="S7" s="29" t="e">
        <f>Меню!#REF!+Меню!#REF!+34.2</f>
        <v>#REF!</v>
      </c>
      <c r="T7" s="29" t="e">
        <f>Меню!#REF!</f>
        <v>#REF!</v>
      </c>
      <c r="U7" s="29" t="e">
        <f>Меню!#REF!</f>
        <v>#REF!</v>
      </c>
      <c r="V7" s="28" t="e">
        <f>SUM(G7:U7)</f>
        <v>#REF!</v>
      </c>
      <c r="W7" s="28" t="e">
        <f>V7/15</f>
        <v>#REF!</v>
      </c>
      <c r="X7" s="30" t="e">
        <f>W7*100/F7</f>
        <v>#REF!</v>
      </c>
      <c r="Y7" s="31" t="e">
        <f>W7*6.6/100</f>
        <v>#REF!</v>
      </c>
      <c r="Z7" s="31" t="e">
        <f>W7*1.2/100</f>
        <v>#REF!</v>
      </c>
      <c r="AA7" s="32" t="e">
        <f>W7*34.2/100</f>
        <v>#REF!</v>
      </c>
      <c r="AB7" s="33" t="e">
        <f t="shared" ref="AB7:AB17" si="0">Y7*4+Z7*9+AA7*4</f>
        <v>#REF!</v>
      </c>
    </row>
    <row r="8" spans="2:28" ht="15">
      <c r="B8" s="19">
        <v>2</v>
      </c>
      <c r="C8" s="20" t="s">
        <v>32</v>
      </c>
      <c r="D8" s="28">
        <v>150</v>
      </c>
      <c r="E8" s="28">
        <v>75</v>
      </c>
      <c r="F8" s="34">
        <f t="shared" ref="F8:F32" si="1">D8*E8/100</f>
        <v>112.5</v>
      </c>
      <c r="G8" s="35" t="e">
        <f>Меню!C27+Меню!#REF!+Меню!C59+Меню!#REF!+Меню!C75</f>
        <v>#REF!</v>
      </c>
      <c r="H8" s="35" t="e">
        <f>Меню!#REF!+Меню!#REF!+Меню!#REF!+Меню!#REF!</f>
        <v>#REF!</v>
      </c>
      <c r="I8" s="35" t="e">
        <f>Меню!#REF!+Меню!#REF!+Меню!#REF!+Меню!#REF!</f>
        <v>#REF!</v>
      </c>
      <c r="J8" s="35" t="e">
        <f>Меню!#REF!+Меню!#REF!</f>
        <v>#REF!</v>
      </c>
      <c r="K8" s="35" t="e">
        <f>Меню!#REF!+Меню!#REF!</f>
        <v>#REF!</v>
      </c>
      <c r="L8" s="35" t="e">
        <f>Меню!#REF!+Меню!#REF!+Меню!#REF!</f>
        <v>#REF!</v>
      </c>
      <c r="M8" s="35" t="e">
        <f>Меню!#REF!+Меню!#REF!+Меню!#REF!</f>
        <v>#REF!</v>
      </c>
      <c r="N8" s="87" t="e">
        <f>Меню!#REF!+Меню!#REF!+Меню!#REF!+Меню!#REF!</f>
        <v>#REF!</v>
      </c>
      <c r="O8" s="35" t="e">
        <f>Меню!#REF!+Меню!#REF!+Меню!#REF!+Меню!#REF!</f>
        <v>#REF!</v>
      </c>
      <c r="P8" s="35" t="e">
        <f>Меню!#REF!+Меню!#REF!</f>
        <v>#REF!</v>
      </c>
      <c r="Q8" s="35" t="e">
        <f>Меню!#REF!+Меню!#REF!+Меню!#REF!+Меню!#REF!</f>
        <v>#REF!</v>
      </c>
      <c r="R8" s="35" t="e">
        <f>Меню!#REF!+Меню!#REF!+Меню!#REF!+Меню!#REF!+Меню!#REF!</f>
        <v>#REF!</v>
      </c>
      <c r="S8" s="35" t="e">
        <f>Меню!#REF!+Меню!#REF!</f>
        <v>#REF!</v>
      </c>
      <c r="T8" s="35" t="e">
        <f>Меню!#REF!+Меню!#REF!+Меню!#REF!+Меню!#REF!+Меню!#REF!</f>
        <v>#REF!</v>
      </c>
      <c r="U8" s="35" t="e">
        <f>Меню!#REF!+Меню!#REF!+Меню!#REF!+Меню!#REF!</f>
        <v>#REF!</v>
      </c>
      <c r="V8" s="28" t="e">
        <f t="shared" ref="V8:V32" si="2">SUM(G8:U8)</f>
        <v>#REF!</v>
      </c>
      <c r="W8" s="28" t="e">
        <f t="shared" ref="W8:W32" si="3">V8/15</f>
        <v>#REF!</v>
      </c>
      <c r="X8" s="30" t="e">
        <f t="shared" ref="X8:X32" si="4">W8*100/F8</f>
        <v>#REF!</v>
      </c>
      <c r="Y8" s="32" t="e">
        <f>W8*8.7/100</f>
        <v>#REF!</v>
      </c>
      <c r="Z8" s="32" t="e">
        <f>W8*1.5/100</f>
        <v>#REF!</v>
      </c>
      <c r="AA8" s="32" t="e">
        <f>W8*47.1/100</f>
        <v>#REF!</v>
      </c>
      <c r="AB8" s="33" t="e">
        <f t="shared" si="0"/>
        <v>#REF!</v>
      </c>
    </row>
    <row r="9" spans="2:28" ht="15">
      <c r="B9" s="19">
        <v>3</v>
      </c>
      <c r="C9" s="20" t="s">
        <v>58</v>
      </c>
      <c r="D9" s="28">
        <v>15</v>
      </c>
      <c r="E9" s="28">
        <v>75</v>
      </c>
      <c r="F9" s="34">
        <f t="shared" si="1"/>
        <v>11.25</v>
      </c>
      <c r="G9" s="35"/>
      <c r="H9" s="35" t="e">
        <f>Меню!#REF!+Меню!#REF!+Меню!#REF!</f>
        <v>#REF!</v>
      </c>
      <c r="I9" s="35" t="e">
        <f>Меню!#REF!+Меню!#REF!</f>
        <v>#REF!</v>
      </c>
      <c r="J9" s="36"/>
      <c r="K9" s="35" t="e">
        <f>Меню!#REF!</f>
        <v>#REF!</v>
      </c>
      <c r="L9" s="35" t="e">
        <f>Меню!#REF!</f>
        <v>#REF!</v>
      </c>
      <c r="M9" s="35" t="e">
        <f>Меню!#REF!+Меню!#REF!+Меню!#REF!</f>
        <v>#REF!</v>
      </c>
      <c r="N9" s="87"/>
      <c r="O9" s="35" t="e">
        <f>Меню!#REF!+Меню!#REF!+Меню!#REF!</f>
        <v>#REF!</v>
      </c>
      <c r="P9" s="35" t="e">
        <f>Меню!#REF!+Меню!#REF!</f>
        <v>#REF!</v>
      </c>
      <c r="Q9" s="35"/>
      <c r="R9" s="35" t="e">
        <f>Меню!#REF!+Меню!#REF!</f>
        <v>#REF!</v>
      </c>
      <c r="S9" s="35"/>
      <c r="T9" s="35" t="e">
        <f>Меню!#REF!</f>
        <v>#REF!</v>
      </c>
      <c r="U9" s="35" t="e">
        <f>Меню!#REF!+Меню!#REF!</f>
        <v>#REF!</v>
      </c>
      <c r="V9" s="28" t="e">
        <f t="shared" si="2"/>
        <v>#REF!</v>
      </c>
      <c r="W9" s="28" t="e">
        <f t="shared" si="3"/>
        <v>#REF!</v>
      </c>
      <c r="X9" s="30" t="e">
        <f t="shared" si="4"/>
        <v>#REF!</v>
      </c>
      <c r="Y9" s="31" t="e">
        <f>W9*10.6/100</f>
        <v>#REF!</v>
      </c>
      <c r="Z9" s="31" t="e">
        <f>W9*1.3/100</f>
        <v>#REF!</v>
      </c>
      <c r="AA9" s="32" t="e">
        <f>W9*68.9/100</f>
        <v>#REF!</v>
      </c>
      <c r="AB9" s="33" t="e">
        <f t="shared" si="0"/>
        <v>#REF!</v>
      </c>
    </row>
    <row r="10" spans="2:28" ht="13.5" customHeight="1">
      <c r="B10" s="19">
        <v>4</v>
      </c>
      <c r="C10" s="21" t="s">
        <v>33</v>
      </c>
      <c r="D10" s="28">
        <v>45.4</v>
      </c>
      <c r="E10" s="28">
        <v>75</v>
      </c>
      <c r="F10" s="34">
        <f t="shared" si="1"/>
        <v>34.049999999999997</v>
      </c>
      <c r="G10" s="35" t="e">
        <f>Меню!C29+Меню!#REF!</f>
        <v>#REF!</v>
      </c>
      <c r="H10" s="35" t="e">
        <f>Меню!#REF!+Меню!#REF!</f>
        <v>#REF!</v>
      </c>
      <c r="I10" s="35">
        <v>0</v>
      </c>
      <c r="J10" s="36" t="e">
        <f>Меню!#REF!</f>
        <v>#REF!</v>
      </c>
      <c r="K10" s="35" t="e">
        <f>Меню!#REF!</f>
        <v>#REF!</v>
      </c>
      <c r="L10" s="35" t="e">
        <f>Меню!#REF!+Меню!#REF!</f>
        <v>#REF!</v>
      </c>
      <c r="M10" s="35" t="e">
        <f>Меню!#REF!+Меню!#REF!</f>
        <v>#REF!</v>
      </c>
      <c r="N10" s="87" t="e">
        <f>Меню!#REF!</f>
        <v>#REF!</v>
      </c>
      <c r="O10" s="35" t="e">
        <f>Меню!#REF!</f>
        <v>#REF!</v>
      </c>
      <c r="P10" s="35" t="e">
        <f>Меню!#REF!+Меню!#REF!</f>
        <v>#REF!</v>
      </c>
      <c r="Q10" s="35">
        <v>80</v>
      </c>
      <c r="R10" s="35" t="e">
        <f>Меню!#REF!</f>
        <v>#REF!</v>
      </c>
      <c r="S10" s="35" t="e">
        <f>Меню!#REF!</f>
        <v>#REF!</v>
      </c>
      <c r="T10" s="35">
        <v>0</v>
      </c>
      <c r="U10" s="35" t="e">
        <f>Меню!#REF!+Меню!#REF!</f>
        <v>#REF!</v>
      </c>
      <c r="V10" s="28" t="e">
        <f t="shared" si="2"/>
        <v>#REF!</v>
      </c>
      <c r="W10" s="28" t="e">
        <f t="shared" si="3"/>
        <v>#REF!</v>
      </c>
      <c r="X10" s="30" t="e">
        <f t="shared" si="4"/>
        <v>#REF!</v>
      </c>
      <c r="Y10" s="31" t="e">
        <f>W10*3.2/100</f>
        <v>#REF!</v>
      </c>
      <c r="Z10" s="31" t="e">
        <f>W10*1.5/100</f>
        <v>#REF!</v>
      </c>
      <c r="AA10" s="32" t="e">
        <f>W10*48.72/100</f>
        <v>#REF!</v>
      </c>
      <c r="AB10" s="33" t="e">
        <f t="shared" si="0"/>
        <v>#REF!</v>
      </c>
    </row>
    <row r="11" spans="2:28" ht="15" customHeight="1">
      <c r="B11" s="19">
        <v>5</v>
      </c>
      <c r="C11" s="21" t="s">
        <v>34</v>
      </c>
      <c r="D11" s="28">
        <v>15</v>
      </c>
      <c r="E11" s="28">
        <v>75</v>
      </c>
      <c r="F11" s="34">
        <v>11.5</v>
      </c>
      <c r="G11" s="35" t="e">
        <f>Меню!#REF!</f>
        <v>#REF!</v>
      </c>
      <c r="H11" s="35"/>
      <c r="I11" s="29"/>
      <c r="J11" s="36" t="e">
        <f>Меню!#REF!</f>
        <v>#REF!</v>
      </c>
      <c r="K11" s="29"/>
      <c r="L11" s="29"/>
      <c r="M11" s="29"/>
      <c r="N11" s="86"/>
      <c r="O11" s="29"/>
      <c r="P11" s="29"/>
      <c r="Q11" s="29"/>
      <c r="R11" s="29" t="e">
        <f>Меню!#REF!</f>
        <v>#REF!</v>
      </c>
      <c r="S11" s="29"/>
      <c r="T11" s="29"/>
      <c r="U11" s="29"/>
      <c r="V11" s="28" t="e">
        <f t="shared" si="2"/>
        <v>#REF!</v>
      </c>
      <c r="W11" s="28" t="e">
        <f t="shared" si="3"/>
        <v>#REF!</v>
      </c>
      <c r="X11" s="30" t="e">
        <f t="shared" si="4"/>
        <v>#REF!</v>
      </c>
      <c r="Y11" s="31" t="e">
        <f>W11*10.4/100</f>
        <v>#REF!</v>
      </c>
      <c r="Z11" s="31" t="e">
        <f>W11*1.3/100</f>
        <v>#REF!</v>
      </c>
      <c r="AA11" s="32" t="e">
        <f>W11*68.4/100</f>
        <v>#REF!</v>
      </c>
      <c r="AB11" s="33" t="e">
        <f t="shared" si="0"/>
        <v>#REF!</v>
      </c>
    </row>
    <row r="12" spans="2:28" s="16" customFormat="1" ht="15">
      <c r="B12" s="24">
        <v>6</v>
      </c>
      <c r="C12" s="107" t="s">
        <v>35</v>
      </c>
      <c r="D12" s="42">
        <v>188</v>
      </c>
      <c r="E12" s="42">
        <v>75</v>
      </c>
      <c r="F12" s="43">
        <f t="shared" si="1"/>
        <v>141</v>
      </c>
      <c r="G12" s="35">
        <f>Меню!B35</f>
        <v>0.3</v>
      </c>
      <c r="H12" s="35" t="e">
        <f>Меню!#REF!+Меню!#REF!</f>
        <v>#REF!</v>
      </c>
      <c r="I12" s="35" t="e">
        <f>Меню!#REF!</f>
        <v>#REF!</v>
      </c>
      <c r="J12" s="36" t="e">
        <f>Меню!#REF!</f>
        <v>#REF!</v>
      </c>
      <c r="K12" s="35" t="e">
        <f>Меню!#REF!+Меню!#REF!</f>
        <v>#REF!</v>
      </c>
      <c r="L12" s="35" t="e">
        <f>Меню!#REF!+Меню!#REF!</f>
        <v>#REF!</v>
      </c>
      <c r="M12" s="35" t="e">
        <f>Меню!#REF!</f>
        <v>#REF!</v>
      </c>
      <c r="N12" s="35" t="e">
        <f>Меню!#REF!+Меню!#REF!</f>
        <v>#REF!</v>
      </c>
      <c r="O12" s="35" t="e">
        <f>Меню!#REF!+Меню!#REF!</f>
        <v>#REF!</v>
      </c>
      <c r="P12" s="35"/>
      <c r="Q12" s="35" t="e">
        <f>Меню!#REF!</f>
        <v>#REF!</v>
      </c>
      <c r="R12" s="35" t="e">
        <f>Меню!#REF!</f>
        <v>#REF!</v>
      </c>
      <c r="S12" s="35" t="e">
        <f>Меню!#REF!</f>
        <v>#REF!</v>
      </c>
      <c r="T12" s="35" t="e">
        <f>Меню!#REF!+Меню!#REF!</f>
        <v>#REF!</v>
      </c>
      <c r="U12" s="35" t="e">
        <f>Меню!#REF!+Меню!#REF!</f>
        <v>#REF!</v>
      </c>
      <c r="V12" s="42" t="e">
        <f t="shared" si="2"/>
        <v>#REF!</v>
      </c>
      <c r="W12" s="42" t="e">
        <f t="shared" si="3"/>
        <v>#REF!</v>
      </c>
      <c r="X12" s="30" t="e">
        <f t="shared" si="4"/>
        <v>#REF!</v>
      </c>
      <c r="Y12" s="108" t="e">
        <f>W12*2/100</f>
        <v>#REF!</v>
      </c>
      <c r="Z12" s="108" t="e">
        <f>W12*0.4/100</f>
        <v>#REF!</v>
      </c>
      <c r="AA12" s="35" t="e">
        <f>W12*16.3/100</f>
        <v>#REF!</v>
      </c>
      <c r="AB12" s="109" t="e">
        <f t="shared" si="0"/>
        <v>#REF!</v>
      </c>
    </row>
    <row r="13" spans="2:28" ht="15">
      <c r="B13" s="22">
        <v>7</v>
      </c>
      <c r="C13" s="23" t="s">
        <v>64</v>
      </c>
      <c r="D13" s="37">
        <v>280</v>
      </c>
      <c r="E13" s="28">
        <v>75</v>
      </c>
      <c r="F13" s="28">
        <f t="shared" si="1"/>
        <v>210</v>
      </c>
      <c r="G13" s="35" t="e">
        <f>Меню!#REF!+Меню!#REF!+Меню!#REF!+Меню!B36+Меню!#REF!+Меню!B37+Меню!#REF!+Меню!#REF!+Меню!B72+Меню!#REF!</f>
        <v>#REF!</v>
      </c>
      <c r="H13" s="35" t="e">
        <f>Меню!#REF!+Меню!#REF!+Меню!#REF!+Меню!#REF!+Меню!#REF!+Меню!#REF!+Меню!#REF!+Меню!#REF!+Меню!#REF!+Меню!#REF!</f>
        <v>#REF!</v>
      </c>
      <c r="I13" s="35" t="e">
        <f>Меню!#REF!+Меню!#REF!+Меню!#REF!+Меню!#REF!+Меню!#REF!+Меню!#REF!+Меню!#REF!</f>
        <v>#REF!</v>
      </c>
      <c r="J13" s="36" t="e">
        <f>Меню!#REF!+Меню!#REF!+Меню!#REF!+Меню!#REF!+Меню!#REF!+Меню!#REF!</f>
        <v>#REF!</v>
      </c>
      <c r="K13" s="35" t="e">
        <f>Меню!#REF!+Меню!#REF!+Меню!#REF!+Меню!#REF!</f>
        <v>#REF!</v>
      </c>
      <c r="L13" s="35" t="e">
        <f>Меню!#REF!+Меню!#REF!+Меню!#REF!+Меню!#REF!+Меню!#REF!+Меню!#REF!+Меню!#REF!+Меню!#REF!+Меню!#REF!+Меню!#REF!+Меню!#REF!</f>
        <v>#REF!</v>
      </c>
      <c r="M13" s="35" t="e">
        <f>Меню!#REF!+Меню!#REF!+Меню!#REF!+Меню!#REF!+Меню!#REF!+Меню!#REF!+Меню!#REF!+Меню!#REF!</f>
        <v>#REF!</v>
      </c>
      <c r="N13" s="87" t="e">
        <f>Меню!#REF!+Меню!#REF!+Меню!#REF!+Меню!#REF!+Меню!#REF!+Меню!#REF!+Меню!#REF!</f>
        <v>#REF!</v>
      </c>
      <c r="O13" s="35" t="e">
        <f>Меню!#REF!+Меню!#REF!+Меню!#REF!+Меню!#REF!+Меню!#REF!+Меню!#REF!+Меню!#REF!+Меню!#REF!+Меню!#REF!</f>
        <v>#REF!</v>
      </c>
      <c r="P13" s="35" t="e">
        <f>Меню!#REF!+Меню!#REF!+Меню!#REF!+Меню!#REF!+Меню!#REF!</f>
        <v>#REF!</v>
      </c>
      <c r="Q13" s="35" t="e">
        <f>Меню!#REF!+Меню!#REF!+Меню!#REF!+Меню!#REF!+Меню!#REF!</f>
        <v>#REF!</v>
      </c>
      <c r="R13" s="35" t="e">
        <f>Меню!#REF!+Меню!#REF!+Меню!#REF!+Меню!#REF!+Меню!#REF!</f>
        <v>#REF!</v>
      </c>
      <c r="S13" s="35" t="e">
        <f>Меню!#REF!+Меню!#REF!+Меню!#REF!+Меню!#REF!+Меню!#REF!</f>
        <v>#REF!</v>
      </c>
      <c r="T13" s="35" t="e">
        <f>Меню!#REF!+Меню!#REF!+Меню!#REF!+Меню!#REF!+Меню!#REF!+Меню!#REF!+Меню!#REF!+Меню!#REF!</f>
        <v>#REF!</v>
      </c>
      <c r="U13" s="35" t="e">
        <f>Меню!#REF!+Меню!#REF!+Меню!#REF!+Меню!#REF!+Меню!#REF!+Меню!#REF!</f>
        <v>#REF!</v>
      </c>
      <c r="V13" s="28" t="e">
        <f t="shared" si="2"/>
        <v>#REF!</v>
      </c>
      <c r="W13" s="28" t="e">
        <f t="shared" si="3"/>
        <v>#REF!</v>
      </c>
      <c r="X13" s="30" t="e">
        <f t="shared" si="4"/>
        <v>#REF!</v>
      </c>
      <c r="Y13" s="12" t="e">
        <f>W13*0.4/100</f>
        <v>#REF!</v>
      </c>
      <c r="Z13" s="12" t="e">
        <f>W13*0/100</f>
        <v>#REF!</v>
      </c>
      <c r="AA13" s="38" t="e">
        <f>W13*5.7/100</f>
        <v>#REF!</v>
      </c>
      <c r="AB13" s="39" t="e">
        <f t="shared" si="0"/>
        <v>#REF!</v>
      </c>
    </row>
    <row r="14" spans="2:28" ht="15">
      <c r="B14" s="19">
        <v>8</v>
      </c>
      <c r="C14" s="20" t="s">
        <v>36</v>
      </c>
      <c r="D14" s="28">
        <v>184.5</v>
      </c>
      <c r="E14" s="28">
        <v>75</v>
      </c>
      <c r="F14" s="28">
        <f t="shared" si="1"/>
        <v>138.375</v>
      </c>
      <c r="G14" s="35" t="e">
        <f>Меню!#REF!</f>
        <v>#REF!</v>
      </c>
      <c r="H14" s="35" t="e">
        <f>Меню!#REF!+Меню!#REF!</f>
        <v>#REF!</v>
      </c>
      <c r="I14" s="35" t="e">
        <f>Меню!#REF!+Меню!#REF!</f>
        <v>#REF!</v>
      </c>
      <c r="J14" s="36" t="e">
        <f>Меню!#REF!</f>
        <v>#REF!</v>
      </c>
      <c r="K14" s="35" t="e">
        <f>Меню!#REF!+Меню!#REF!+100</f>
        <v>#REF!</v>
      </c>
      <c r="L14" s="29" t="e">
        <f>Меню!#REF!</f>
        <v>#REF!</v>
      </c>
      <c r="M14" s="35" t="e">
        <f>Меню!#REF!+100</f>
        <v>#REF!</v>
      </c>
      <c r="N14" s="87" t="e">
        <f>Меню!#REF!+Меню!#REF!</f>
        <v>#REF!</v>
      </c>
      <c r="O14" s="35" t="e">
        <f>Меню!#REF!+Меню!#REF!</f>
        <v>#REF!</v>
      </c>
      <c r="P14" s="35" t="e">
        <f>Меню!#REF!</f>
        <v>#REF!</v>
      </c>
      <c r="Q14" s="35" t="e">
        <f>Меню!#REF!+Меню!#REF!</f>
        <v>#REF!</v>
      </c>
      <c r="R14" s="35" t="e">
        <f>Меню!#REF!</f>
        <v>#REF!</v>
      </c>
      <c r="S14" s="35" t="e">
        <f>Меню!#REF!</f>
        <v>#REF!</v>
      </c>
      <c r="T14" s="35" t="e">
        <f>Меню!#REF!+Меню!#REF!</f>
        <v>#REF!</v>
      </c>
      <c r="U14" s="35"/>
      <c r="V14" s="28" t="e">
        <f>SUM(G14:U14)</f>
        <v>#REF!</v>
      </c>
      <c r="W14" s="28" t="e">
        <f>V14/15</f>
        <v>#REF!</v>
      </c>
      <c r="X14" s="110" t="e">
        <f>W14*100/F14</f>
        <v>#REF!</v>
      </c>
      <c r="Y14" s="31" t="e">
        <f>W14*0.4/100</f>
        <v>#REF!</v>
      </c>
      <c r="Z14" s="31" t="e">
        <f>W14*0.4/100</f>
        <v>#REF!</v>
      </c>
      <c r="AA14" s="32" t="e">
        <f>W14*14.2/100</f>
        <v>#REF!</v>
      </c>
      <c r="AB14" s="33" t="e">
        <f t="shared" si="0"/>
        <v>#REF!</v>
      </c>
    </row>
    <row r="15" spans="2:28" ht="15">
      <c r="B15" s="19">
        <v>9</v>
      </c>
      <c r="C15" s="23" t="s">
        <v>37</v>
      </c>
      <c r="D15" s="37">
        <v>15</v>
      </c>
      <c r="E15" s="28">
        <v>75</v>
      </c>
      <c r="F15" s="28">
        <f t="shared" si="1"/>
        <v>11.25</v>
      </c>
      <c r="G15" s="35" t="e">
        <f>Меню!#REF!</f>
        <v>#REF!</v>
      </c>
      <c r="H15" s="29"/>
      <c r="I15" s="29"/>
      <c r="J15" s="36">
        <v>17</v>
      </c>
      <c r="K15" s="35"/>
      <c r="L15" s="35" t="e">
        <f>Меню!#REF!</f>
        <v>#REF!</v>
      </c>
      <c r="M15" s="29"/>
      <c r="N15" s="86"/>
      <c r="O15" s="35" t="e">
        <f>Меню!#REF!</f>
        <v>#REF!</v>
      </c>
      <c r="P15" s="35">
        <v>17</v>
      </c>
      <c r="Q15" s="35"/>
      <c r="R15" s="35" t="e">
        <f>Меню!#REF!</f>
        <v>#REF!</v>
      </c>
      <c r="S15" s="35" t="e">
        <f>Меню!#REF!</f>
        <v>#REF!</v>
      </c>
      <c r="T15" s="35"/>
      <c r="U15" s="29" t="e">
        <f>Меню!#REF!+Меню!#REF!</f>
        <v>#REF!</v>
      </c>
      <c r="V15" s="28" t="e">
        <f t="shared" si="2"/>
        <v>#REF!</v>
      </c>
      <c r="W15" s="28" t="e">
        <f t="shared" si="3"/>
        <v>#REF!</v>
      </c>
      <c r="X15" s="30" t="e">
        <f t="shared" si="4"/>
        <v>#REF!</v>
      </c>
      <c r="Y15" s="12" t="e">
        <f>W15*1.8/100</f>
        <v>#REF!</v>
      </c>
      <c r="Z15" s="12">
        <v>0</v>
      </c>
      <c r="AA15" s="38" t="e">
        <f>W15*69.1/100</f>
        <v>#REF!</v>
      </c>
      <c r="AB15" s="39" t="e">
        <f t="shared" si="0"/>
        <v>#REF!</v>
      </c>
    </row>
    <row r="16" spans="2:28" s="70" customFormat="1" ht="15">
      <c r="B16" s="105">
        <v>10</v>
      </c>
      <c r="C16" s="111" t="s">
        <v>38</v>
      </c>
      <c r="D16" s="102">
        <v>40</v>
      </c>
      <c r="E16" s="102">
        <v>75</v>
      </c>
      <c r="F16" s="102">
        <f t="shared" si="1"/>
        <v>30</v>
      </c>
      <c r="G16" s="100" t="e">
        <f>Меню!#REF!+Меню!#REF!+Меню!#REF!+Меню!#REF!+Меню!#REF!</f>
        <v>#REF!</v>
      </c>
      <c r="H16" s="100" t="e">
        <f>Меню!#REF!+Меню!#REF!+Меню!#REF!+Меню!#REF!</f>
        <v>#REF!</v>
      </c>
      <c r="I16" s="100" t="e">
        <f>Меню!#REF!+Меню!#REF!+Меню!#REF!+Меню!#REF!+Меню!#REF!</f>
        <v>#REF!</v>
      </c>
      <c r="J16" s="101" t="e">
        <f>Меню!#REF!+Меню!#REF!+Меню!#REF!+Меню!#REF!+Меню!#REF!</f>
        <v>#REF!</v>
      </c>
      <c r="K16" s="100" t="e">
        <f>Меню!#REF!+Меню!#REF!+Меню!#REF!+Меню!#REF!+Меню!#REF!</f>
        <v>#REF!</v>
      </c>
      <c r="L16" s="100" t="e">
        <f>Меню!#REF!+Меню!#REF!+Меню!#REF!+Меню!#REF!</f>
        <v>#REF!</v>
      </c>
      <c r="M16" s="100" t="e">
        <f>Меню!#REF!+Меню!#REF!+Меню!#REF!+Меню!#REF!+Меню!#REF!</f>
        <v>#REF!</v>
      </c>
      <c r="N16" s="100" t="e">
        <f>Меню!#REF!+Меню!#REF!+Меню!#REF!+Меню!#REF!+Меню!#REF!+Меню!#REF!</f>
        <v>#REF!</v>
      </c>
      <c r="O16" s="100" t="e">
        <f>Меню!#REF!+Меню!#REF!+Меню!#REF!</f>
        <v>#REF!</v>
      </c>
      <c r="P16" s="100" t="e">
        <f>Меню!#REF!+Меню!#REF!+Меню!#REF!+Меню!#REF!</f>
        <v>#REF!</v>
      </c>
      <c r="Q16" s="100" t="e">
        <f>Меню!#REF!+Меню!#REF!+Меню!#REF!+Меню!#REF!+Меню!#REF!</f>
        <v>#REF!</v>
      </c>
      <c r="R16" s="100" t="e">
        <f>Меню!#REF!+Меню!#REF!+Меню!#REF!+Меню!#REF!+Меню!#REF!+Меню!#REF!</f>
        <v>#REF!</v>
      </c>
      <c r="S16" s="100" t="e">
        <f>Меню!#REF!+Меню!#REF!+Меню!#REF!+Меню!#REF!</f>
        <v>#REF!</v>
      </c>
      <c r="T16" s="100" t="e">
        <f>Меню!#REF!+Меню!#REF!+Меню!#REF!+Меню!#REF!+Меню!#REF!</f>
        <v>#REF!</v>
      </c>
      <c r="U16" s="100" t="e">
        <f>Меню!#REF!+Меню!#REF!+Меню!#REF!+Меню!#REF!+Меню!#REF!+Меню!#REF!</f>
        <v>#REF!</v>
      </c>
      <c r="V16" s="102" t="e">
        <f t="shared" si="2"/>
        <v>#REF!</v>
      </c>
      <c r="W16" s="102" t="e">
        <f t="shared" si="3"/>
        <v>#REF!</v>
      </c>
      <c r="X16" s="102" t="e">
        <f t="shared" si="4"/>
        <v>#REF!</v>
      </c>
      <c r="Y16" s="103">
        <v>0</v>
      </c>
      <c r="Z16" s="103">
        <v>0</v>
      </c>
      <c r="AA16" s="100" t="e">
        <f>W16*59.8/100</f>
        <v>#REF!</v>
      </c>
      <c r="AB16" s="104" t="e">
        <f t="shared" si="0"/>
        <v>#REF!</v>
      </c>
    </row>
    <row r="17" spans="2:28" s="70" customFormat="1" ht="15" customHeight="1">
      <c r="B17" s="105">
        <f t="shared" ref="B17:B32" si="5">B16+1</f>
        <v>11</v>
      </c>
      <c r="C17" s="111" t="s">
        <v>39</v>
      </c>
      <c r="D17" s="102">
        <v>10</v>
      </c>
      <c r="E17" s="102">
        <v>75</v>
      </c>
      <c r="F17" s="106">
        <f t="shared" si="1"/>
        <v>7.5</v>
      </c>
      <c r="G17" s="100"/>
      <c r="H17" s="100"/>
      <c r="I17" s="100"/>
      <c r="J17" s="101" t="e">
        <f>Меню!#REF!</f>
        <v>#REF!</v>
      </c>
      <c r="K17" s="100"/>
      <c r="L17" s="100"/>
      <c r="M17" s="100"/>
      <c r="N17" s="100"/>
      <c r="O17" s="100" t="e">
        <f>Меню!#REF!</f>
        <v>#REF!</v>
      </c>
      <c r="P17" s="100"/>
      <c r="Q17" s="100"/>
      <c r="R17" s="100" t="e">
        <f>Меню!#REF!</f>
        <v>#REF!</v>
      </c>
      <c r="S17" s="100"/>
      <c r="T17" s="100"/>
      <c r="U17" s="100" t="e">
        <f>Меню!#REF!</f>
        <v>#REF!</v>
      </c>
      <c r="V17" s="102" t="e">
        <f t="shared" si="2"/>
        <v>#REF!</v>
      </c>
      <c r="W17" s="102" t="e">
        <f t="shared" si="3"/>
        <v>#REF!</v>
      </c>
      <c r="X17" s="102" t="e">
        <f t="shared" si="4"/>
        <v>#REF!</v>
      </c>
      <c r="Y17" s="112" t="e">
        <f>W17*3.7/100</f>
        <v>#REF!</v>
      </c>
      <c r="Z17" s="112" t="e">
        <f>W17*1.2/100</f>
        <v>#REF!</v>
      </c>
      <c r="AA17" s="112" t="e">
        <f>W17*47/100</f>
        <v>#REF!</v>
      </c>
      <c r="AB17" s="113" t="e">
        <f t="shared" si="0"/>
        <v>#REF!</v>
      </c>
    </row>
    <row r="18" spans="2:28" ht="15">
      <c r="B18" s="19">
        <f t="shared" si="5"/>
        <v>12</v>
      </c>
      <c r="C18" s="23" t="s">
        <v>40</v>
      </c>
      <c r="D18" s="40">
        <v>0.4</v>
      </c>
      <c r="E18" s="28">
        <v>75</v>
      </c>
      <c r="F18" s="34">
        <v>0.25</v>
      </c>
      <c r="G18" s="35"/>
      <c r="H18" s="35" t="e">
        <f>Меню!#REF!+Меню!#REF!</f>
        <v>#REF!</v>
      </c>
      <c r="I18" s="35">
        <v>0.6</v>
      </c>
      <c r="J18" s="36"/>
      <c r="K18" s="35" t="e">
        <f>Меню!#REF!</f>
        <v>#REF!</v>
      </c>
      <c r="L18" s="35"/>
      <c r="M18" s="35"/>
      <c r="N18" s="87" t="e">
        <f>Меню!#REF!</f>
        <v>#REF!</v>
      </c>
      <c r="O18" s="35"/>
      <c r="P18" s="35"/>
      <c r="Q18" s="35"/>
      <c r="R18" s="35"/>
      <c r="S18" s="35" t="e">
        <f>Меню!#REF!</f>
        <v>#REF!</v>
      </c>
      <c r="T18" s="35"/>
      <c r="U18" s="35" t="e">
        <f>Меню!#REF!</f>
        <v>#REF!</v>
      </c>
      <c r="V18" s="28" t="e">
        <f t="shared" si="2"/>
        <v>#REF!</v>
      </c>
      <c r="W18" s="99" t="e">
        <f t="shared" si="3"/>
        <v>#REF!</v>
      </c>
      <c r="X18" s="30" t="e">
        <f t="shared" si="4"/>
        <v>#REF!</v>
      </c>
      <c r="Y18" s="12" t="e">
        <f>W18*20/100</f>
        <v>#REF!</v>
      </c>
      <c r="Z18" s="12" t="e">
        <f>W18*5.1/100</f>
        <v>#REF!</v>
      </c>
      <c r="AA18" s="38" t="e">
        <f>W18*4/100</f>
        <v>#REF!</v>
      </c>
      <c r="AB18" s="39" t="e">
        <f>Y18*4+Z18*9+AA18*4</f>
        <v>#REF!</v>
      </c>
    </row>
    <row r="19" spans="2:28" s="16" customFormat="1" ht="12" customHeight="1">
      <c r="B19" s="24">
        <f t="shared" si="5"/>
        <v>13</v>
      </c>
      <c r="C19" s="25" t="s">
        <v>41</v>
      </c>
      <c r="D19" s="41">
        <v>69.5</v>
      </c>
      <c r="E19" s="42">
        <v>75</v>
      </c>
      <c r="F19" s="43">
        <v>51</v>
      </c>
      <c r="G19" s="29" t="e">
        <f>Меню!#REF!+Меню!B49</f>
        <v>#REF!</v>
      </c>
      <c r="H19" s="35" t="e">
        <f>Меню!#REF!</f>
        <v>#REF!</v>
      </c>
      <c r="I19" s="35" t="e">
        <f>Меню!#REF!</f>
        <v>#REF!</v>
      </c>
      <c r="J19" s="44" t="e">
        <f>Меню!#REF!</f>
        <v>#REF!</v>
      </c>
      <c r="K19" s="35" t="e">
        <f>Меню!#REF!</f>
        <v>#REF!</v>
      </c>
      <c r="L19" s="35" t="e">
        <f>Меню!#REF!</f>
        <v>#REF!</v>
      </c>
      <c r="M19" s="35" t="e">
        <f>Меню!#REF!</f>
        <v>#REF!</v>
      </c>
      <c r="N19" s="86" t="e">
        <f>Меню!#REF!+Меню!#REF!</f>
        <v>#REF!</v>
      </c>
      <c r="O19" s="35" t="e">
        <f>Меню!#REF!+Меню!#REF!</f>
        <v>#REF!</v>
      </c>
      <c r="P19" s="35"/>
      <c r="Q19" s="35" t="e">
        <f>Меню!#REF!</f>
        <v>#REF!</v>
      </c>
      <c r="R19" s="35"/>
      <c r="S19" s="35" t="e">
        <f>Меню!#REF!</f>
        <v>#REF!</v>
      </c>
      <c r="T19" s="35" t="e">
        <f>Меню!#REF!</f>
        <v>#REF!</v>
      </c>
      <c r="U19" s="35" t="e">
        <f>Меню!#REF!</f>
        <v>#REF!</v>
      </c>
      <c r="V19" s="42" t="e">
        <f t="shared" si="2"/>
        <v>#REF!</v>
      </c>
      <c r="W19" s="28" t="e">
        <f t="shared" si="3"/>
        <v>#REF!</v>
      </c>
      <c r="X19" s="30" t="e">
        <f t="shared" si="4"/>
        <v>#REF!</v>
      </c>
      <c r="Y19" s="45" t="e">
        <f>W19*12.4/100</f>
        <v>#REF!</v>
      </c>
      <c r="Z19" s="45" t="e">
        <f>W19*15.2/100</f>
        <v>#REF!</v>
      </c>
      <c r="AA19" s="46">
        <v>0</v>
      </c>
      <c r="AB19" s="47" t="e">
        <f>Y19*4+Z19*9+AA19*4</f>
        <v>#REF!</v>
      </c>
    </row>
    <row r="20" spans="2:28" s="16" customFormat="1" ht="28.5" customHeight="1">
      <c r="B20" s="24">
        <f t="shared" si="5"/>
        <v>14</v>
      </c>
      <c r="C20" s="25" t="s">
        <v>42</v>
      </c>
      <c r="D20" s="41">
        <v>35</v>
      </c>
      <c r="E20" s="42">
        <v>75</v>
      </c>
      <c r="F20" s="43">
        <v>25.5</v>
      </c>
      <c r="G20" s="35"/>
      <c r="H20" s="35" t="e">
        <f>Меню!#REF!</f>
        <v>#REF!</v>
      </c>
      <c r="I20" s="35"/>
      <c r="J20" s="36" t="e">
        <f>Меню!#REF!</f>
        <v>#REF!</v>
      </c>
      <c r="K20" s="35"/>
      <c r="L20" s="35" t="e">
        <f>Меню!#REF!</f>
        <v>#REF!</v>
      </c>
      <c r="M20" s="35" t="e">
        <f>Меню!#REF!</f>
        <v>#REF!</v>
      </c>
      <c r="N20" s="87" t="e">
        <f>Меню!#REF!</f>
        <v>#REF!</v>
      </c>
      <c r="O20" s="35">
        <v>0</v>
      </c>
      <c r="P20" s="35" t="e">
        <f>Меню!#REF!</f>
        <v>#REF!</v>
      </c>
      <c r="Q20" s="35"/>
      <c r="R20" s="35" t="e">
        <f>Меню!#REF!</f>
        <v>#REF!</v>
      </c>
      <c r="S20" s="35"/>
      <c r="T20" s="35"/>
      <c r="U20" s="35" t="e">
        <f>Меню!#REF!</f>
        <v>#REF!</v>
      </c>
      <c r="V20" s="42" t="e">
        <f t="shared" si="2"/>
        <v>#REF!</v>
      </c>
      <c r="W20" s="28" t="e">
        <f t="shared" si="3"/>
        <v>#REF!</v>
      </c>
      <c r="X20" s="30" t="e">
        <f t="shared" si="4"/>
        <v>#REF!</v>
      </c>
      <c r="Y20" s="45" t="e">
        <f>W20*16.7/100</f>
        <v>#REF!</v>
      </c>
      <c r="Z20" s="45" t="e">
        <f>W20*16.1/100</f>
        <v>#REF!</v>
      </c>
      <c r="AA20" s="45" t="e">
        <f>W20*0.5/100</f>
        <v>#REF!</v>
      </c>
      <c r="AB20" s="47" t="e">
        <f>Y20*4+Z20*9+AA20*4</f>
        <v>#REF!</v>
      </c>
    </row>
    <row r="21" spans="2:28" s="16" customFormat="1" ht="15">
      <c r="B21" s="24">
        <f t="shared" si="5"/>
        <v>15</v>
      </c>
      <c r="C21" s="26" t="s">
        <v>43</v>
      </c>
      <c r="D21" s="17">
        <v>14.7</v>
      </c>
      <c r="E21" s="42">
        <v>75</v>
      </c>
      <c r="F21" s="43">
        <f t="shared" si="1"/>
        <v>11.025</v>
      </c>
      <c r="G21" s="35"/>
      <c r="H21" s="35"/>
      <c r="I21" s="35"/>
      <c r="J21" s="36"/>
      <c r="K21" s="35"/>
      <c r="L21" s="35"/>
      <c r="M21" s="35"/>
      <c r="N21" s="87"/>
      <c r="O21" s="35"/>
      <c r="P21" s="35"/>
      <c r="Q21" s="35"/>
      <c r="R21" s="35"/>
      <c r="S21" s="35"/>
      <c r="T21" s="35"/>
      <c r="U21" s="35"/>
      <c r="V21" s="42">
        <f t="shared" si="2"/>
        <v>0</v>
      </c>
      <c r="W21" s="28">
        <f t="shared" si="3"/>
        <v>0</v>
      </c>
      <c r="X21" s="30">
        <f t="shared" si="4"/>
        <v>0</v>
      </c>
      <c r="Y21" s="45">
        <f>W21*16.4/100</f>
        <v>0</v>
      </c>
      <c r="Z21" s="45">
        <f>W21*15.2/100</f>
        <v>0</v>
      </c>
      <c r="AA21" s="46">
        <v>0</v>
      </c>
      <c r="AB21" s="47">
        <f>SUM(Y21*4+Z21*9+AA21*4)</f>
        <v>0</v>
      </c>
    </row>
    <row r="22" spans="2:28" s="16" customFormat="1" ht="15">
      <c r="B22" s="24">
        <f t="shared" si="5"/>
        <v>16</v>
      </c>
      <c r="C22" s="26" t="s">
        <v>44</v>
      </c>
      <c r="D22" s="41">
        <v>57.5</v>
      </c>
      <c r="E22" s="42">
        <v>75</v>
      </c>
      <c r="F22" s="43">
        <f t="shared" si="1"/>
        <v>43.125</v>
      </c>
      <c r="G22" s="35"/>
      <c r="H22" s="29"/>
      <c r="I22" s="29" t="e">
        <f>Меню!#REF!</f>
        <v>#REF!</v>
      </c>
      <c r="J22" s="36"/>
      <c r="K22" s="29" t="e">
        <f>Меню!#REF!+Меню!#REF!</f>
        <v>#REF!</v>
      </c>
      <c r="L22" s="29"/>
      <c r="M22" s="29"/>
      <c r="N22" s="87"/>
      <c r="O22" s="35"/>
      <c r="P22" s="35"/>
      <c r="Q22" s="35" t="e">
        <f>Меню!#REF!</f>
        <v>#REF!</v>
      </c>
      <c r="R22" s="35"/>
      <c r="S22" s="35" t="e">
        <f>Меню!#REF!</f>
        <v>#REF!</v>
      </c>
      <c r="T22" s="35"/>
      <c r="U22" s="29" t="e">
        <f>Меню!#REF!</f>
        <v>#REF!</v>
      </c>
      <c r="V22" s="42" t="e">
        <f t="shared" si="2"/>
        <v>#REF!</v>
      </c>
      <c r="W22" s="28" t="e">
        <f t="shared" si="3"/>
        <v>#REF!</v>
      </c>
      <c r="X22" s="30" t="e">
        <f t="shared" si="4"/>
        <v>#REF!</v>
      </c>
      <c r="Y22" s="45" t="e">
        <f>W22*13.1/100</f>
        <v>#REF!</v>
      </c>
      <c r="Z22" s="45" t="e">
        <f>W22*2.9/100</f>
        <v>#REF!</v>
      </c>
      <c r="AA22" s="46">
        <v>0</v>
      </c>
      <c r="AB22" s="47" t="e">
        <f t="shared" ref="AB22:AB26" si="6">Y22*4+Z22*9+AA22*4</f>
        <v>#REF!</v>
      </c>
    </row>
    <row r="23" spans="2:28" s="16" customFormat="1" ht="15.75" customHeight="1">
      <c r="B23" s="24">
        <f t="shared" si="5"/>
        <v>17</v>
      </c>
      <c r="C23" s="25" t="s">
        <v>65</v>
      </c>
      <c r="D23" s="41">
        <v>300</v>
      </c>
      <c r="E23" s="42">
        <v>75</v>
      </c>
      <c r="F23" s="42">
        <f t="shared" si="1"/>
        <v>225</v>
      </c>
      <c r="G23" s="35" t="e">
        <f>Меню!C31+Меню!#REF!+Меню!C75+Меню!#REF!</f>
        <v>#REF!</v>
      </c>
      <c r="H23" s="35" t="e">
        <f>Меню!#REF!+Меню!#REF!+Меню!#REF!</f>
        <v>#REF!</v>
      </c>
      <c r="I23" s="35" t="e">
        <f>Меню!#REF!+Меню!#REF!+Меню!#REF!</f>
        <v>#REF!</v>
      </c>
      <c r="J23" s="36" t="e">
        <f>Меню!#REF!+Меню!#REF!</f>
        <v>#REF!</v>
      </c>
      <c r="K23" s="35" t="e">
        <f>Меню!#REF!</f>
        <v>#REF!</v>
      </c>
      <c r="L23" s="35" t="e">
        <f>Меню!#REF!+Меню!#REF!</f>
        <v>#REF!</v>
      </c>
      <c r="M23" s="35" t="e">
        <f>Меню!#REF!+Меню!#REF!+Меню!#REF!+Меню!#REF!</f>
        <v>#REF!</v>
      </c>
      <c r="N23" s="87" t="e">
        <f>Меню!#REF!+Меню!#REF!</f>
        <v>#REF!</v>
      </c>
      <c r="O23" s="35" t="e">
        <f>Меню!#REF!+Меню!#REF!+Меню!#REF!</f>
        <v>#REF!</v>
      </c>
      <c r="P23" s="35" t="e">
        <f>Меню!#REF!+Меню!#REF!+Меню!#REF!+Меню!#REF!</f>
        <v>#REF!</v>
      </c>
      <c r="Q23" s="35" t="e">
        <f>Меню!#REF!+Меню!#REF!+Меню!#REF!+Меню!#REF!</f>
        <v>#REF!</v>
      </c>
      <c r="R23" s="35" t="e">
        <f>Меню!#REF!+Меню!#REF!</f>
        <v>#REF!</v>
      </c>
      <c r="S23" s="35" t="e">
        <f>Меню!#REF!+Меню!#REF!+Меню!#REF!</f>
        <v>#REF!</v>
      </c>
      <c r="T23" s="35" t="e">
        <f>Меню!#REF!+Меню!#REF!</f>
        <v>#REF!</v>
      </c>
      <c r="U23" s="35" t="e">
        <f>Меню!#REF!+Меню!#REF!+Меню!#REF!</f>
        <v>#REF!</v>
      </c>
      <c r="V23" s="42" t="e">
        <f t="shared" si="2"/>
        <v>#REF!</v>
      </c>
      <c r="W23" s="28" t="e">
        <f t="shared" si="3"/>
        <v>#REF!</v>
      </c>
      <c r="X23" s="30" t="e">
        <f t="shared" si="4"/>
        <v>#REF!</v>
      </c>
      <c r="Y23" s="45" t="e">
        <f>W23*2/100</f>
        <v>#REF!</v>
      </c>
      <c r="Z23" s="45" t="e">
        <f>W23*3.2/100</f>
        <v>#REF!</v>
      </c>
      <c r="AA23" s="46" t="e">
        <f>W23*4.7/100</f>
        <v>#REF!</v>
      </c>
      <c r="AB23" s="47" t="e">
        <f t="shared" si="6"/>
        <v>#REF!</v>
      </c>
    </row>
    <row r="24" spans="2:28" s="16" customFormat="1" ht="12.75" customHeight="1">
      <c r="B24" s="24">
        <v>18</v>
      </c>
      <c r="C24" s="26" t="s">
        <v>45</v>
      </c>
      <c r="D24" s="41">
        <v>49.5</v>
      </c>
      <c r="E24" s="42">
        <v>75</v>
      </c>
      <c r="F24" s="43">
        <f t="shared" si="1"/>
        <v>37.125</v>
      </c>
      <c r="G24" s="29"/>
      <c r="H24" s="35" t="e">
        <f>Меню!#REF!</f>
        <v>#REF!</v>
      </c>
      <c r="I24" s="29"/>
      <c r="J24" s="44"/>
      <c r="K24" s="35" t="e">
        <f>Меню!#REF!</f>
        <v>#REF!</v>
      </c>
      <c r="L24" s="35"/>
      <c r="M24" s="35" t="e">
        <f>Меню!#REF!</f>
        <v>#REF!</v>
      </c>
      <c r="N24" s="87"/>
      <c r="O24" s="35"/>
      <c r="P24" s="35" t="e">
        <f>Меню!#REF!</f>
        <v>#REF!</v>
      </c>
      <c r="Q24" s="35"/>
      <c r="R24" s="35" t="e">
        <f>Меню!#REF!</f>
        <v>#REF!</v>
      </c>
      <c r="S24" s="35"/>
      <c r="T24" s="35"/>
      <c r="U24" s="35" t="e">
        <f>Меню!#REF!</f>
        <v>#REF!</v>
      </c>
      <c r="V24" s="42" t="e">
        <f t="shared" si="2"/>
        <v>#REF!</v>
      </c>
      <c r="W24" s="28" t="e">
        <f t="shared" si="3"/>
        <v>#REF!</v>
      </c>
      <c r="X24" s="30" t="e">
        <f t="shared" si="4"/>
        <v>#REF!</v>
      </c>
      <c r="Y24" s="45" t="e">
        <f>W24*12.7/100</f>
        <v>#REF!</v>
      </c>
      <c r="Z24" s="45" t="e">
        <f>W24*9/100</f>
        <v>#REF!</v>
      </c>
      <c r="AA24" s="46" t="e">
        <f>W24*2/100</f>
        <v>#REF!</v>
      </c>
      <c r="AB24" s="47" t="e">
        <f t="shared" si="6"/>
        <v>#REF!</v>
      </c>
    </row>
    <row r="25" spans="2:28" s="16" customFormat="1" ht="15">
      <c r="B25" s="24">
        <f t="shared" si="5"/>
        <v>19</v>
      </c>
      <c r="C25" s="26" t="s">
        <v>46</v>
      </c>
      <c r="D25" s="41">
        <v>10</v>
      </c>
      <c r="E25" s="42">
        <v>75</v>
      </c>
      <c r="F25" s="43">
        <f t="shared" si="1"/>
        <v>7.5</v>
      </c>
      <c r="G25" s="35" t="e">
        <f>Меню!#REF!+Меню!C46</f>
        <v>#REF!</v>
      </c>
      <c r="H25" s="35"/>
      <c r="I25" s="35" t="e">
        <f>Меню!#REF!+Меню!#REF!</f>
        <v>#REF!</v>
      </c>
      <c r="J25" s="44" t="e">
        <f>Меню!#REF!</f>
        <v>#REF!</v>
      </c>
      <c r="K25" s="29"/>
      <c r="L25" s="35" t="e">
        <f>Меню!#REF!</f>
        <v>#REF!</v>
      </c>
      <c r="M25" s="35"/>
      <c r="N25" s="87" t="e">
        <f>Меню!#REF!+Меню!#REF!</f>
        <v>#REF!</v>
      </c>
      <c r="O25" s="35" t="e">
        <f>Меню!#REF!+Меню!#REF!</f>
        <v>#REF!</v>
      </c>
      <c r="P25" s="35"/>
      <c r="Q25" s="35" t="e">
        <f>Меню!#REF!+Меню!#REF!</f>
        <v>#REF!</v>
      </c>
      <c r="R25" s="35" t="e">
        <f>Меню!#REF!</f>
        <v>#REF!</v>
      </c>
      <c r="S25" s="35" t="e">
        <f>Меню!#REF!</f>
        <v>#REF!</v>
      </c>
      <c r="T25" s="35"/>
      <c r="U25" s="35" t="e">
        <f>Меню!#REF!</f>
        <v>#REF!</v>
      </c>
      <c r="V25" s="42" t="e">
        <f t="shared" si="2"/>
        <v>#REF!</v>
      </c>
      <c r="W25" s="28" t="e">
        <f t="shared" si="3"/>
        <v>#REF!</v>
      </c>
      <c r="X25" s="30" t="e">
        <f t="shared" si="4"/>
        <v>#REF!</v>
      </c>
      <c r="Y25" s="45" t="e">
        <f>W25*2.6/100</f>
        <v>#REF!</v>
      </c>
      <c r="Z25" s="45" t="e">
        <f>W25*25/100</f>
        <v>#REF!</v>
      </c>
      <c r="AA25" s="46" t="e">
        <f>W25*2.7/100</f>
        <v>#REF!</v>
      </c>
      <c r="AB25" s="47" t="e">
        <f t="shared" si="6"/>
        <v>#REF!</v>
      </c>
    </row>
    <row r="26" spans="2:28" s="16" customFormat="1" ht="13.5" customHeight="1">
      <c r="B26" s="24">
        <f t="shared" si="5"/>
        <v>20</v>
      </c>
      <c r="C26" s="25" t="s">
        <v>47</v>
      </c>
      <c r="D26" s="17">
        <v>9.8000000000000007</v>
      </c>
      <c r="E26" s="42">
        <v>75</v>
      </c>
      <c r="F26" s="43">
        <f t="shared" si="1"/>
        <v>7.35</v>
      </c>
      <c r="G26" s="35">
        <f>Меню!C15</f>
        <v>10</v>
      </c>
      <c r="H26" s="35" t="e">
        <f>Меню!#REF!</f>
        <v>#REF!</v>
      </c>
      <c r="I26" s="35" t="e">
        <f>Меню!#REF!</f>
        <v>#REF!</v>
      </c>
      <c r="J26" s="36"/>
      <c r="K26" s="35" t="e">
        <f>Меню!#REF!+Меню!#REF!</f>
        <v>#REF!</v>
      </c>
      <c r="L26" s="35" t="e">
        <f>Меню!#REF!</f>
        <v>#REF!</v>
      </c>
      <c r="M26" s="35"/>
      <c r="N26" s="87"/>
      <c r="O26" s="35"/>
      <c r="P26" s="35" t="e">
        <f>Меню!#REF!</f>
        <v>#REF!</v>
      </c>
      <c r="Q26" s="35"/>
      <c r="R26" s="35"/>
      <c r="S26" s="35" t="e">
        <f>Меню!#REF!</f>
        <v>#REF!</v>
      </c>
      <c r="T26" s="35"/>
      <c r="U26" s="35"/>
      <c r="V26" s="42" t="e">
        <f t="shared" si="2"/>
        <v>#REF!</v>
      </c>
      <c r="W26" s="28" t="e">
        <f t="shared" si="3"/>
        <v>#REF!</v>
      </c>
      <c r="X26" s="30" t="e">
        <f t="shared" si="4"/>
        <v>#REF!</v>
      </c>
      <c r="Y26" s="48" t="e">
        <f>W26*25/100</f>
        <v>#REF!</v>
      </c>
      <c r="Z26" s="48" t="e">
        <f>W26*15/100</f>
        <v>#REF!</v>
      </c>
      <c r="AA26" s="49">
        <v>0</v>
      </c>
      <c r="AB26" s="50" t="e">
        <f t="shared" si="6"/>
        <v>#REF!</v>
      </c>
    </row>
    <row r="27" spans="2:28" s="16" customFormat="1" ht="12" customHeight="1">
      <c r="B27" s="24">
        <f t="shared" si="5"/>
        <v>21</v>
      </c>
      <c r="C27" s="26" t="s">
        <v>48</v>
      </c>
      <c r="D27" s="41">
        <v>30</v>
      </c>
      <c r="E27" s="42">
        <v>75</v>
      </c>
      <c r="F27" s="43">
        <v>22</v>
      </c>
      <c r="G27" s="35" t="e">
        <f>Меню!#REF!+Меню!#REF!+Меню!C45</f>
        <v>#REF!</v>
      </c>
      <c r="H27" s="35" t="e">
        <f>Меню!#REF!+Меню!#REF!+Меню!#REF!+Меню!#REF!</f>
        <v>#REF!</v>
      </c>
      <c r="I27" s="35" t="e">
        <f>Меню!#REF!+Меню!#REF!+Меню!#REF!</f>
        <v>#REF!</v>
      </c>
      <c r="J27" s="36" t="e">
        <f>Меню!#REF!+Меню!#REF!+Меню!#REF!+Меню!#REF!+Меню!#REF!</f>
        <v>#REF!</v>
      </c>
      <c r="K27" s="35" t="e">
        <f>Меню!#REF!+Меню!#REF!+Меню!#REF!</f>
        <v>#REF!</v>
      </c>
      <c r="L27" s="35" t="e">
        <f>Меню!#REF!+Меню!#REF!</f>
        <v>#REF!</v>
      </c>
      <c r="M27" s="35" t="e">
        <f>Меню!#REF!+Меню!#REF!+Меню!#REF!</f>
        <v>#REF!</v>
      </c>
      <c r="N27" s="87" t="e">
        <f>Меню!#REF!+Меню!#REF!+Меню!#REF!</f>
        <v>#REF!</v>
      </c>
      <c r="O27" s="35" t="e">
        <f>Меню!#REF!+Меню!#REF!</f>
        <v>#REF!</v>
      </c>
      <c r="P27" s="35" t="e">
        <f>Меню!#REF!+Меню!#REF!</f>
        <v>#REF!</v>
      </c>
      <c r="Q27" s="35" t="e">
        <f>Меню!#REF!+Меню!#REF!+Меню!#REF!+Меню!#REF!</f>
        <v>#REF!</v>
      </c>
      <c r="R27" s="35" t="e">
        <f>Меню!#REF!+Меню!#REF!+Меню!#REF!+Меню!#REF!</f>
        <v>#REF!</v>
      </c>
      <c r="S27" s="35" t="e">
        <f>Меню!#REF!</f>
        <v>#REF!</v>
      </c>
      <c r="T27" s="35" t="e">
        <f>Меню!#REF!+Меню!#REF!</f>
        <v>#REF!</v>
      </c>
      <c r="U27" s="35" t="e">
        <f>Меню!#REF!+Меню!#REF!+Меню!#REF!+Меню!#REF!</f>
        <v>#REF!</v>
      </c>
      <c r="V27" s="42" t="e">
        <f t="shared" si="2"/>
        <v>#REF!</v>
      </c>
      <c r="W27" s="28" t="e">
        <f t="shared" si="3"/>
        <v>#REF!</v>
      </c>
      <c r="X27" s="30" t="e">
        <f t="shared" si="4"/>
        <v>#REF!</v>
      </c>
      <c r="Y27" s="45" t="e">
        <f>W27*0.8/100</f>
        <v>#REF!</v>
      </c>
      <c r="Z27" s="46" t="e">
        <f>W27*72.5/100</f>
        <v>#REF!</v>
      </c>
      <c r="AA27" s="46" t="e">
        <f>W27*1.3/100</f>
        <v>#REF!</v>
      </c>
      <c r="AB27" s="47" t="e">
        <f>SUM(Y27*4+Z27*9+AA27*4)</f>
        <v>#REF!</v>
      </c>
    </row>
    <row r="28" spans="2:28" s="16" customFormat="1" ht="12" customHeight="1">
      <c r="B28" s="24">
        <f t="shared" si="5"/>
        <v>22</v>
      </c>
      <c r="C28" s="26" t="s">
        <v>49</v>
      </c>
      <c r="D28" s="41">
        <v>15</v>
      </c>
      <c r="E28" s="42">
        <v>75</v>
      </c>
      <c r="F28" s="43">
        <f t="shared" si="1"/>
        <v>11.25</v>
      </c>
      <c r="G28" s="35" t="e">
        <f>Меню!#REF!+Меню!#REF!+8</f>
        <v>#REF!</v>
      </c>
      <c r="H28" s="35" t="e">
        <f>Меню!#REF!+Меню!#REF!+Меню!#REF!+8</f>
        <v>#REF!</v>
      </c>
      <c r="I28" s="35" t="e">
        <f>Меню!#REF!+Меню!#REF!+10</f>
        <v>#REF!</v>
      </c>
      <c r="J28" s="36" t="e">
        <f>Меню!#REF!+Меню!#REF!+10</f>
        <v>#REF!</v>
      </c>
      <c r="K28" s="35" t="e">
        <f>Меню!#REF!+Меню!#REF!+Меню!#REF!+8</f>
        <v>#REF!</v>
      </c>
      <c r="L28" s="35" t="e">
        <f>Меню!#REF!+Меню!#REF!+10</f>
        <v>#REF!</v>
      </c>
      <c r="M28" s="35" t="e">
        <f>Меню!#REF!+Меню!#REF!+10</f>
        <v>#REF!</v>
      </c>
      <c r="N28" s="87" t="e">
        <f>Меню!#REF!+Меню!#REF!+Меню!#REF!+Меню!#REF!</f>
        <v>#REF!</v>
      </c>
      <c r="O28" s="35" t="e">
        <f>Меню!#REF!+Меню!#REF!+Меню!#REF!+Меню!#REF!+Меню!#REF!</f>
        <v>#REF!</v>
      </c>
      <c r="P28" s="35" t="e">
        <f>Меню!#REF!+Меню!#REF!+Меню!#REF!+Меню!#REF!+8</f>
        <v>#REF!</v>
      </c>
      <c r="Q28" s="35" t="e">
        <f>Меню!#REF!+Меню!#REF!+Меню!#REF!+10</f>
        <v>#REF!</v>
      </c>
      <c r="R28" s="35" t="e">
        <f>Меню!#REF!+Меню!#REF!+Меню!#REF!+8</f>
        <v>#REF!</v>
      </c>
      <c r="S28" s="35" t="e">
        <f>Меню!#REF!+Меню!#REF!+Меню!#REF!+Меню!#REF!</f>
        <v>#REF!</v>
      </c>
      <c r="T28" s="35" t="e">
        <f>Меню!#REF!+Меню!#REF!+Меню!#REF!</f>
        <v>#REF!</v>
      </c>
      <c r="U28" s="35" t="e">
        <f>Меню!#REF!+Меню!#REF!+Меню!#REF!</f>
        <v>#REF!</v>
      </c>
      <c r="V28" s="42" t="e">
        <f t="shared" si="2"/>
        <v>#REF!</v>
      </c>
      <c r="W28" s="28" t="e">
        <f t="shared" si="3"/>
        <v>#REF!</v>
      </c>
      <c r="X28" s="30" t="e">
        <f t="shared" si="4"/>
        <v>#REF!</v>
      </c>
      <c r="Y28" s="45">
        <v>0</v>
      </c>
      <c r="Z28" s="45" t="e">
        <f>W28*99.9/100</f>
        <v>#REF!</v>
      </c>
      <c r="AA28" s="46">
        <v>0</v>
      </c>
      <c r="AB28" s="47" t="e">
        <f>SUM(Y28*4+Z28*9+AA28*4)</f>
        <v>#REF!</v>
      </c>
    </row>
    <row r="29" spans="2:28" ht="15">
      <c r="B29" s="19">
        <f t="shared" si="5"/>
        <v>23</v>
      </c>
      <c r="C29" s="23" t="s">
        <v>50</v>
      </c>
      <c r="D29" s="37">
        <v>40</v>
      </c>
      <c r="E29" s="28">
        <v>75</v>
      </c>
      <c r="F29" s="28">
        <f t="shared" si="1"/>
        <v>30</v>
      </c>
      <c r="G29" s="35" t="e">
        <f>Меню!C62+Меню!#REF!</f>
        <v>#REF!</v>
      </c>
      <c r="H29" s="35" t="e">
        <f>Меню!#REF!</f>
        <v>#REF!</v>
      </c>
      <c r="I29" s="35" t="e">
        <f>Меню!#REF!+Меню!#REF!</f>
        <v>#REF!</v>
      </c>
      <c r="J29" s="36" t="e">
        <f>Меню!#REF!</f>
        <v>#REF!</v>
      </c>
      <c r="K29" s="35" t="e">
        <f>Меню!#REF!+Меню!#REF!</f>
        <v>#REF!</v>
      </c>
      <c r="L29" s="35" t="e">
        <f>Меню!#REF!</f>
        <v>#REF!</v>
      </c>
      <c r="M29" s="35" t="e">
        <f>Меню!#REF!+Меню!#REF!+Меню!#REF!</f>
        <v>#REF!</v>
      </c>
      <c r="N29" s="87" t="e">
        <f>Меню!#REF!+Меню!#REF!</f>
        <v>#REF!</v>
      </c>
      <c r="O29" s="35" t="e">
        <f>Меню!#REF!+Меню!#REF!+Меню!#REF!</f>
        <v>#REF!</v>
      </c>
      <c r="P29" s="35" t="e">
        <f>Меню!#REF!</f>
        <v>#REF!</v>
      </c>
      <c r="Q29" s="35" t="e">
        <f>Меню!#REF!+Меню!#REF!</f>
        <v>#REF!</v>
      </c>
      <c r="R29" s="35" t="e">
        <f>Меню!#REF!</f>
        <v>#REF!</v>
      </c>
      <c r="S29" s="35" t="e">
        <f>Меню!#REF!+Меню!#REF!+Меню!#REF!</f>
        <v>#REF!</v>
      </c>
      <c r="T29" s="35" t="e">
        <f>Меню!#REF!</f>
        <v>#REF!</v>
      </c>
      <c r="U29" s="35" t="e">
        <f>Меню!#REF!+Меню!#REF!</f>
        <v>#REF!</v>
      </c>
      <c r="V29" s="28" t="e">
        <f t="shared" si="2"/>
        <v>#REF!</v>
      </c>
      <c r="W29" s="28" t="e">
        <f t="shared" si="3"/>
        <v>#REF!</v>
      </c>
      <c r="X29" s="30" t="e">
        <f t="shared" si="4"/>
        <v>#REF!</v>
      </c>
      <c r="Y29" s="12" t="e">
        <f>W29*12.7/100</f>
        <v>#REF!</v>
      </c>
      <c r="Z29" s="12" t="e">
        <f>W29*11.5/100</f>
        <v>#REF!</v>
      </c>
      <c r="AA29" s="38" t="e">
        <f>W29*0.7/100</f>
        <v>#REF!</v>
      </c>
      <c r="AB29" s="39" t="e">
        <f>Y29*4+Z29*9+AA29*4</f>
        <v>#REF!</v>
      </c>
    </row>
    <row r="30" spans="2:28" s="16" customFormat="1" ht="12.75" customHeight="1">
      <c r="B30" s="24">
        <f t="shared" si="5"/>
        <v>24</v>
      </c>
      <c r="C30" s="26" t="s">
        <v>51</v>
      </c>
      <c r="D30" s="17">
        <v>1</v>
      </c>
      <c r="E30" s="42">
        <v>75</v>
      </c>
      <c r="F30" s="43">
        <f t="shared" si="1"/>
        <v>0.75</v>
      </c>
      <c r="G30" s="35"/>
      <c r="H30" s="35"/>
      <c r="I30" s="35"/>
      <c r="J30" s="35"/>
      <c r="K30" s="35"/>
      <c r="L30" s="35"/>
      <c r="M30" s="35"/>
      <c r="N30" s="87"/>
      <c r="O30" s="35"/>
      <c r="P30" s="35"/>
      <c r="Q30" s="35"/>
      <c r="R30" s="35"/>
      <c r="S30" s="35"/>
      <c r="T30" s="35"/>
      <c r="U30" s="35"/>
      <c r="V30" s="42">
        <f t="shared" si="2"/>
        <v>0</v>
      </c>
      <c r="W30" s="28">
        <f t="shared" si="3"/>
        <v>0</v>
      </c>
      <c r="X30" s="30">
        <f t="shared" si="4"/>
        <v>0</v>
      </c>
      <c r="Y30" s="45">
        <f>W30*12.2/100</f>
        <v>0</v>
      </c>
      <c r="Z30" s="45">
        <f>W30*1.2/100</f>
        <v>0</v>
      </c>
      <c r="AA30" s="46">
        <f>W30*64.3/100</f>
        <v>0</v>
      </c>
      <c r="AB30" s="47">
        <f>Y30*4+Z30*9+AA30*4</f>
        <v>0</v>
      </c>
    </row>
    <row r="31" spans="2:28" s="16" customFormat="1" ht="12" customHeight="1">
      <c r="B31" s="24">
        <f t="shared" si="5"/>
        <v>25</v>
      </c>
      <c r="C31" s="26" t="s">
        <v>57</v>
      </c>
      <c r="D31" s="17">
        <v>1.2</v>
      </c>
      <c r="E31" s="42">
        <v>75</v>
      </c>
      <c r="F31" s="43">
        <f t="shared" si="1"/>
        <v>0.9</v>
      </c>
      <c r="G31" s="35" t="e">
        <f>Меню!#REF!</f>
        <v>#REF!</v>
      </c>
      <c r="H31" s="35"/>
      <c r="I31" s="35"/>
      <c r="J31" s="36" t="e">
        <f>Меню!#REF!</f>
        <v>#REF!</v>
      </c>
      <c r="K31" s="44"/>
      <c r="L31" s="35" t="e">
        <f>Меню!#REF!</f>
        <v>#REF!</v>
      </c>
      <c r="M31" s="29" t="e">
        <f>Меню!#REF!</f>
        <v>#REF!</v>
      </c>
      <c r="N31" s="87"/>
      <c r="O31" s="29" t="e">
        <f>Меню!#REF!</f>
        <v>#REF!</v>
      </c>
      <c r="P31" s="29"/>
      <c r="Q31" s="29" t="e">
        <f>Меню!#REF!</f>
        <v>#REF!</v>
      </c>
      <c r="R31" s="29"/>
      <c r="S31" s="29"/>
      <c r="T31" s="29" t="e">
        <f>Меню!#REF!</f>
        <v>#REF!</v>
      </c>
      <c r="U31" s="29"/>
      <c r="V31" s="42" t="e">
        <f t="shared" si="2"/>
        <v>#REF!</v>
      </c>
      <c r="W31" s="28" t="e">
        <f t="shared" si="3"/>
        <v>#REF!</v>
      </c>
      <c r="X31" s="30" t="e">
        <f t="shared" si="4"/>
        <v>#REF!</v>
      </c>
      <c r="Y31" s="45" t="e">
        <f>W31*24.2/100</f>
        <v>#REF!</v>
      </c>
      <c r="Z31" s="45" t="e">
        <f>W31*17.2/100</f>
        <v>#REF!</v>
      </c>
      <c r="AA31" s="46" t="e">
        <f>W31*27.9/100</f>
        <v>#REF!</v>
      </c>
      <c r="AB31" s="47" t="e">
        <f>Y31*4+Z31*9+AA31*4</f>
        <v>#REF!</v>
      </c>
    </row>
    <row r="32" spans="2:28" ht="12.75" customHeight="1">
      <c r="B32" s="19">
        <f t="shared" si="5"/>
        <v>26</v>
      </c>
      <c r="C32" s="88" t="s">
        <v>52</v>
      </c>
      <c r="D32" s="85">
        <v>5</v>
      </c>
      <c r="E32" s="89">
        <v>75</v>
      </c>
      <c r="F32" s="90">
        <f t="shared" si="1"/>
        <v>3.75</v>
      </c>
      <c r="G32" s="87" t="e">
        <f>Меню!#REF!+Меню!#REF!+Меню!C44+Меню!#REF!+Меню!#REF!+Меню!#REF!</f>
        <v>#REF!</v>
      </c>
      <c r="H32" s="87" t="e">
        <f>Меню!#REF!+Меню!#REF!+Меню!#REF!+Меню!#REF!+Меню!#REF!+Меню!#REF!</f>
        <v>#REF!</v>
      </c>
      <c r="I32" s="87" t="e">
        <f>Меню!#REF!+Меню!#REF!+Меню!#REF!+Меню!#REF!+Меню!#REF!+Меню!#REF!</f>
        <v>#REF!</v>
      </c>
      <c r="J32" s="87" t="e">
        <f>Меню!#REF!+Меню!#REF!+Меню!#REF!+Меню!#REF!</f>
        <v>#REF!</v>
      </c>
      <c r="K32" s="87" t="e">
        <f>Меню!#REF!+Меню!#REF!+Меню!#REF!+Меню!#REF!</f>
        <v>#REF!</v>
      </c>
      <c r="L32" s="87" t="e">
        <f>Меню!#REF!+Меню!#REF!+Меню!#REF!+Меню!#REF!+Меню!#REF!</f>
        <v>#REF!</v>
      </c>
      <c r="M32" s="87" t="e">
        <f>Меню!#REF!+Меню!#REF!+Меню!#REF!+Меню!#REF!+Меню!#REF!</f>
        <v>#REF!</v>
      </c>
      <c r="N32" s="87" t="e">
        <f>Меню!#REF!+Меню!#REF!+Меню!#REF!+Меню!#REF!+Меню!#REF!</f>
        <v>#REF!</v>
      </c>
      <c r="O32" s="87" t="e">
        <f>Меню!#REF!+Меню!#REF!+Меню!#REF!+Меню!#REF!+Меню!#REF!+Меню!#REF!</f>
        <v>#REF!</v>
      </c>
      <c r="P32" s="87" t="e">
        <f>Меню!#REF!+Меню!#REF!+Меню!#REF!+Меню!#REF!+Меню!#REF!+Меню!#REF!</f>
        <v>#REF!</v>
      </c>
      <c r="Q32" s="87" t="e">
        <f>Меню!#REF!+Меню!#REF!+Меню!#REF!+Меню!#REF!+Меню!#REF!</f>
        <v>#REF!</v>
      </c>
      <c r="R32" s="87" t="e">
        <f>Меню!#REF!+Меню!#REF!+Меню!#REF!+Меню!#REF!+Меню!#REF!</f>
        <v>#REF!</v>
      </c>
      <c r="S32" s="87" t="e">
        <f>Меню!#REF!+Меню!#REF!+Меню!#REF!+Меню!#REF!+Меню!#REF!</f>
        <v>#REF!</v>
      </c>
      <c r="T32" s="87" t="e">
        <f>Меню!#REF!+Меню!#REF!+Меню!#REF!+Меню!#REF!</f>
        <v>#REF!</v>
      </c>
      <c r="U32" s="87" t="e">
        <f>Меню!#REF!+Меню!#REF!+Меню!#REF!+Меню!#REF!+Меню!#REF!+Меню!#REF!</f>
        <v>#REF!</v>
      </c>
      <c r="V32" s="89" t="e">
        <f t="shared" si="2"/>
        <v>#REF!</v>
      </c>
      <c r="W32" s="89" t="e">
        <f t="shared" si="3"/>
        <v>#REF!</v>
      </c>
      <c r="X32" s="89" t="e">
        <f t="shared" si="4"/>
        <v>#REF!</v>
      </c>
      <c r="Y32" s="11" t="e">
        <f>W32*24.2/100</f>
        <v>#REF!</v>
      </c>
      <c r="Z32" s="12" t="e">
        <f>W32*17.2/100</f>
        <v>#REF!</v>
      </c>
      <c r="AA32" s="38" t="e">
        <f>W32*27.9/100</f>
        <v>#REF!</v>
      </c>
      <c r="AB32" s="39">
        <v>0</v>
      </c>
    </row>
    <row r="33" spans="1:28">
      <c r="B33" s="51"/>
      <c r="C33" s="488" t="s">
        <v>62</v>
      </c>
      <c r="D33" s="488"/>
      <c r="E33" s="488"/>
      <c r="F33" s="488"/>
      <c r="G33" s="488"/>
      <c r="H33" s="488"/>
      <c r="I33" s="488"/>
      <c r="J33" s="488"/>
      <c r="K33" s="488"/>
      <c r="L33" s="488"/>
      <c r="M33" s="488"/>
      <c r="N33" s="488"/>
      <c r="O33" s="488"/>
      <c r="P33" s="488"/>
      <c r="Q33" s="488"/>
      <c r="R33" s="488"/>
      <c r="S33" s="488"/>
      <c r="T33" s="488"/>
      <c r="U33" s="488"/>
      <c r="V33" s="488"/>
      <c r="W33" s="488"/>
      <c r="X33" s="488"/>
      <c r="Y33" s="488"/>
      <c r="Z33" s="51"/>
      <c r="AA33" s="51"/>
      <c r="AB33" s="51"/>
    </row>
    <row r="34" spans="1:28">
      <c r="C34" s="91" t="s">
        <v>66</v>
      </c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</row>
    <row r="35" spans="1:28">
      <c r="C35" s="91" t="s">
        <v>59</v>
      </c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</row>
    <row r="36" spans="1:28">
      <c r="A36" s="52"/>
      <c r="B36" s="52"/>
      <c r="C36" s="93"/>
      <c r="D36" s="94"/>
      <c r="E36" s="94"/>
      <c r="F36" s="94"/>
      <c r="G36" s="94"/>
      <c r="H36" s="94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</row>
    <row r="37" spans="1:28">
      <c r="A37" s="53"/>
      <c r="B37" s="53"/>
      <c r="C37" s="91"/>
      <c r="D37" s="91"/>
      <c r="E37" s="91"/>
      <c r="F37" s="91"/>
      <c r="G37" s="91"/>
      <c r="H37" s="91"/>
      <c r="I37" s="95"/>
      <c r="J37" s="95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</row>
    <row r="38" spans="1:28">
      <c r="A38" s="53"/>
      <c r="B38" s="53"/>
      <c r="C38" s="91"/>
      <c r="D38" s="91"/>
      <c r="E38" s="91"/>
      <c r="F38" s="91"/>
      <c r="G38" s="91"/>
      <c r="H38" s="91"/>
      <c r="I38" s="95"/>
      <c r="J38" s="95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</row>
    <row r="39" spans="1:28">
      <c r="A39" s="53"/>
      <c r="B39" s="53"/>
      <c r="C39" s="91"/>
      <c r="D39" s="91"/>
      <c r="E39" s="91"/>
      <c r="F39" s="91"/>
      <c r="G39" s="91"/>
      <c r="H39" s="91"/>
      <c r="I39" s="95"/>
      <c r="J39" s="95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</row>
    <row r="40" spans="1:28">
      <c r="A40" s="53"/>
      <c r="B40" s="53"/>
      <c r="C40" s="91"/>
      <c r="D40" s="91"/>
      <c r="E40" s="91"/>
      <c r="F40" s="91"/>
      <c r="G40" s="91"/>
      <c r="H40" s="91"/>
      <c r="I40" s="95"/>
      <c r="J40" s="95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</row>
    <row r="41" spans="1:28">
      <c r="A41" s="53"/>
      <c r="B41" s="55"/>
      <c r="C41" s="91"/>
      <c r="D41" s="91"/>
      <c r="E41" s="91"/>
      <c r="F41" s="91"/>
      <c r="G41" s="91"/>
      <c r="H41" s="91"/>
      <c r="I41" s="95"/>
      <c r="J41" s="95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</row>
    <row r="42" spans="1:28">
      <c r="A42" s="53"/>
      <c r="B42" s="53"/>
      <c r="C42" s="489"/>
      <c r="D42" s="489"/>
      <c r="E42" s="489"/>
      <c r="F42" s="489"/>
      <c r="G42" s="489"/>
      <c r="H42" s="91"/>
      <c r="I42" s="95"/>
      <c r="J42" s="95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</row>
    <row r="43" spans="1:28">
      <c r="A43" s="56"/>
      <c r="B43" s="487"/>
      <c r="C43" s="490"/>
      <c r="D43" s="490"/>
      <c r="E43" s="490"/>
      <c r="F43" s="490"/>
      <c r="G43" s="490"/>
      <c r="H43" s="490"/>
      <c r="I43" s="95"/>
      <c r="J43" s="95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</row>
    <row r="44" spans="1:28">
      <c r="A44" s="487"/>
      <c r="B44" s="487"/>
      <c r="C44" s="96"/>
      <c r="D44" s="96"/>
      <c r="E44" s="96"/>
      <c r="F44" s="96"/>
      <c r="G44" s="490"/>
      <c r="H44" s="490"/>
      <c r="I44" s="95"/>
      <c r="J44" s="95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</row>
    <row r="45" spans="1:28">
      <c r="A45" s="487"/>
      <c r="B45" s="57"/>
      <c r="C45" s="96"/>
      <c r="D45" s="96"/>
      <c r="E45" s="96"/>
      <c r="F45" s="96"/>
      <c r="G45" s="96"/>
      <c r="H45" s="96"/>
      <c r="I45" s="95"/>
      <c r="J45" s="95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</row>
    <row r="46" spans="1:28">
      <c r="A46" s="57"/>
      <c r="B46" s="57"/>
      <c r="C46" s="96"/>
      <c r="D46" s="96"/>
      <c r="E46" s="96"/>
      <c r="F46" s="96"/>
      <c r="G46" s="96"/>
      <c r="H46" s="96"/>
      <c r="I46" s="95"/>
      <c r="J46" s="95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</row>
    <row r="47" spans="1:28">
      <c r="A47" s="57"/>
      <c r="B47" s="58"/>
      <c r="C47" s="97"/>
      <c r="D47" s="97"/>
      <c r="E47" s="97"/>
      <c r="F47" s="97"/>
      <c r="G47" s="97"/>
      <c r="H47" s="97"/>
      <c r="I47" s="95"/>
      <c r="J47" s="95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</row>
    <row r="48" spans="1:28">
      <c r="A48" s="53"/>
      <c r="B48" s="58"/>
      <c r="C48" s="97"/>
      <c r="D48" s="97"/>
      <c r="E48" s="97"/>
      <c r="F48" s="97"/>
      <c r="G48" s="97"/>
      <c r="H48" s="97"/>
      <c r="I48" s="95"/>
      <c r="J48" s="95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</row>
    <row r="49" spans="1:25">
      <c r="A49" s="53"/>
      <c r="B49" s="58"/>
      <c r="C49" s="97"/>
      <c r="D49" s="97"/>
      <c r="E49" s="97"/>
      <c r="F49" s="97"/>
      <c r="G49" s="97"/>
      <c r="H49" s="97"/>
      <c r="I49" s="95"/>
      <c r="J49" s="95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</row>
    <row r="50" spans="1:25">
      <c r="A50" s="53"/>
      <c r="B50" s="58"/>
      <c r="C50" s="97"/>
      <c r="D50" s="97"/>
      <c r="E50" s="97"/>
      <c r="F50" s="97"/>
      <c r="G50" s="97"/>
      <c r="H50" s="97"/>
      <c r="I50" s="95"/>
      <c r="J50" s="95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</row>
    <row r="51" spans="1:25">
      <c r="A51" s="53"/>
      <c r="B51" s="58"/>
      <c r="C51" s="97"/>
      <c r="D51" s="97"/>
      <c r="E51" s="97"/>
      <c r="F51" s="97"/>
      <c r="G51" s="97"/>
      <c r="H51" s="97"/>
      <c r="I51" s="95"/>
      <c r="J51" s="95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</row>
    <row r="52" spans="1:25">
      <c r="A52" s="53"/>
      <c r="B52" s="60"/>
      <c r="C52" s="97"/>
      <c r="D52" s="97"/>
      <c r="E52" s="97"/>
      <c r="F52" s="97"/>
      <c r="G52" s="97"/>
      <c r="H52" s="97"/>
      <c r="I52" s="95"/>
      <c r="J52" s="95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</row>
    <row r="53" spans="1:25">
      <c r="A53" s="53"/>
      <c r="B53" s="61"/>
      <c r="C53" s="98"/>
      <c r="D53" s="98"/>
      <c r="E53" s="98"/>
      <c r="F53" s="98"/>
      <c r="G53" s="98"/>
      <c r="H53" s="98"/>
      <c r="I53" s="95"/>
      <c r="J53" s="95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</row>
    <row r="54" spans="1:25">
      <c r="A54" s="56"/>
      <c r="B54" s="58"/>
      <c r="C54" s="97"/>
      <c r="D54" s="97"/>
      <c r="E54" s="97"/>
      <c r="F54" s="97"/>
      <c r="G54" s="97"/>
      <c r="H54" s="97"/>
      <c r="I54" s="95"/>
      <c r="J54" s="95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</row>
    <row r="55" spans="1:25">
      <c r="A55" s="53"/>
      <c r="B55" s="58"/>
      <c r="C55" s="97"/>
      <c r="D55" s="97"/>
      <c r="E55" s="97"/>
      <c r="F55" s="97"/>
      <c r="G55" s="97"/>
      <c r="H55" s="97"/>
      <c r="I55" s="95"/>
      <c r="J55" s="95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</row>
    <row r="56" spans="1:25">
      <c r="A56" s="53"/>
      <c r="B56" s="58"/>
      <c r="C56" s="97"/>
      <c r="D56" s="97"/>
      <c r="E56" s="97"/>
      <c r="F56" s="97"/>
      <c r="G56" s="97"/>
      <c r="H56" s="97"/>
      <c r="I56" s="95"/>
      <c r="J56" s="95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</row>
    <row r="57" spans="1:25">
      <c r="A57" s="53"/>
      <c r="B57" s="58"/>
      <c r="C57" s="97"/>
      <c r="D57" s="97"/>
      <c r="E57" s="97"/>
      <c r="F57" s="97"/>
      <c r="G57" s="97"/>
      <c r="H57" s="97"/>
      <c r="I57" s="95"/>
      <c r="J57" s="95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</row>
    <row r="58" spans="1:25">
      <c r="A58" s="53"/>
      <c r="B58" s="58"/>
      <c r="C58" s="97"/>
      <c r="D58" s="97"/>
      <c r="E58" s="97"/>
      <c r="F58" s="97"/>
      <c r="G58" s="97"/>
      <c r="H58" s="97"/>
      <c r="I58" s="95"/>
      <c r="J58" s="95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</row>
    <row r="59" spans="1:25">
      <c r="A59" s="53"/>
      <c r="B59" s="58"/>
      <c r="C59" s="97"/>
      <c r="D59" s="97"/>
      <c r="E59" s="97"/>
      <c r="F59" s="97"/>
      <c r="G59" s="97"/>
      <c r="H59" s="97"/>
      <c r="I59" s="95"/>
      <c r="J59" s="95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</row>
    <row r="60" spans="1:25">
      <c r="A60" s="53"/>
      <c r="B60" s="58"/>
      <c r="C60" s="97"/>
      <c r="D60" s="97"/>
      <c r="E60" s="97"/>
      <c r="F60" s="97"/>
      <c r="G60" s="97"/>
      <c r="H60" s="97"/>
      <c r="I60" s="95"/>
      <c r="J60" s="95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</row>
    <row r="61" spans="1:25">
      <c r="A61" s="53"/>
      <c r="B61" s="58"/>
      <c r="C61" s="97"/>
      <c r="D61" s="97"/>
      <c r="E61" s="97"/>
      <c r="F61" s="97"/>
      <c r="G61" s="97"/>
      <c r="H61" s="97"/>
      <c r="I61" s="95"/>
      <c r="J61" s="95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</row>
    <row r="62" spans="1:25">
      <c r="A62" s="53"/>
      <c r="B62" s="60"/>
      <c r="C62" s="97"/>
      <c r="D62" s="97"/>
      <c r="E62" s="97"/>
      <c r="F62" s="97"/>
      <c r="G62" s="97"/>
      <c r="H62" s="97"/>
      <c r="I62" s="95"/>
      <c r="J62" s="95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</row>
    <row r="63" spans="1:25">
      <c r="A63" s="53"/>
      <c r="B63" s="58"/>
      <c r="C63" s="97"/>
      <c r="D63" s="97"/>
      <c r="E63" s="97"/>
      <c r="F63" s="97"/>
      <c r="G63" s="97"/>
      <c r="H63" s="97"/>
      <c r="I63" s="95"/>
      <c r="J63" s="95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</row>
    <row r="64" spans="1:25">
      <c r="A64" s="53"/>
      <c r="B64" s="61"/>
      <c r="C64" s="98"/>
      <c r="D64" s="98"/>
      <c r="E64" s="98"/>
      <c r="F64" s="98"/>
      <c r="G64" s="98"/>
      <c r="H64" s="98"/>
      <c r="I64" s="95"/>
      <c r="J64" s="95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</row>
    <row r="65" spans="1:25">
      <c r="A65" s="56"/>
      <c r="B65" s="58"/>
      <c r="C65" s="97"/>
      <c r="D65" s="97"/>
      <c r="E65" s="97"/>
      <c r="F65" s="97"/>
      <c r="G65" s="97"/>
      <c r="H65" s="97"/>
      <c r="I65" s="95"/>
      <c r="J65" s="95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</row>
    <row r="66" spans="1:25">
      <c r="A66" s="53"/>
      <c r="B66" s="58"/>
      <c r="C66" s="63"/>
      <c r="D66" s="63"/>
      <c r="E66" s="63"/>
      <c r="F66" s="63"/>
      <c r="G66" s="59"/>
      <c r="H66" s="59"/>
      <c r="I66" s="54"/>
      <c r="J66" s="54"/>
      <c r="K66" s="92"/>
      <c r="L66" s="92"/>
      <c r="M66" s="92"/>
      <c r="N66" s="92"/>
      <c r="O66" s="92"/>
      <c r="P66" s="92"/>
      <c r="Q66" s="27"/>
      <c r="R66" s="27"/>
      <c r="S66" s="27"/>
      <c r="T66" s="27"/>
      <c r="U66" s="27"/>
    </row>
    <row r="67" spans="1:25">
      <c r="A67" s="53"/>
      <c r="B67" s="58"/>
      <c r="C67" s="63"/>
      <c r="D67" s="63"/>
      <c r="E67" s="63"/>
      <c r="F67" s="63"/>
      <c r="G67" s="59"/>
      <c r="H67" s="59"/>
      <c r="I67" s="54"/>
      <c r="J67" s="54"/>
      <c r="K67" s="92"/>
      <c r="L67" s="92"/>
      <c r="M67" s="92"/>
      <c r="N67" s="92"/>
      <c r="O67" s="92"/>
      <c r="P67" s="92"/>
      <c r="Q67" s="27"/>
      <c r="R67" s="27"/>
      <c r="S67" s="27"/>
      <c r="T67" s="27"/>
      <c r="U67" s="27"/>
    </row>
    <row r="68" spans="1:25">
      <c r="A68" s="53"/>
      <c r="B68" s="58"/>
      <c r="C68" s="63"/>
      <c r="D68" s="63"/>
      <c r="E68" s="63"/>
      <c r="F68" s="63"/>
      <c r="G68" s="59"/>
      <c r="H68" s="59"/>
      <c r="I68" s="54"/>
      <c r="J68" s="54"/>
      <c r="K68" s="92"/>
      <c r="L68" s="92"/>
      <c r="M68" s="92"/>
      <c r="N68" s="92"/>
      <c r="O68" s="92"/>
      <c r="P68" s="92"/>
      <c r="Q68" s="27"/>
      <c r="R68" s="27"/>
      <c r="S68" s="27"/>
      <c r="T68" s="27"/>
      <c r="U68" s="27"/>
    </row>
    <row r="69" spans="1:25">
      <c r="A69" s="53"/>
      <c r="B69" s="64"/>
      <c r="C69" s="64"/>
      <c r="D69" s="64"/>
      <c r="E69" s="64"/>
      <c r="F69" s="64"/>
      <c r="G69" s="62"/>
      <c r="H69" s="62"/>
      <c r="I69" s="54"/>
      <c r="J69" s="54"/>
      <c r="K69" s="92"/>
      <c r="L69" s="92"/>
      <c r="M69" s="92"/>
      <c r="N69" s="92"/>
      <c r="O69" s="92"/>
      <c r="P69" s="92"/>
      <c r="Q69" s="27"/>
      <c r="R69" s="27"/>
      <c r="S69" s="27"/>
      <c r="T69" s="27"/>
      <c r="U69" s="27"/>
    </row>
    <row r="70" spans="1:25">
      <c r="A70" s="56"/>
      <c r="B70" s="63"/>
      <c r="C70" s="63"/>
      <c r="D70" s="63"/>
      <c r="E70" s="63"/>
      <c r="F70" s="63"/>
      <c r="G70" s="59"/>
      <c r="H70" s="59"/>
      <c r="I70" s="54"/>
      <c r="J70" s="54"/>
      <c r="K70" s="92"/>
      <c r="L70" s="92"/>
      <c r="M70" s="92"/>
      <c r="N70" s="92"/>
      <c r="O70" s="92"/>
      <c r="P70" s="92"/>
      <c r="Q70" s="27"/>
      <c r="R70" s="27"/>
      <c r="S70" s="27"/>
      <c r="T70" s="27"/>
      <c r="U70" s="27"/>
    </row>
    <row r="71" spans="1:25">
      <c r="A71" s="53"/>
      <c r="B71" s="65"/>
      <c r="C71" s="65"/>
      <c r="D71" s="65"/>
      <c r="E71" s="65"/>
      <c r="F71" s="65"/>
      <c r="G71" s="54"/>
      <c r="H71" s="54"/>
      <c r="I71" s="54"/>
      <c r="J71" s="54"/>
      <c r="K71" s="92"/>
      <c r="L71" s="92"/>
      <c r="M71" s="92"/>
      <c r="N71" s="92"/>
      <c r="O71" s="92"/>
      <c r="P71" s="92"/>
      <c r="Q71" s="27"/>
      <c r="R71" s="27"/>
      <c r="S71" s="27"/>
      <c r="T71" s="27"/>
      <c r="U71" s="27"/>
    </row>
    <row r="72" spans="1:25">
      <c r="A72" s="65"/>
      <c r="B72" s="65"/>
      <c r="C72" s="65"/>
      <c r="D72" s="65"/>
      <c r="E72" s="65"/>
      <c r="F72" s="65"/>
      <c r="G72" s="54"/>
      <c r="H72" s="54"/>
      <c r="I72" s="54"/>
      <c r="J72" s="54"/>
      <c r="K72" s="92"/>
      <c r="L72" s="92"/>
      <c r="M72" s="92"/>
      <c r="N72" s="92"/>
      <c r="O72" s="92"/>
      <c r="P72" s="92"/>
      <c r="Q72" s="27"/>
      <c r="R72" s="27"/>
      <c r="S72" s="27"/>
      <c r="T72" s="27"/>
      <c r="U72" s="27"/>
    </row>
    <row r="73" spans="1:25">
      <c r="A73" s="65"/>
      <c r="B73" s="65"/>
      <c r="C73" s="65"/>
      <c r="D73" s="65"/>
      <c r="E73" s="65"/>
      <c r="F73" s="65"/>
      <c r="G73" s="54"/>
      <c r="H73" s="54"/>
      <c r="I73" s="54"/>
      <c r="J73" s="54"/>
      <c r="K73" s="92"/>
      <c r="L73" s="92"/>
      <c r="M73" s="92"/>
      <c r="N73" s="92"/>
      <c r="O73" s="92"/>
      <c r="P73" s="92"/>
      <c r="Q73" s="27"/>
      <c r="R73" s="27"/>
      <c r="S73" s="27"/>
      <c r="T73" s="27"/>
      <c r="U73" s="27"/>
    </row>
    <row r="74" spans="1:25">
      <c r="K74" s="92"/>
      <c r="L74" s="92"/>
      <c r="M74" s="92"/>
      <c r="N74" s="92"/>
      <c r="O74" s="92"/>
      <c r="P74" s="92"/>
    </row>
    <row r="75" spans="1:25">
      <c r="K75" s="92"/>
      <c r="L75" s="92"/>
      <c r="M75" s="92"/>
      <c r="N75" s="92"/>
      <c r="O75" s="92"/>
      <c r="P75" s="92"/>
    </row>
    <row r="76" spans="1:25">
      <c r="K76" s="92"/>
      <c r="L76" s="92"/>
      <c r="M76" s="92"/>
      <c r="N76" s="92"/>
      <c r="O76" s="92"/>
      <c r="P76" s="92"/>
    </row>
    <row r="77" spans="1:25">
      <c r="K77" s="92"/>
      <c r="L77" s="92"/>
      <c r="M77" s="92"/>
      <c r="N77" s="92"/>
      <c r="O77" s="92"/>
      <c r="P77" s="92"/>
    </row>
    <row r="78" spans="1:25">
      <c r="K78" s="92"/>
      <c r="L78" s="92"/>
      <c r="M78" s="92"/>
      <c r="N78" s="92"/>
      <c r="O78" s="92"/>
      <c r="P78" s="92"/>
    </row>
    <row r="79" spans="1:25">
      <c r="K79" s="92"/>
      <c r="L79" s="92"/>
      <c r="M79" s="92"/>
      <c r="N79" s="92"/>
      <c r="O79" s="92"/>
      <c r="P79" s="92"/>
    </row>
    <row r="80" spans="1:25">
      <c r="K80" s="92"/>
      <c r="L80" s="92"/>
      <c r="M80" s="92"/>
      <c r="N80" s="92"/>
      <c r="O80" s="92"/>
      <c r="P80" s="92"/>
    </row>
    <row r="81" spans="11:16">
      <c r="K81" s="92"/>
      <c r="L81" s="92"/>
      <c r="M81" s="92"/>
      <c r="N81" s="92"/>
      <c r="O81" s="92"/>
      <c r="P81" s="92"/>
    </row>
    <row r="82" spans="11:16">
      <c r="K82" s="92"/>
      <c r="L82" s="92"/>
      <c r="M82" s="92"/>
      <c r="N82" s="92"/>
      <c r="O82" s="92"/>
      <c r="P82" s="92"/>
    </row>
    <row r="83" spans="11:16">
      <c r="K83" s="92"/>
      <c r="L83" s="92"/>
      <c r="M83" s="92"/>
      <c r="N83" s="92"/>
      <c r="O83" s="92"/>
      <c r="P83" s="92"/>
    </row>
    <row r="84" spans="11:16">
      <c r="K84" s="92"/>
      <c r="L84" s="92"/>
      <c r="M84" s="92"/>
      <c r="N84" s="92"/>
      <c r="O84" s="92"/>
      <c r="P84" s="92"/>
    </row>
    <row r="85" spans="11:16">
      <c r="K85" s="92"/>
      <c r="L85" s="92"/>
      <c r="M85" s="92"/>
      <c r="N85" s="92"/>
      <c r="O85" s="92"/>
      <c r="P85" s="92"/>
    </row>
    <row r="86" spans="11:16">
      <c r="K86" s="92"/>
      <c r="L86" s="92"/>
      <c r="M86" s="92"/>
      <c r="N86" s="92"/>
      <c r="O86" s="92"/>
      <c r="P86" s="92"/>
    </row>
    <row r="87" spans="11:16">
      <c r="K87" s="92"/>
      <c r="L87" s="92"/>
      <c r="M87" s="92"/>
      <c r="N87" s="92"/>
      <c r="O87" s="92"/>
      <c r="P87" s="92"/>
    </row>
    <row r="88" spans="11:16">
      <c r="K88" s="92"/>
      <c r="L88" s="92"/>
      <c r="M88" s="92"/>
      <c r="N88" s="92"/>
      <c r="O88" s="92"/>
      <c r="P88" s="92"/>
    </row>
    <row r="89" spans="11:16">
      <c r="K89" s="92"/>
      <c r="L89" s="92"/>
      <c r="M89" s="92"/>
      <c r="N89" s="92"/>
      <c r="O89" s="92"/>
      <c r="P89" s="92"/>
    </row>
    <row r="90" spans="11:16">
      <c r="K90" s="92"/>
      <c r="L90" s="92"/>
      <c r="M90" s="92"/>
      <c r="N90" s="92"/>
      <c r="O90" s="92"/>
      <c r="P90" s="92"/>
    </row>
    <row r="91" spans="11:16">
      <c r="K91" s="92"/>
      <c r="L91" s="92"/>
      <c r="M91" s="92"/>
      <c r="N91" s="92"/>
      <c r="O91" s="92"/>
      <c r="P91" s="92"/>
    </row>
    <row r="92" spans="11:16">
      <c r="K92" s="92"/>
      <c r="L92" s="92"/>
      <c r="M92" s="92"/>
      <c r="N92" s="92"/>
      <c r="O92" s="92"/>
      <c r="P92" s="92"/>
    </row>
    <row r="93" spans="11:16">
      <c r="K93" s="92"/>
      <c r="L93" s="92"/>
      <c r="M93" s="92"/>
      <c r="N93" s="92"/>
      <c r="O93" s="92"/>
      <c r="P93" s="92"/>
    </row>
    <row r="94" spans="11:16">
      <c r="K94" s="92"/>
      <c r="L94" s="92"/>
      <c r="M94" s="92"/>
      <c r="N94" s="92"/>
      <c r="O94" s="92"/>
      <c r="P94" s="92"/>
    </row>
    <row r="95" spans="11:16">
      <c r="K95" s="92"/>
      <c r="L95" s="92"/>
      <c r="M95" s="92"/>
      <c r="N95" s="92"/>
      <c r="O95" s="92"/>
      <c r="P95" s="92"/>
    </row>
    <row r="96" spans="11:16">
      <c r="K96" s="92"/>
      <c r="L96" s="92"/>
      <c r="M96" s="92"/>
      <c r="N96" s="92"/>
      <c r="O96" s="92"/>
      <c r="P96" s="92"/>
    </row>
    <row r="97" spans="11:16">
      <c r="K97" s="92"/>
      <c r="L97" s="92"/>
      <c r="M97" s="92"/>
      <c r="N97" s="92"/>
      <c r="O97" s="92"/>
      <c r="P97" s="92"/>
    </row>
    <row r="98" spans="11:16">
      <c r="K98" s="92"/>
      <c r="L98" s="92"/>
      <c r="M98" s="92"/>
      <c r="N98" s="92"/>
      <c r="O98" s="92"/>
      <c r="P98" s="92"/>
    </row>
    <row r="99" spans="11:16">
      <c r="K99" s="92"/>
      <c r="L99" s="92"/>
      <c r="M99" s="92"/>
      <c r="N99" s="92"/>
      <c r="O99" s="92"/>
      <c r="P99" s="92"/>
    </row>
    <row r="100" spans="11:16">
      <c r="K100" s="92"/>
      <c r="L100" s="92"/>
      <c r="M100" s="92"/>
      <c r="N100" s="92"/>
      <c r="O100" s="92"/>
      <c r="P100" s="92"/>
    </row>
    <row r="101" spans="11:16">
      <c r="K101" s="92"/>
      <c r="L101" s="92"/>
      <c r="M101" s="92"/>
      <c r="N101" s="92"/>
      <c r="O101" s="92"/>
      <c r="P101" s="92"/>
    </row>
    <row r="102" spans="11:16">
      <c r="K102" s="92"/>
      <c r="L102" s="92"/>
      <c r="M102" s="92"/>
      <c r="N102" s="92"/>
      <c r="O102" s="92"/>
      <c r="P102" s="92"/>
    </row>
    <row r="103" spans="11:16">
      <c r="K103" s="92"/>
      <c r="L103" s="92"/>
      <c r="M103" s="92"/>
      <c r="N103" s="92"/>
      <c r="O103" s="92"/>
      <c r="P103" s="92"/>
    </row>
    <row r="104" spans="11:16">
      <c r="K104" s="92"/>
      <c r="L104" s="92"/>
      <c r="M104" s="92"/>
      <c r="N104" s="92"/>
      <c r="O104" s="92"/>
      <c r="P104" s="92"/>
    </row>
    <row r="105" spans="11:16">
      <c r="K105" s="92"/>
      <c r="L105" s="92"/>
      <c r="M105" s="92"/>
      <c r="N105" s="92"/>
      <c r="O105" s="92"/>
      <c r="P105" s="92"/>
    </row>
    <row r="106" spans="11:16">
      <c r="K106" s="92"/>
      <c r="L106" s="92"/>
      <c r="M106" s="92"/>
      <c r="N106" s="92"/>
      <c r="O106" s="92"/>
      <c r="P106" s="92"/>
    </row>
    <row r="107" spans="11:16">
      <c r="K107" s="92"/>
      <c r="L107" s="92"/>
      <c r="M107" s="92"/>
      <c r="N107" s="92"/>
      <c r="O107" s="92"/>
      <c r="P107" s="92"/>
    </row>
    <row r="108" spans="11:16">
      <c r="K108" s="92"/>
      <c r="L108" s="92"/>
      <c r="M108" s="92"/>
      <c r="N108" s="92"/>
      <c r="O108" s="92"/>
      <c r="P108" s="92"/>
    </row>
    <row r="109" spans="11:16">
      <c r="K109" s="92"/>
      <c r="L109" s="92"/>
      <c r="M109" s="92"/>
      <c r="N109" s="92"/>
      <c r="O109" s="92"/>
      <c r="P109" s="92"/>
    </row>
    <row r="110" spans="11:16">
      <c r="K110" s="92"/>
      <c r="L110" s="92"/>
      <c r="M110" s="92"/>
      <c r="N110" s="92"/>
      <c r="O110" s="92"/>
      <c r="P110" s="92"/>
    </row>
    <row r="111" spans="11:16">
      <c r="K111" s="92"/>
      <c r="L111" s="92"/>
      <c r="M111" s="92"/>
      <c r="N111" s="92"/>
      <c r="O111" s="92"/>
      <c r="P111" s="92"/>
    </row>
    <row r="112" spans="11:16">
      <c r="K112" s="92"/>
      <c r="L112" s="92"/>
      <c r="M112" s="92"/>
      <c r="N112" s="92"/>
      <c r="O112" s="92"/>
      <c r="P112" s="92"/>
    </row>
    <row r="113" spans="11:16">
      <c r="K113" s="92"/>
      <c r="L113" s="92"/>
      <c r="M113" s="92"/>
      <c r="N113" s="92"/>
      <c r="O113" s="92"/>
      <c r="P113" s="92"/>
    </row>
    <row r="114" spans="11:16">
      <c r="K114" s="92"/>
      <c r="L114" s="92"/>
      <c r="M114" s="92"/>
      <c r="N114" s="92"/>
      <c r="O114" s="92"/>
      <c r="P114" s="92"/>
    </row>
    <row r="115" spans="11:16">
      <c r="K115" s="92"/>
      <c r="L115" s="92"/>
      <c r="M115" s="92"/>
      <c r="N115" s="92"/>
      <c r="O115" s="92"/>
      <c r="P115" s="92"/>
    </row>
    <row r="116" spans="11:16">
      <c r="K116" s="92"/>
      <c r="L116" s="92"/>
      <c r="M116" s="92"/>
      <c r="N116" s="92"/>
      <c r="O116" s="92"/>
      <c r="P116" s="92"/>
    </row>
    <row r="117" spans="11:16">
      <c r="K117" s="92"/>
      <c r="L117" s="92"/>
      <c r="M117" s="92"/>
      <c r="N117" s="92"/>
      <c r="O117" s="92"/>
      <c r="P117" s="92"/>
    </row>
    <row r="118" spans="11:16">
      <c r="K118" s="92"/>
      <c r="L118" s="92"/>
      <c r="M118" s="92"/>
      <c r="N118" s="92"/>
      <c r="O118" s="92"/>
      <c r="P118" s="92"/>
    </row>
    <row r="119" spans="11:16">
      <c r="K119" s="92"/>
      <c r="L119" s="92"/>
      <c r="M119" s="92"/>
      <c r="N119" s="92"/>
      <c r="O119" s="92"/>
      <c r="P119" s="92"/>
    </row>
    <row r="120" spans="11:16">
      <c r="K120" s="92"/>
      <c r="L120" s="92"/>
      <c r="M120" s="92"/>
      <c r="N120" s="92"/>
      <c r="O120" s="92"/>
      <c r="P120" s="92"/>
    </row>
    <row r="121" spans="11:16">
      <c r="K121" s="92"/>
      <c r="L121" s="92"/>
      <c r="M121" s="92"/>
      <c r="N121" s="92"/>
      <c r="O121" s="92"/>
      <c r="P121" s="92"/>
    </row>
    <row r="122" spans="11:16">
      <c r="K122" s="92"/>
      <c r="L122" s="92"/>
      <c r="M122" s="92"/>
      <c r="N122" s="92"/>
      <c r="O122" s="92"/>
      <c r="P122" s="92"/>
    </row>
    <row r="123" spans="11:16">
      <c r="K123" s="92"/>
      <c r="L123" s="92"/>
      <c r="M123" s="92"/>
      <c r="N123" s="92"/>
      <c r="O123" s="92"/>
      <c r="P123" s="92"/>
    </row>
    <row r="124" spans="11:16">
      <c r="K124" s="92"/>
      <c r="L124" s="92"/>
      <c r="M124" s="92"/>
      <c r="N124" s="92"/>
      <c r="O124" s="92"/>
      <c r="P124" s="92"/>
    </row>
    <row r="125" spans="11:16">
      <c r="K125" s="92"/>
      <c r="L125" s="92"/>
      <c r="M125" s="92"/>
      <c r="N125" s="92"/>
      <c r="O125" s="92"/>
      <c r="P125" s="92"/>
    </row>
    <row r="126" spans="11:16">
      <c r="K126" s="92"/>
      <c r="L126" s="92"/>
      <c r="M126" s="92"/>
      <c r="N126" s="92"/>
      <c r="O126" s="92"/>
      <c r="P126" s="92"/>
    </row>
    <row r="127" spans="11:16">
      <c r="K127" s="92"/>
      <c r="L127" s="92"/>
      <c r="M127" s="92"/>
      <c r="N127" s="92"/>
      <c r="O127" s="92"/>
      <c r="P127" s="92"/>
    </row>
    <row r="128" spans="11:16">
      <c r="K128" s="92"/>
      <c r="L128" s="92"/>
      <c r="M128" s="92"/>
      <c r="N128" s="92"/>
      <c r="O128" s="92"/>
      <c r="P128" s="92"/>
    </row>
    <row r="129" spans="11:16">
      <c r="K129" s="92"/>
      <c r="L129" s="92"/>
      <c r="M129" s="92"/>
      <c r="N129" s="92"/>
      <c r="O129" s="92"/>
      <c r="P129" s="92"/>
    </row>
    <row r="130" spans="11:16">
      <c r="K130" s="92"/>
      <c r="L130" s="92"/>
      <c r="M130" s="92"/>
      <c r="N130" s="92"/>
      <c r="O130" s="92"/>
      <c r="P130" s="92"/>
    </row>
    <row r="131" spans="11:16">
      <c r="K131" s="92"/>
      <c r="L131" s="92"/>
      <c r="M131" s="92"/>
      <c r="N131" s="92"/>
      <c r="O131" s="92"/>
      <c r="P131" s="92"/>
    </row>
    <row r="132" spans="11:16">
      <c r="K132" s="92"/>
      <c r="L132" s="92"/>
      <c r="M132" s="92"/>
      <c r="N132" s="92"/>
      <c r="O132" s="92"/>
      <c r="P132" s="92"/>
    </row>
    <row r="133" spans="11:16">
      <c r="K133" s="92"/>
      <c r="L133" s="92"/>
      <c r="M133" s="92"/>
      <c r="N133" s="92"/>
      <c r="O133" s="92"/>
      <c r="P133" s="92"/>
    </row>
    <row r="134" spans="11:16">
      <c r="K134" s="92"/>
      <c r="L134" s="92"/>
      <c r="M134" s="92"/>
      <c r="N134" s="92"/>
      <c r="O134" s="92"/>
      <c r="P134" s="92"/>
    </row>
    <row r="135" spans="11:16">
      <c r="K135" s="92"/>
      <c r="L135" s="92"/>
      <c r="M135" s="92"/>
      <c r="N135" s="92"/>
      <c r="O135" s="92"/>
      <c r="P135" s="92"/>
    </row>
    <row r="136" spans="11:16">
      <c r="K136" s="92"/>
      <c r="L136" s="92"/>
      <c r="M136" s="92"/>
      <c r="N136" s="92"/>
      <c r="O136" s="92"/>
      <c r="P136" s="92"/>
    </row>
    <row r="137" spans="11:16">
      <c r="K137" s="92"/>
      <c r="L137" s="92"/>
      <c r="M137" s="92"/>
      <c r="N137" s="92"/>
      <c r="O137" s="92"/>
      <c r="P137" s="92"/>
    </row>
    <row r="138" spans="11:16">
      <c r="K138" s="92"/>
      <c r="L138" s="92"/>
      <c r="M138" s="92"/>
      <c r="N138" s="92"/>
      <c r="O138" s="92"/>
      <c r="P138" s="92"/>
    </row>
    <row r="139" spans="11:16">
      <c r="K139" s="92"/>
      <c r="L139" s="92"/>
      <c r="M139" s="92"/>
      <c r="N139" s="92"/>
      <c r="O139" s="92"/>
      <c r="P139" s="92"/>
    </row>
    <row r="140" spans="11:16">
      <c r="K140" s="92"/>
      <c r="L140" s="92"/>
      <c r="M140" s="92"/>
      <c r="N140" s="92"/>
      <c r="O140" s="92"/>
      <c r="P140" s="92"/>
    </row>
    <row r="141" spans="11:16">
      <c r="K141" s="92"/>
      <c r="L141" s="92"/>
      <c r="M141" s="92"/>
      <c r="N141" s="92"/>
      <c r="O141" s="92"/>
      <c r="P141" s="92"/>
    </row>
    <row r="142" spans="11:16">
      <c r="K142" s="92"/>
      <c r="L142" s="92"/>
      <c r="M142" s="92"/>
      <c r="N142" s="92"/>
      <c r="O142" s="92"/>
      <c r="P142" s="92"/>
    </row>
    <row r="143" spans="11:16">
      <c r="K143" s="92"/>
      <c r="L143" s="92"/>
      <c r="M143" s="92"/>
      <c r="N143" s="92"/>
      <c r="O143" s="92"/>
      <c r="P143" s="92"/>
    </row>
    <row r="144" spans="11:16">
      <c r="K144" s="92"/>
      <c r="L144" s="92"/>
      <c r="M144" s="92"/>
      <c r="N144" s="92"/>
      <c r="O144" s="92"/>
      <c r="P144" s="92"/>
    </row>
    <row r="145" spans="11:16">
      <c r="K145" s="92"/>
      <c r="L145" s="92"/>
      <c r="M145" s="92"/>
      <c r="N145" s="92"/>
      <c r="O145" s="92"/>
      <c r="P145" s="92"/>
    </row>
    <row r="146" spans="11:16">
      <c r="K146" s="92"/>
      <c r="L146" s="92"/>
      <c r="M146" s="92"/>
      <c r="N146" s="92"/>
      <c r="O146" s="92"/>
      <c r="P146" s="92"/>
    </row>
    <row r="147" spans="11:16">
      <c r="K147" s="92"/>
      <c r="L147" s="92"/>
      <c r="M147" s="92"/>
      <c r="N147" s="92"/>
      <c r="O147" s="92"/>
      <c r="P147" s="92"/>
    </row>
    <row r="148" spans="11:16">
      <c r="K148" s="92"/>
      <c r="L148" s="92"/>
      <c r="M148" s="92"/>
      <c r="N148" s="92"/>
      <c r="O148" s="92"/>
      <c r="P148" s="92"/>
    </row>
    <row r="149" spans="11:16">
      <c r="K149" s="92"/>
      <c r="L149" s="92"/>
      <c r="M149" s="92"/>
      <c r="N149" s="92"/>
      <c r="O149" s="92"/>
      <c r="P149" s="92"/>
    </row>
    <row r="150" spans="11:16">
      <c r="K150" s="92"/>
      <c r="L150" s="92"/>
      <c r="M150" s="92"/>
      <c r="N150" s="92"/>
      <c r="O150" s="92"/>
      <c r="P150" s="92"/>
    </row>
    <row r="151" spans="11:16">
      <c r="K151" s="92"/>
      <c r="L151" s="92"/>
      <c r="M151" s="92"/>
      <c r="N151" s="92"/>
      <c r="O151" s="92"/>
      <c r="P151" s="92"/>
    </row>
    <row r="152" spans="11:16">
      <c r="K152" s="92"/>
      <c r="L152" s="92"/>
      <c r="M152" s="92"/>
      <c r="N152" s="92"/>
      <c r="O152" s="92"/>
      <c r="P152" s="92"/>
    </row>
    <row r="153" spans="11:16">
      <c r="K153" s="92"/>
      <c r="L153" s="92"/>
      <c r="M153" s="92"/>
      <c r="N153" s="92"/>
      <c r="O153" s="92"/>
      <c r="P153" s="92"/>
    </row>
    <row r="154" spans="11:16">
      <c r="K154" s="92"/>
      <c r="L154" s="92"/>
      <c r="M154" s="92"/>
      <c r="N154" s="92"/>
      <c r="O154" s="92"/>
      <c r="P154" s="92"/>
    </row>
    <row r="155" spans="11:16">
      <c r="K155" s="92"/>
      <c r="L155" s="92"/>
      <c r="M155" s="92"/>
      <c r="N155" s="92"/>
      <c r="O155" s="92"/>
      <c r="P155" s="92"/>
    </row>
    <row r="156" spans="11:16">
      <c r="K156" s="92"/>
      <c r="L156" s="92"/>
      <c r="M156" s="92"/>
      <c r="N156" s="92"/>
      <c r="O156" s="92"/>
      <c r="P156" s="92"/>
    </row>
    <row r="157" spans="11:16">
      <c r="K157" s="92"/>
      <c r="L157" s="92"/>
      <c r="M157" s="92"/>
      <c r="N157" s="92"/>
      <c r="O157" s="92"/>
      <c r="P157" s="92"/>
    </row>
    <row r="158" spans="11:16">
      <c r="K158" s="92"/>
      <c r="L158" s="92"/>
      <c r="M158" s="92"/>
      <c r="N158" s="92"/>
      <c r="O158" s="92"/>
      <c r="P158" s="92"/>
    </row>
    <row r="159" spans="11:16">
      <c r="K159" s="92"/>
      <c r="L159" s="92"/>
      <c r="M159" s="92"/>
      <c r="N159" s="92"/>
      <c r="O159" s="92"/>
      <c r="P159" s="92"/>
    </row>
    <row r="160" spans="11:16">
      <c r="K160" s="92"/>
      <c r="L160" s="92"/>
      <c r="M160" s="92"/>
      <c r="N160" s="92"/>
      <c r="O160" s="92"/>
      <c r="P160" s="92"/>
    </row>
    <row r="161" spans="11:16">
      <c r="K161" s="92"/>
      <c r="L161" s="92"/>
      <c r="M161" s="92"/>
      <c r="N161" s="92"/>
      <c r="O161" s="92"/>
      <c r="P161" s="92"/>
    </row>
    <row r="162" spans="11:16">
      <c r="K162" s="92"/>
      <c r="L162" s="92"/>
      <c r="M162" s="92"/>
      <c r="N162" s="92"/>
      <c r="O162" s="92"/>
      <c r="P162" s="92"/>
    </row>
    <row r="163" spans="11:16">
      <c r="K163" s="92"/>
      <c r="L163" s="92"/>
      <c r="M163" s="92"/>
      <c r="N163" s="92"/>
      <c r="O163" s="92"/>
      <c r="P163" s="92"/>
    </row>
    <row r="164" spans="11:16">
      <c r="K164" s="92"/>
      <c r="L164" s="92"/>
      <c r="M164" s="92"/>
      <c r="N164" s="92"/>
      <c r="O164" s="92"/>
      <c r="P164" s="92"/>
    </row>
    <row r="165" spans="11:16">
      <c r="K165" s="92"/>
      <c r="L165" s="92"/>
      <c r="M165" s="92"/>
      <c r="N165" s="92"/>
      <c r="O165" s="92"/>
      <c r="P165" s="92"/>
    </row>
    <row r="166" spans="11:16">
      <c r="K166" s="92"/>
      <c r="L166" s="92"/>
      <c r="M166" s="92"/>
      <c r="N166" s="92"/>
      <c r="O166" s="92"/>
      <c r="P166" s="92"/>
    </row>
    <row r="167" spans="11:16">
      <c r="K167" s="92"/>
      <c r="L167" s="92"/>
      <c r="M167" s="92"/>
      <c r="N167" s="92"/>
      <c r="O167" s="92"/>
      <c r="P167" s="92"/>
    </row>
    <row r="168" spans="11:16">
      <c r="K168" s="92"/>
      <c r="L168" s="92"/>
      <c r="M168" s="92"/>
      <c r="N168" s="92"/>
      <c r="O168" s="92"/>
      <c r="P168" s="92"/>
    </row>
    <row r="169" spans="11:16">
      <c r="K169" s="92"/>
      <c r="L169" s="92"/>
      <c r="M169" s="92"/>
      <c r="N169" s="92"/>
      <c r="O169" s="92"/>
      <c r="P169" s="92"/>
    </row>
    <row r="170" spans="11:16">
      <c r="K170" s="92"/>
      <c r="L170" s="92"/>
      <c r="M170" s="92"/>
      <c r="N170" s="92"/>
      <c r="O170" s="92"/>
      <c r="P170" s="92"/>
    </row>
    <row r="171" spans="11:16">
      <c r="K171" s="92"/>
      <c r="L171" s="92"/>
      <c r="M171" s="92"/>
      <c r="N171" s="92"/>
      <c r="O171" s="92"/>
      <c r="P171" s="92"/>
    </row>
    <row r="172" spans="11:16">
      <c r="K172" s="92"/>
      <c r="L172" s="92"/>
      <c r="M172" s="92"/>
      <c r="N172" s="92"/>
      <c r="O172" s="92"/>
      <c r="P172" s="92"/>
    </row>
    <row r="173" spans="11:16">
      <c r="K173" s="92"/>
      <c r="L173" s="92"/>
      <c r="M173" s="92"/>
      <c r="N173" s="92"/>
      <c r="O173" s="92"/>
      <c r="P173" s="92"/>
    </row>
    <row r="174" spans="11:16">
      <c r="K174" s="92"/>
      <c r="L174" s="92"/>
      <c r="M174" s="92"/>
      <c r="N174" s="92"/>
      <c r="O174" s="92"/>
      <c r="P174" s="92"/>
    </row>
    <row r="175" spans="11:16">
      <c r="K175" s="92"/>
      <c r="L175" s="92"/>
      <c r="M175" s="92"/>
      <c r="N175" s="92"/>
      <c r="O175" s="92"/>
      <c r="P175" s="92"/>
    </row>
    <row r="176" spans="11:16">
      <c r="K176" s="92"/>
      <c r="L176" s="92"/>
      <c r="M176" s="92"/>
      <c r="N176" s="92"/>
      <c r="O176" s="92"/>
      <c r="P176" s="92"/>
    </row>
    <row r="177" spans="11:16">
      <c r="K177" s="92"/>
      <c r="L177" s="92"/>
      <c r="M177" s="92"/>
      <c r="N177" s="92"/>
      <c r="O177" s="92"/>
      <c r="P177" s="92"/>
    </row>
    <row r="178" spans="11:16">
      <c r="K178" s="92"/>
      <c r="L178" s="92"/>
      <c r="M178" s="92"/>
      <c r="N178" s="92"/>
      <c r="O178" s="92"/>
      <c r="P178" s="92"/>
    </row>
    <row r="179" spans="11:16">
      <c r="K179" s="92"/>
      <c r="L179" s="92"/>
      <c r="M179" s="92"/>
      <c r="N179" s="92"/>
      <c r="O179" s="92"/>
      <c r="P179" s="92"/>
    </row>
    <row r="180" spans="11:16">
      <c r="K180" s="92"/>
      <c r="L180" s="92"/>
      <c r="M180" s="92"/>
      <c r="N180" s="92"/>
      <c r="O180" s="92"/>
      <c r="P180" s="92"/>
    </row>
    <row r="181" spans="11:16">
      <c r="K181" s="92"/>
      <c r="L181" s="92"/>
      <c r="M181" s="92"/>
      <c r="N181" s="92"/>
      <c r="O181" s="92"/>
      <c r="P181" s="92"/>
    </row>
    <row r="182" spans="11:16">
      <c r="K182" s="92"/>
      <c r="L182" s="92"/>
      <c r="M182" s="92"/>
      <c r="N182" s="92"/>
      <c r="O182" s="92"/>
      <c r="P182" s="92"/>
    </row>
    <row r="183" spans="11:16">
      <c r="K183" s="92"/>
      <c r="L183" s="92"/>
      <c r="M183" s="92"/>
      <c r="N183" s="92"/>
      <c r="O183" s="92"/>
      <c r="P183" s="92"/>
    </row>
    <row r="184" spans="11:16">
      <c r="K184" s="92"/>
      <c r="L184" s="92"/>
      <c r="M184" s="92"/>
      <c r="N184" s="92"/>
      <c r="O184" s="92"/>
      <c r="P184" s="92"/>
    </row>
    <row r="185" spans="11:16">
      <c r="K185" s="92"/>
      <c r="L185" s="92"/>
      <c r="M185" s="92"/>
      <c r="N185" s="92"/>
      <c r="O185" s="92"/>
      <c r="P185" s="92"/>
    </row>
    <row r="186" spans="11:16">
      <c r="K186" s="92"/>
      <c r="L186" s="92"/>
      <c r="M186" s="92"/>
      <c r="N186" s="92"/>
      <c r="O186" s="92"/>
      <c r="P186" s="92"/>
    </row>
    <row r="187" spans="11:16">
      <c r="K187" s="92"/>
      <c r="L187" s="92"/>
      <c r="M187" s="92"/>
      <c r="N187" s="92"/>
      <c r="O187" s="92"/>
      <c r="P187" s="92"/>
    </row>
    <row r="188" spans="11:16">
      <c r="K188" s="92"/>
      <c r="L188" s="92"/>
      <c r="M188" s="92"/>
      <c r="N188" s="92"/>
      <c r="O188" s="92"/>
      <c r="P188" s="92"/>
    </row>
    <row r="189" spans="11:16">
      <c r="K189" s="92"/>
      <c r="L189" s="92"/>
      <c r="M189" s="92"/>
      <c r="N189" s="92"/>
      <c r="O189" s="92"/>
      <c r="P189" s="92"/>
    </row>
    <row r="190" spans="11:16">
      <c r="K190" s="92"/>
      <c r="L190" s="92"/>
      <c r="M190" s="92"/>
      <c r="N190" s="92"/>
      <c r="O190" s="92"/>
      <c r="P190" s="92"/>
    </row>
    <row r="191" spans="11:16">
      <c r="K191" s="92"/>
      <c r="L191" s="92"/>
      <c r="M191" s="92"/>
      <c r="N191" s="92"/>
      <c r="O191" s="92"/>
      <c r="P191" s="92"/>
    </row>
    <row r="192" spans="11:16">
      <c r="K192" s="92"/>
      <c r="L192" s="92"/>
      <c r="M192" s="92"/>
      <c r="N192" s="92"/>
      <c r="O192" s="92"/>
      <c r="P192" s="92"/>
    </row>
    <row r="193" spans="11:16">
      <c r="K193" s="92"/>
      <c r="L193" s="92"/>
      <c r="M193" s="92"/>
      <c r="N193" s="92"/>
      <c r="O193" s="92"/>
      <c r="P193" s="92"/>
    </row>
    <row r="194" spans="11:16">
      <c r="K194" s="92"/>
      <c r="L194" s="92"/>
      <c r="M194" s="92"/>
      <c r="N194" s="92"/>
      <c r="O194" s="92"/>
      <c r="P194" s="92"/>
    </row>
    <row r="195" spans="11:16">
      <c r="K195" s="92"/>
      <c r="L195" s="92"/>
      <c r="M195" s="92"/>
      <c r="N195" s="92"/>
      <c r="O195" s="92"/>
      <c r="P195" s="92"/>
    </row>
    <row r="196" spans="11:16">
      <c r="K196" s="92"/>
      <c r="L196" s="92"/>
      <c r="M196" s="92"/>
      <c r="N196" s="92"/>
      <c r="O196" s="92"/>
      <c r="P196" s="92"/>
    </row>
    <row r="197" spans="11:16">
      <c r="K197" s="92"/>
      <c r="L197" s="92"/>
      <c r="M197" s="92"/>
      <c r="N197" s="92"/>
      <c r="O197" s="92"/>
      <c r="P197" s="92"/>
    </row>
    <row r="198" spans="11:16">
      <c r="K198" s="92"/>
      <c r="L198" s="92"/>
      <c r="M198" s="92"/>
      <c r="N198" s="92"/>
      <c r="O198" s="92"/>
      <c r="P198" s="92"/>
    </row>
    <row r="199" spans="11:16">
      <c r="K199" s="92"/>
      <c r="L199" s="92"/>
      <c r="M199" s="92"/>
      <c r="N199" s="92"/>
      <c r="O199" s="92"/>
      <c r="P199" s="92"/>
    </row>
    <row r="200" spans="11:16">
      <c r="K200" s="92"/>
      <c r="L200" s="92"/>
      <c r="M200" s="92"/>
      <c r="N200" s="92"/>
      <c r="O200" s="92"/>
      <c r="P200" s="92"/>
    </row>
    <row r="201" spans="11:16">
      <c r="K201" s="92"/>
      <c r="L201" s="92"/>
      <c r="M201" s="92"/>
      <c r="N201" s="92"/>
      <c r="O201" s="92"/>
      <c r="P201" s="92"/>
    </row>
    <row r="202" spans="11:16">
      <c r="K202" s="92"/>
      <c r="L202" s="92"/>
      <c r="M202" s="92"/>
      <c r="N202" s="92"/>
      <c r="O202" s="92"/>
      <c r="P202" s="92"/>
    </row>
    <row r="203" spans="11:16">
      <c r="K203" s="92"/>
      <c r="L203" s="92"/>
      <c r="M203" s="92"/>
      <c r="N203" s="92"/>
      <c r="O203" s="92"/>
      <c r="P203" s="92"/>
    </row>
    <row r="204" spans="11:16">
      <c r="K204" s="92"/>
      <c r="L204" s="92"/>
      <c r="M204" s="92"/>
      <c r="N204" s="92"/>
      <c r="O204" s="92"/>
      <c r="P204" s="92"/>
    </row>
    <row r="205" spans="11:16">
      <c r="K205" s="92"/>
      <c r="L205" s="92"/>
      <c r="M205" s="92"/>
      <c r="N205" s="92"/>
      <c r="O205" s="92"/>
      <c r="P205" s="92"/>
    </row>
    <row r="206" spans="11:16">
      <c r="K206" s="92"/>
      <c r="L206" s="92"/>
      <c r="M206" s="92"/>
      <c r="N206" s="92"/>
      <c r="O206" s="92"/>
      <c r="P206" s="92"/>
    </row>
    <row r="207" spans="11:16">
      <c r="K207" s="92"/>
      <c r="L207" s="92"/>
      <c r="M207" s="92"/>
      <c r="N207" s="92"/>
      <c r="O207" s="92"/>
      <c r="P207" s="92"/>
    </row>
    <row r="208" spans="11:16">
      <c r="K208" s="92"/>
      <c r="L208" s="92"/>
      <c r="M208" s="92"/>
      <c r="N208" s="92"/>
      <c r="O208" s="92"/>
      <c r="P208" s="92"/>
    </row>
    <row r="209" spans="11:16">
      <c r="K209" s="92"/>
      <c r="L209" s="92"/>
      <c r="M209" s="92"/>
      <c r="N209" s="92"/>
      <c r="O209" s="92"/>
      <c r="P209" s="92"/>
    </row>
    <row r="210" spans="11:16">
      <c r="K210" s="92"/>
      <c r="L210" s="92"/>
      <c r="M210" s="92"/>
      <c r="N210" s="92"/>
      <c r="O210" s="92"/>
      <c r="P210" s="92"/>
    </row>
    <row r="211" spans="11:16">
      <c r="K211" s="92"/>
      <c r="L211" s="92"/>
      <c r="M211" s="92"/>
      <c r="N211" s="92"/>
      <c r="O211" s="92"/>
      <c r="P211" s="92"/>
    </row>
    <row r="212" spans="11:16">
      <c r="K212" s="92"/>
      <c r="L212" s="92"/>
      <c r="M212" s="92"/>
      <c r="N212" s="92"/>
      <c r="O212" s="92"/>
      <c r="P212" s="92"/>
    </row>
    <row r="213" spans="11:16">
      <c r="K213" s="92"/>
      <c r="L213" s="92"/>
      <c r="M213" s="92"/>
      <c r="N213" s="92"/>
      <c r="O213" s="92"/>
      <c r="P213" s="92"/>
    </row>
    <row r="214" spans="11:16">
      <c r="K214" s="92"/>
      <c r="L214" s="92"/>
      <c r="M214" s="92"/>
      <c r="N214" s="92"/>
      <c r="O214" s="92"/>
      <c r="P214" s="92"/>
    </row>
    <row r="215" spans="11:16">
      <c r="K215" s="92"/>
      <c r="L215" s="92"/>
      <c r="M215" s="92"/>
      <c r="N215" s="92"/>
      <c r="O215" s="92"/>
      <c r="P215" s="92"/>
    </row>
    <row r="216" spans="11:16">
      <c r="K216" s="92"/>
      <c r="L216" s="92"/>
      <c r="M216" s="92"/>
      <c r="N216" s="92"/>
      <c r="O216" s="92"/>
      <c r="P216" s="92"/>
    </row>
    <row r="217" spans="11:16">
      <c r="K217" s="92"/>
      <c r="L217" s="92"/>
      <c r="M217" s="92"/>
      <c r="N217" s="92"/>
      <c r="O217" s="92"/>
      <c r="P217" s="92"/>
    </row>
    <row r="218" spans="11:16">
      <c r="K218" s="92"/>
      <c r="L218" s="92"/>
      <c r="M218" s="92"/>
      <c r="N218" s="92"/>
      <c r="O218" s="92"/>
      <c r="P218" s="92"/>
    </row>
    <row r="219" spans="11:16">
      <c r="K219" s="92"/>
      <c r="L219" s="92"/>
      <c r="M219" s="92"/>
      <c r="N219" s="92"/>
      <c r="O219" s="92"/>
      <c r="P219" s="92"/>
    </row>
    <row r="220" spans="11:16">
      <c r="K220" s="92"/>
      <c r="L220" s="92"/>
      <c r="M220" s="92"/>
      <c r="N220" s="92"/>
      <c r="O220" s="92"/>
      <c r="P220" s="92"/>
    </row>
    <row r="221" spans="11:16">
      <c r="K221" s="92"/>
      <c r="L221" s="92"/>
      <c r="M221" s="92"/>
      <c r="N221" s="92"/>
      <c r="O221" s="92"/>
      <c r="P221" s="92"/>
    </row>
    <row r="222" spans="11:16">
      <c r="K222" s="92"/>
      <c r="L222" s="92"/>
      <c r="M222" s="92"/>
      <c r="N222" s="92"/>
      <c r="O222" s="92"/>
      <c r="P222" s="92"/>
    </row>
    <row r="223" spans="11:16">
      <c r="K223" s="92"/>
      <c r="L223" s="92"/>
      <c r="M223" s="92"/>
      <c r="N223" s="92"/>
      <c r="O223" s="92"/>
      <c r="P223" s="92"/>
    </row>
    <row r="224" spans="11:16">
      <c r="K224" s="92"/>
      <c r="L224" s="92"/>
      <c r="M224" s="92"/>
      <c r="N224" s="92"/>
      <c r="O224" s="92"/>
      <c r="P224" s="92"/>
    </row>
    <row r="225" spans="11:16">
      <c r="K225" s="92"/>
      <c r="L225" s="92"/>
      <c r="M225" s="92"/>
      <c r="N225" s="92"/>
      <c r="O225" s="92"/>
      <c r="P225" s="92"/>
    </row>
    <row r="226" spans="11:16">
      <c r="K226" s="92"/>
      <c r="L226" s="92"/>
      <c r="M226" s="92"/>
      <c r="N226" s="92"/>
      <c r="O226" s="92"/>
      <c r="P226" s="92"/>
    </row>
    <row r="227" spans="11:16">
      <c r="K227" s="92"/>
      <c r="L227" s="92"/>
      <c r="M227" s="92"/>
      <c r="N227" s="92"/>
      <c r="O227" s="92"/>
      <c r="P227" s="92"/>
    </row>
    <row r="228" spans="11:16">
      <c r="K228" s="92"/>
      <c r="L228" s="92"/>
      <c r="M228" s="92"/>
      <c r="N228" s="92"/>
      <c r="O228" s="92"/>
      <c r="P228" s="92"/>
    </row>
    <row r="229" spans="11:16">
      <c r="K229" s="92"/>
      <c r="L229" s="92"/>
      <c r="M229" s="92"/>
      <c r="N229" s="92"/>
      <c r="O229" s="92"/>
      <c r="P229" s="92"/>
    </row>
    <row r="230" spans="11:16">
      <c r="K230" s="92"/>
      <c r="L230" s="92"/>
      <c r="M230" s="92"/>
      <c r="N230" s="92"/>
      <c r="O230" s="92"/>
      <c r="P230" s="92"/>
    </row>
    <row r="231" spans="11:16">
      <c r="K231" s="92"/>
      <c r="L231" s="92"/>
      <c r="M231" s="92"/>
      <c r="N231" s="92"/>
      <c r="O231" s="92"/>
      <c r="P231" s="92"/>
    </row>
    <row r="232" spans="11:16">
      <c r="K232" s="92"/>
      <c r="L232" s="92"/>
      <c r="M232" s="92"/>
      <c r="N232" s="92"/>
      <c r="O232" s="92"/>
      <c r="P232" s="92"/>
    </row>
    <row r="233" spans="11:16">
      <c r="K233" s="92"/>
      <c r="L233" s="92"/>
      <c r="M233" s="92"/>
      <c r="N233" s="92"/>
      <c r="O233" s="92"/>
      <c r="P233" s="92"/>
    </row>
    <row r="234" spans="11:16">
      <c r="K234" s="92"/>
      <c r="L234" s="92"/>
      <c r="M234" s="92"/>
      <c r="N234" s="92"/>
      <c r="O234" s="92"/>
      <c r="P234" s="92"/>
    </row>
    <row r="235" spans="11:16">
      <c r="K235" s="92"/>
      <c r="L235" s="92"/>
      <c r="M235" s="92"/>
      <c r="N235" s="92"/>
      <c r="O235" s="92"/>
      <c r="P235" s="92"/>
    </row>
    <row r="236" spans="11:16">
      <c r="K236" s="92"/>
      <c r="L236" s="92"/>
      <c r="M236" s="92"/>
      <c r="N236" s="92"/>
      <c r="O236" s="92"/>
      <c r="P236" s="92"/>
    </row>
    <row r="237" spans="11:16">
      <c r="K237" s="92"/>
      <c r="L237" s="92"/>
      <c r="M237" s="92"/>
      <c r="N237" s="92"/>
      <c r="O237" s="92"/>
      <c r="P237" s="92"/>
    </row>
    <row r="238" spans="11:16">
      <c r="K238" s="92"/>
      <c r="L238" s="92"/>
      <c r="M238" s="92"/>
      <c r="N238" s="92"/>
      <c r="O238" s="92"/>
      <c r="P238" s="92"/>
    </row>
    <row r="239" spans="11:16">
      <c r="K239" s="92"/>
      <c r="L239" s="92"/>
      <c r="M239" s="92"/>
      <c r="N239" s="92"/>
      <c r="O239" s="92"/>
      <c r="P239" s="92"/>
    </row>
    <row r="240" spans="11:16">
      <c r="K240" s="92"/>
      <c r="L240" s="92"/>
      <c r="M240" s="92"/>
      <c r="N240" s="92"/>
      <c r="O240" s="92"/>
      <c r="P240" s="92"/>
    </row>
    <row r="241" spans="11:16">
      <c r="K241" s="92"/>
      <c r="L241" s="92"/>
      <c r="M241" s="92"/>
      <c r="N241" s="92"/>
      <c r="O241" s="92"/>
      <c r="P241" s="92"/>
    </row>
    <row r="242" spans="11:16">
      <c r="K242" s="92"/>
      <c r="L242" s="92"/>
      <c r="M242" s="92"/>
      <c r="N242" s="92"/>
      <c r="O242" s="92"/>
      <c r="P242" s="92"/>
    </row>
    <row r="243" spans="11:16">
      <c r="K243" s="92"/>
      <c r="L243" s="92"/>
      <c r="M243" s="92"/>
      <c r="N243" s="92"/>
      <c r="O243" s="92"/>
      <c r="P243" s="92"/>
    </row>
    <row r="244" spans="11:16">
      <c r="K244" s="92"/>
      <c r="L244" s="92"/>
      <c r="M244" s="92"/>
      <c r="N244" s="92"/>
      <c r="O244" s="92"/>
      <c r="P244" s="92"/>
    </row>
    <row r="245" spans="11:16">
      <c r="K245" s="92"/>
      <c r="L245" s="92"/>
      <c r="M245" s="92"/>
      <c r="N245" s="92"/>
      <c r="O245" s="92"/>
      <c r="P245" s="92"/>
    </row>
    <row r="246" spans="11:16">
      <c r="K246" s="92"/>
      <c r="L246" s="92"/>
      <c r="M246" s="92"/>
      <c r="N246" s="92"/>
      <c r="O246" s="92"/>
      <c r="P246" s="92"/>
    </row>
    <row r="247" spans="11:16">
      <c r="K247" s="92"/>
      <c r="L247" s="92"/>
      <c r="M247" s="92"/>
      <c r="N247" s="92"/>
      <c r="O247" s="92"/>
      <c r="P247" s="92"/>
    </row>
    <row r="248" spans="11:16">
      <c r="K248" s="92"/>
      <c r="L248" s="92"/>
      <c r="M248" s="92"/>
      <c r="N248" s="92"/>
      <c r="O248" s="92"/>
      <c r="P248" s="92"/>
    </row>
    <row r="249" spans="11:16">
      <c r="K249" s="92"/>
      <c r="L249" s="92"/>
      <c r="M249" s="92"/>
      <c r="N249" s="92"/>
      <c r="O249" s="92"/>
      <c r="P249" s="92"/>
    </row>
    <row r="250" spans="11:16">
      <c r="K250" s="92"/>
      <c r="L250" s="92"/>
      <c r="M250" s="92"/>
      <c r="N250" s="92"/>
      <c r="O250" s="92"/>
      <c r="P250" s="92"/>
    </row>
    <row r="251" spans="11:16">
      <c r="K251" s="92"/>
      <c r="L251" s="92"/>
      <c r="M251" s="92"/>
      <c r="N251" s="92"/>
      <c r="O251" s="92"/>
      <c r="P251" s="92"/>
    </row>
    <row r="252" spans="11:16">
      <c r="K252" s="92"/>
      <c r="L252" s="92"/>
      <c r="M252" s="92"/>
      <c r="N252" s="92"/>
      <c r="O252" s="92"/>
      <c r="P252" s="92"/>
    </row>
    <row r="253" spans="11:16">
      <c r="K253" s="92"/>
      <c r="L253" s="92"/>
      <c r="M253" s="92"/>
      <c r="N253" s="92"/>
      <c r="O253" s="92"/>
      <c r="P253" s="92"/>
    </row>
    <row r="254" spans="11:16">
      <c r="K254" s="92"/>
      <c r="L254" s="92"/>
      <c r="M254" s="92"/>
      <c r="N254" s="92"/>
      <c r="O254" s="92"/>
      <c r="P254" s="92"/>
    </row>
    <row r="255" spans="11:16">
      <c r="K255" s="92"/>
      <c r="L255" s="92"/>
      <c r="M255" s="92"/>
      <c r="N255" s="92"/>
      <c r="O255" s="92"/>
      <c r="P255" s="92"/>
    </row>
    <row r="256" spans="11:16">
      <c r="K256" s="92"/>
      <c r="L256" s="92"/>
      <c r="M256" s="92"/>
      <c r="N256" s="92"/>
      <c r="O256" s="92"/>
      <c r="P256" s="92"/>
    </row>
    <row r="257" spans="11:16">
      <c r="K257" s="92"/>
      <c r="L257" s="92"/>
      <c r="M257" s="92"/>
      <c r="N257" s="92"/>
      <c r="O257" s="92"/>
      <c r="P257" s="92"/>
    </row>
    <row r="258" spans="11:16">
      <c r="K258" s="92"/>
      <c r="L258" s="92"/>
      <c r="M258" s="92"/>
      <c r="N258" s="92"/>
      <c r="O258" s="92"/>
      <c r="P258" s="92"/>
    </row>
    <row r="259" spans="11:16">
      <c r="K259" s="92"/>
      <c r="L259" s="92"/>
      <c r="M259" s="92"/>
      <c r="N259" s="92"/>
      <c r="O259" s="92"/>
      <c r="P259" s="92"/>
    </row>
    <row r="260" spans="11:16">
      <c r="K260" s="92"/>
      <c r="L260" s="92"/>
      <c r="M260" s="92"/>
      <c r="N260" s="92"/>
      <c r="O260" s="92"/>
      <c r="P260" s="92"/>
    </row>
    <row r="261" spans="11:16">
      <c r="K261" s="92"/>
      <c r="L261" s="92"/>
      <c r="M261" s="92"/>
      <c r="N261" s="92"/>
      <c r="O261" s="92"/>
      <c r="P261" s="92"/>
    </row>
    <row r="262" spans="11:16">
      <c r="K262" s="92"/>
      <c r="L262" s="92"/>
      <c r="M262" s="92"/>
      <c r="N262" s="92"/>
      <c r="O262" s="92"/>
      <c r="P262" s="92"/>
    </row>
    <row r="263" spans="11:16">
      <c r="K263" s="92"/>
      <c r="L263" s="92"/>
      <c r="M263" s="92"/>
      <c r="N263" s="92"/>
      <c r="O263" s="92"/>
      <c r="P263" s="92"/>
    </row>
    <row r="264" spans="11:16">
      <c r="K264" s="92"/>
      <c r="L264" s="92"/>
      <c r="M264" s="92"/>
      <c r="N264" s="92"/>
      <c r="O264" s="92"/>
      <c r="P264" s="92"/>
    </row>
    <row r="265" spans="11:16">
      <c r="K265" s="92"/>
      <c r="L265" s="92"/>
      <c r="M265" s="92"/>
      <c r="N265" s="92"/>
      <c r="O265" s="92"/>
      <c r="P265" s="92"/>
    </row>
    <row r="266" spans="11:16">
      <c r="K266" s="92"/>
      <c r="L266" s="92"/>
      <c r="M266" s="92"/>
      <c r="N266" s="92"/>
      <c r="O266" s="92"/>
      <c r="P266" s="92"/>
    </row>
    <row r="267" spans="11:16">
      <c r="K267" s="92"/>
      <c r="L267" s="92"/>
      <c r="M267" s="92"/>
      <c r="N267" s="92"/>
      <c r="O267" s="92"/>
      <c r="P267" s="92"/>
    </row>
    <row r="268" spans="11:16">
      <c r="K268" s="92"/>
      <c r="L268" s="92"/>
      <c r="M268" s="92"/>
      <c r="N268" s="92"/>
      <c r="O268" s="92"/>
      <c r="P268" s="92"/>
    </row>
    <row r="269" spans="11:16">
      <c r="K269" s="92"/>
      <c r="L269" s="92"/>
      <c r="M269" s="92"/>
      <c r="N269" s="92"/>
      <c r="O269" s="92"/>
      <c r="P269" s="92"/>
    </row>
    <row r="270" spans="11:16">
      <c r="K270" s="92"/>
      <c r="L270" s="92"/>
      <c r="M270" s="92"/>
      <c r="N270" s="92"/>
      <c r="O270" s="92"/>
      <c r="P270" s="92"/>
    </row>
    <row r="271" spans="11:16">
      <c r="K271" s="92"/>
      <c r="L271" s="92"/>
      <c r="M271" s="92"/>
      <c r="N271" s="92"/>
      <c r="O271" s="92"/>
      <c r="P271" s="92"/>
    </row>
    <row r="272" spans="11:16">
      <c r="K272" s="92"/>
      <c r="L272" s="92"/>
      <c r="M272" s="92"/>
      <c r="N272" s="92"/>
      <c r="O272" s="92"/>
      <c r="P272" s="92"/>
    </row>
    <row r="273" spans="11:16">
      <c r="K273" s="92"/>
      <c r="L273" s="92"/>
      <c r="M273" s="92"/>
      <c r="N273" s="92"/>
      <c r="O273" s="92"/>
      <c r="P273" s="92"/>
    </row>
    <row r="274" spans="11:16">
      <c r="K274" s="92"/>
      <c r="L274" s="92"/>
      <c r="M274" s="92"/>
      <c r="N274" s="92"/>
      <c r="O274" s="92"/>
      <c r="P274" s="92"/>
    </row>
    <row r="275" spans="11:16">
      <c r="K275" s="92"/>
      <c r="L275" s="92"/>
      <c r="M275" s="92"/>
      <c r="N275" s="92"/>
      <c r="O275" s="92"/>
      <c r="P275" s="92"/>
    </row>
    <row r="276" spans="11:16">
      <c r="K276" s="92"/>
      <c r="L276" s="92"/>
      <c r="M276" s="92"/>
      <c r="N276" s="92"/>
      <c r="O276" s="92"/>
      <c r="P276" s="92"/>
    </row>
    <row r="277" spans="11:16">
      <c r="K277" s="92"/>
      <c r="L277" s="92"/>
      <c r="M277" s="92"/>
      <c r="N277" s="92"/>
      <c r="O277" s="92"/>
      <c r="P277" s="92"/>
    </row>
    <row r="278" spans="11:16">
      <c r="K278" s="92"/>
      <c r="L278" s="92"/>
      <c r="M278" s="92"/>
      <c r="N278" s="92"/>
      <c r="O278" s="92"/>
      <c r="P278" s="92"/>
    </row>
    <row r="279" spans="11:16">
      <c r="K279" s="92"/>
      <c r="L279" s="92"/>
      <c r="M279" s="92"/>
      <c r="N279" s="92"/>
      <c r="O279" s="92"/>
      <c r="P279" s="92"/>
    </row>
    <row r="280" spans="11:16">
      <c r="K280" s="92"/>
      <c r="L280" s="92"/>
      <c r="M280" s="92"/>
      <c r="N280" s="92"/>
      <c r="O280" s="92"/>
      <c r="P280" s="92"/>
    </row>
    <row r="281" spans="11:16">
      <c r="K281" s="92"/>
      <c r="L281" s="92"/>
      <c r="M281" s="92"/>
      <c r="N281" s="92"/>
      <c r="O281" s="92"/>
      <c r="P281" s="92"/>
    </row>
    <row r="282" spans="11:16">
      <c r="K282" s="92"/>
      <c r="L282" s="92"/>
      <c r="M282" s="92"/>
      <c r="N282" s="92"/>
      <c r="O282" s="92"/>
      <c r="P282" s="92"/>
    </row>
    <row r="283" spans="11:16">
      <c r="K283" s="92"/>
      <c r="L283" s="92"/>
      <c r="M283" s="92"/>
      <c r="N283" s="92"/>
      <c r="O283" s="92"/>
      <c r="P283" s="92"/>
    </row>
    <row r="284" spans="11:16">
      <c r="K284" s="92"/>
      <c r="L284" s="92"/>
      <c r="M284" s="92"/>
      <c r="N284" s="92"/>
      <c r="O284" s="92"/>
      <c r="P284" s="92"/>
    </row>
    <row r="285" spans="11:16">
      <c r="K285" s="92"/>
      <c r="L285" s="92"/>
      <c r="M285" s="92"/>
      <c r="N285" s="92"/>
      <c r="O285" s="92"/>
      <c r="P285" s="92"/>
    </row>
    <row r="286" spans="11:16">
      <c r="K286" s="92"/>
      <c r="L286" s="92"/>
      <c r="M286" s="92"/>
      <c r="N286" s="92"/>
      <c r="O286" s="92"/>
      <c r="P286" s="92"/>
    </row>
    <row r="287" spans="11:16">
      <c r="K287" s="92"/>
      <c r="L287" s="92"/>
      <c r="M287" s="92"/>
      <c r="N287" s="92"/>
      <c r="O287" s="92"/>
      <c r="P287" s="92"/>
    </row>
    <row r="288" spans="11:16">
      <c r="K288" s="92"/>
      <c r="L288" s="92"/>
      <c r="M288" s="92"/>
      <c r="N288" s="92"/>
      <c r="O288" s="92"/>
      <c r="P288" s="92"/>
    </row>
    <row r="289" spans="11:16">
      <c r="K289" s="92"/>
      <c r="L289" s="92"/>
      <c r="M289" s="92"/>
      <c r="N289" s="92"/>
      <c r="O289" s="92"/>
      <c r="P289" s="92"/>
    </row>
    <row r="290" spans="11:16">
      <c r="K290" s="92"/>
      <c r="L290" s="92"/>
      <c r="M290" s="92"/>
      <c r="N290" s="92"/>
      <c r="O290" s="92"/>
      <c r="P290" s="92"/>
    </row>
    <row r="291" spans="11:16">
      <c r="K291" s="92"/>
      <c r="L291" s="92"/>
      <c r="M291" s="92"/>
      <c r="N291" s="92"/>
      <c r="O291" s="92"/>
      <c r="P291" s="92"/>
    </row>
    <row r="292" spans="11:16">
      <c r="K292" s="92"/>
      <c r="L292" s="92"/>
      <c r="M292" s="92"/>
      <c r="N292" s="92"/>
      <c r="O292" s="92"/>
      <c r="P292" s="92"/>
    </row>
    <row r="293" spans="11:16">
      <c r="K293" s="92"/>
      <c r="L293" s="92"/>
      <c r="M293" s="92"/>
      <c r="N293" s="92"/>
      <c r="O293" s="92"/>
      <c r="P293" s="92"/>
    </row>
    <row r="294" spans="11:16">
      <c r="K294" s="92"/>
      <c r="L294" s="92"/>
      <c r="M294" s="92"/>
      <c r="N294" s="92"/>
      <c r="O294" s="92"/>
      <c r="P294" s="92"/>
    </row>
    <row r="295" spans="11:16">
      <c r="K295" s="92"/>
      <c r="L295" s="92"/>
      <c r="M295" s="92"/>
      <c r="N295" s="92"/>
      <c r="O295" s="92"/>
      <c r="P295" s="92"/>
    </row>
    <row r="296" spans="11:16">
      <c r="K296" s="92"/>
      <c r="L296" s="92"/>
      <c r="M296" s="92"/>
      <c r="N296" s="92"/>
      <c r="O296" s="92"/>
      <c r="P296" s="92"/>
    </row>
    <row r="297" spans="11:16">
      <c r="K297" s="92"/>
      <c r="L297" s="92"/>
      <c r="M297" s="92"/>
      <c r="N297" s="92"/>
      <c r="O297" s="92"/>
      <c r="P297" s="92"/>
    </row>
    <row r="298" spans="11:16">
      <c r="K298" s="92"/>
      <c r="L298" s="92"/>
      <c r="M298" s="92"/>
      <c r="N298" s="92"/>
      <c r="O298" s="92"/>
      <c r="P298" s="92"/>
    </row>
    <row r="299" spans="11:16">
      <c r="K299" s="92"/>
      <c r="L299" s="92"/>
      <c r="M299" s="92"/>
      <c r="N299" s="92"/>
      <c r="O299" s="92"/>
      <c r="P299" s="92"/>
    </row>
    <row r="300" spans="11:16">
      <c r="K300" s="92"/>
      <c r="L300" s="92"/>
      <c r="M300" s="92"/>
      <c r="N300" s="92"/>
      <c r="O300" s="92"/>
      <c r="P300" s="92"/>
    </row>
    <row r="301" spans="11:16">
      <c r="K301" s="92"/>
      <c r="L301" s="92"/>
      <c r="M301" s="92"/>
      <c r="N301" s="92"/>
      <c r="O301" s="92"/>
      <c r="P301" s="92"/>
    </row>
    <row r="302" spans="11:16">
      <c r="K302" s="92"/>
      <c r="L302" s="92"/>
      <c r="M302" s="92"/>
      <c r="N302" s="92"/>
      <c r="O302" s="92"/>
      <c r="P302" s="92"/>
    </row>
    <row r="303" spans="11:16">
      <c r="K303" s="92"/>
      <c r="L303" s="92"/>
      <c r="M303" s="92"/>
      <c r="N303" s="92"/>
      <c r="O303" s="92"/>
      <c r="P303" s="92"/>
    </row>
    <row r="304" spans="11:16">
      <c r="K304" s="92"/>
      <c r="L304" s="92"/>
      <c r="M304" s="92"/>
      <c r="N304" s="92"/>
      <c r="O304" s="92"/>
      <c r="P304" s="92"/>
    </row>
    <row r="305" spans="11:16">
      <c r="K305" s="92"/>
      <c r="L305" s="92"/>
      <c r="M305" s="92"/>
      <c r="N305" s="92"/>
      <c r="O305" s="92"/>
      <c r="P305" s="92"/>
    </row>
    <row r="306" spans="11:16">
      <c r="K306" s="92"/>
      <c r="L306" s="92"/>
      <c r="M306" s="92"/>
      <c r="N306" s="92"/>
      <c r="O306" s="92"/>
      <c r="P306" s="92"/>
    </row>
    <row r="307" spans="11:16">
      <c r="K307" s="92"/>
      <c r="L307" s="92"/>
      <c r="M307" s="92"/>
      <c r="N307" s="92"/>
      <c r="O307" s="92"/>
      <c r="P307" s="92"/>
    </row>
    <row r="308" spans="11:16">
      <c r="K308" s="92"/>
      <c r="L308" s="92"/>
      <c r="M308" s="92"/>
      <c r="N308" s="92"/>
      <c r="O308" s="92"/>
      <c r="P308" s="92"/>
    </row>
    <row r="309" spans="11:16">
      <c r="K309" s="92"/>
      <c r="L309" s="92"/>
      <c r="M309" s="92"/>
      <c r="N309" s="92"/>
      <c r="O309" s="92"/>
      <c r="P309" s="92"/>
    </row>
    <row r="310" spans="11:16">
      <c r="K310" s="92"/>
      <c r="L310" s="92"/>
      <c r="M310" s="92"/>
      <c r="N310" s="92"/>
      <c r="O310" s="92"/>
      <c r="P310" s="92"/>
    </row>
    <row r="311" spans="11:16">
      <c r="K311" s="92"/>
      <c r="L311" s="92"/>
      <c r="M311" s="92"/>
      <c r="N311" s="92"/>
      <c r="O311" s="92"/>
      <c r="P311" s="92"/>
    </row>
    <row r="312" spans="11:16">
      <c r="K312" s="92"/>
      <c r="L312" s="92"/>
      <c r="M312" s="92"/>
      <c r="N312" s="92"/>
      <c r="O312" s="92"/>
      <c r="P312" s="92"/>
    </row>
    <row r="313" spans="11:16">
      <c r="K313" s="92"/>
      <c r="L313" s="92"/>
      <c r="M313" s="92"/>
      <c r="N313" s="92"/>
      <c r="O313" s="92"/>
      <c r="P313" s="92"/>
    </row>
    <row r="314" spans="11:16">
      <c r="K314" s="92"/>
      <c r="L314" s="92"/>
      <c r="M314" s="92"/>
      <c r="N314" s="92"/>
      <c r="O314" s="92"/>
      <c r="P314" s="92"/>
    </row>
    <row r="315" spans="11:16">
      <c r="K315" s="92"/>
      <c r="L315" s="92"/>
      <c r="M315" s="92"/>
      <c r="N315" s="92"/>
      <c r="O315" s="92"/>
      <c r="P315" s="92"/>
    </row>
    <row r="316" spans="11:16">
      <c r="K316" s="92"/>
      <c r="L316" s="92"/>
      <c r="M316" s="92"/>
      <c r="N316" s="92"/>
      <c r="O316" s="92"/>
      <c r="P316" s="92"/>
    </row>
    <row r="317" spans="11:16">
      <c r="K317" s="92"/>
      <c r="L317" s="92"/>
      <c r="M317" s="92"/>
      <c r="N317" s="92"/>
      <c r="O317" s="92"/>
      <c r="P317" s="92"/>
    </row>
    <row r="318" spans="11:16">
      <c r="K318" s="92"/>
      <c r="L318" s="92"/>
      <c r="M318" s="92"/>
      <c r="N318" s="92"/>
      <c r="O318" s="92"/>
      <c r="P318" s="92"/>
    </row>
    <row r="319" spans="11:16">
      <c r="K319" s="92"/>
      <c r="L319" s="92"/>
      <c r="M319" s="92"/>
      <c r="N319" s="92"/>
      <c r="O319" s="92"/>
      <c r="P319" s="92"/>
    </row>
    <row r="320" spans="11:16">
      <c r="K320" s="92"/>
      <c r="L320" s="92"/>
      <c r="M320" s="92"/>
      <c r="N320" s="92"/>
      <c r="O320" s="92"/>
      <c r="P320" s="92"/>
    </row>
    <row r="321" spans="11:16">
      <c r="K321" s="92"/>
      <c r="L321" s="92"/>
      <c r="M321" s="92"/>
      <c r="N321" s="92"/>
      <c r="O321" s="92"/>
      <c r="P321" s="92"/>
    </row>
    <row r="322" spans="11:16">
      <c r="K322" s="92"/>
      <c r="L322" s="92"/>
      <c r="M322" s="92"/>
      <c r="N322" s="92"/>
      <c r="O322" s="92"/>
      <c r="P322" s="92"/>
    </row>
    <row r="323" spans="11:16">
      <c r="K323" s="92"/>
      <c r="L323" s="92"/>
      <c r="M323" s="92"/>
      <c r="N323" s="92"/>
      <c r="O323" s="92"/>
      <c r="P323" s="92"/>
    </row>
    <row r="324" spans="11:16">
      <c r="K324" s="92"/>
      <c r="L324" s="92"/>
      <c r="M324" s="92"/>
      <c r="N324" s="92"/>
      <c r="O324" s="92"/>
      <c r="P324" s="92"/>
    </row>
    <row r="325" spans="11:16">
      <c r="K325" s="92"/>
      <c r="L325" s="92"/>
      <c r="M325" s="92"/>
      <c r="N325" s="92"/>
      <c r="O325" s="92"/>
      <c r="P325" s="92"/>
    </row>
    <row r="326" spans="11:16">
      <c r="K326" s="92"/>
      <c r="L326" s="92"/>
      <c r="M326" s="92"/>
      <c r="N326" s="92"/>
      <c r="O326" s="92"/>
      <c r="P326" s="92"/>
    </row>
    <row r="327" spans="11:16">
      <c r="K327" s="92"/>
      <c r="L327" s="92"/>
      <c r="M327" s="92"/>
      <c r="N327" s="92"/>
      <c r="O327" s="92"/>
      <c r="P327" s="92"/>
    </row>
    <row r="328" spans="11:16">
      <c r="K328" s="92"/>
      <c r="L328" s="92"/>
      <c r="M328" s="92"/>
      <c r="N328" s="92"/>
      <c r="O328" s="92"/>
      <c r="P328" s="92"/>
    </row>
    <row r="329" spans="11:16">
      <c r="K329" s="92"/>
      <c r="L329" s="92"/>
      <c r="M329" s="92"/>
      <c r="N329" s="92"/>
      <c r="O329" s="92"/>
      <c r="P329" s="92"/>
    </row>
    <row r="330" spans="11:16">
      <c r="K330" s="92"/>
      <c r="L330" s="92"/>
      <c r="M330" s="92"/>
      <c r="N330" s="92"/>
      <c r="O330" s="92"/>
      <c r="P330" s="92"/>
    </row>
    <row r="331" spans="11:16">
      <c r="K331" s="92"/>
      <c r="L331" s="92"/>
      <c r="M331" s="92"/>
      <c r="N331" s="92"/>
      <c r="O331" s="92"/>
      <c r="P331" s="92"/>
    </row>
    <row r="332" spans="11:16">
      <c r="K332" s="92"/>
      <c r="L332" s="92"/>
      <c r="M332" s="92"/>
      <c r="N332" s="92"/>
      <c r="O332" s="92"/>
      <c r="P332" s="92"/>
    </row>
    <row r="333" spans="11:16">
      <c r="K333" s="92"/>
      <c r="L333" s="92"/>
      <c r="M333" s="92"/>
      <c r="N333" s="92"/>
      <c r="O333" s="92"/>
      <c r="P333" s="92"/>
    </row>
    <row r="334" spans="11:16">
      <c r="K334" s="92"/>
      <c r="L334" s="92"/>
      <c r="M334" s="92"/>
      <c r="N334" s="92"/>
      <c r="O334" s="92"/>
      <c r="P334" s="92"/>
    </row>
    <row r="335" spans="11:16">
      <c r="K335" s="92"/>
      <c r="L335" s="92"/>
      <c r="M335" s="92"/>
      <c r="N335" s="92"/>
      <c r="O335" s="92"/>
      <c r="P335" s="92"/>
    </row>
    <row r="336" spans="11:16">
      <c r="K336" s="92"/>
      <c r="L336" s="92"/>
      <c r="M336" s="92"/>
      <c r="N336" s="92"/>
      <c r="O336" s="92"/>
      <c r="P336" s="92"/>
    </row>
    <row r="337" spans="11:16">
      <c r="K337" s="92"/>
      <c r="L337" s="92"/>
      <c r="M337" s="92"/>
      <c r="N337" s="92"/>
      <c r="O337" s="92"/>
      <c r="P337" s="92"/>
    </row>
    <row r="338" spans="11:16">
      <c r="K338" s="92"/>
      <c r="L338" s="92"/>
      <c r="M338" s="92"/>
      <c r="N338" s="92"/>
      <c r="O338" s="92"/>
      <c r="P338" s="92"/>
    </row>
    <row r="339" spans="11:16">
      <c r="K339" s="92"/>
      <c r="L339" s="92"/>
      <c r="M339" s="92"/>
      <c r="N339" s="92"/>
      <c r="O339" s="92"/>
      <c r="P339" s="92"/>
    </row>
    <row r="340" spans="11:16">
      <c r="K340" s="92"/>
      <c r="L340" s="92"/>
      <c r="M340" s="92"/>
      <c r="N340" s="92"/>
      <c r="O340" s="92"/>
      <c r="P340" s="92"/>
    </row>
    <row r="341" spans="11:16">
      <c r="K341" s="92"/>
      <c r="L341" s="92"/>
      <c r="M341" s="92"/>
      <c r="N341" s="92"/>
      <c r="O341" s="92"/>
      <c r="P341" s="92"/>
    </row>
    <row r="342" spans="11:16">
      <c r="K342" s="92"/>
      <c r="L342" s="92"/>
      <c r="M342" s="92"/>
      <c r="N342" s="92"/>
      <c r="O342" s="92"/>
      <c r="P342" s="92"/>
    </row>
    <row r="343" spans="11:16">
      <c r="K343" s="92"/>
      <c r="L343" s="92"/>
      <c r="M343" s="92"/>
      <c r="N343" s="92"/>
      <c r="O343" s="92"/>
      <c r="P343" s="92"/>
    </row>
    <row r="344" spans="11:16">
      <c r="K344" s="92"/>
      <c r="L344" s="92"/>
      <c r="M344" s="92"/>
      <c r="N344" s="92"/>
      <c r="O344" s="92"/>
      <c r="P344" s="92"/>
    </row>
    <row r="345" spans="11:16">
      <c r="K345" s="92"/>
      <c r="L345" s="92"/>
      <c r="M345" s="92"/>
      <c r="N345" s="92"/>
      <c r="O345" s="92"/>
      <c r="P345" s="92"/>
    </row>
    <row r="346" spans="11:16">
      <c r="K346" s="92"/>
      <c r="L346" s="92"/>
      <c r="M346" s="92"/>
      <c r="N346" s="92"/>
      <c r="O346" s="92"/>
      <c r="P346" s="92"/>
    </row>
    <row r="347" spans="11:16">
      <c r="K347" s="92"/>
      <c r="L347" s="92"/>
      <c r="M347" s="92"/>
      <c r="N347" s="92"/>
      <c r="O347" s="92"/>
      <c r="P347" s="92"/>
    </row>
    <row r="348" spans="11:16">
      <c r="K348" s="92"/>
      <c r="L348" s="92"/>
      <c r="M348" s="92"/>
      <c r="N348" s="92"/>
      <c r="O348" s="92"/>
      <c r="P348" s="92"/>
    </row>
    <row r="349" spans="11:16">
      <c r="K349" s="92"/>
      <c r="L349" s="92"/>
      <c r="M349" s="92"/>
      <c r="N349" s="92"/>
      <c r="O349" s="92"/>
      <c r="P349" s="92"/>
    </row>
    <row r="350" spans="11:16">
      <c r="K350" s="92"/>
      <c r="L350" s="92"/>
      <c r="M350" s="92"/>
      <c r="N350" s="92"/>
      <c r="O350" s="92"/>
      <c r="P350" s="92"/>
    </row>
    <row r="351" spans="11:16">
      <c r="K351" s="92"/>
      <c r="L351" s="92"/>
      <c r="M351" s="92"/>
      <c r="N351" s="92"/>
      <c r="O351" s="92"/>
      <c r="P351" s="92"/>
    </row>
    <row r="352" spans="11:16">
      <c r="K352" s="92"/>
      <c r="L352" s="92"/>
      <c r="M352" s="92"/>
      <c r="N352" s="92"/>
      <c r="O352" s="92"/>
      <c r="P352" s="92"/>
    </row>
    <row r="353" spans="11:16">
      <c r="K353" s="92"/>
      <c r="L353" s="92"/>
      <c r="M353" s="92"/>
      <c r="N353" s="92"/>
      <c r="O353" s="92"/>
      <c r="P353" s="92"/>
    </row>
    <row r="354" spans="11:16">
      <c r="K354" s="92"/>
      <c r="L354" s="92"/>
      <c r="M354" s="92"/>
      <c r="N354" s="92"/>
      <c r="O354" s="92"/>
      <c r="P354" s="92"/>
    </row>
    <row r="355" spans="11:16">
      <c r="K355" s="92"/>
      <c r="L355" s="92"/>
      <c r="M355" s="92"/>
      <c r="N355" s="92"/>
      <c r="O355" s="92"/>
      <c r="P355" s="92"/>
    </row>
    <row r="356" spans="11:16">
      <c r="K356" s="92"/>
      <c r="L356" s="92"/>
      <c r="M356" s="92"/>
      <c r="N356" s="92"/>
      <c r="O356" s="92"/>
      <c r="P356" s="92"/>
    </row>
    <row r="357" spans="11:16">
      <c r="K357" s="92"/>
      <c r="L357" s="92"/>
      <c r="M357" s="92"/>
      <c r="N357" s="92"/>
      <c r="O357" s="92"/>
      <c r="P357" s="92"/>
    </row>
    <row r="358" spans="11:16">
      <c r="K358" s="92"/>
      <c r="L358" s="92"/>
      <c r="M358" s="92"/>
      <c r="N358" s="92"/>
      <c r="O358" s="92"/>
      <c r="P358" s="92"/>
    </row>
    <row r="359" spans="11:16">
      <c r="K359" s="92"/>
      <c r="L359" s="92"/>
      <c r="M359" s="92"/>
      <c r="N359" s="92"/>
      <c r="O359" s="92"/>
      <c r="P359" s="92"/>
    </row>
    <row r="360" spans="11:16">
      <c r="K360" s="92"/>
      <c r="L360" s="92"/>
      <c r="M360" s="92"/>
      <c r="N360" s="92"/>
      <c r="O360" s="92"/>
      <c r="P360" s="92"/>
    </row>
    <row r="361" spans="11:16">
      <c r="K361" s="92"/>
      <c r="L361" s="92"/>
      <c r="M361" s="92"/>
      <c r="N361" s="92"/>
      <c r="O361" s="92"/>
      <c r="P361" s="92"/>
    </row>
    <row r="362" spans="11:16">
      <c r="K362" s="92"/>
      <c r="L362" s="92"/>
      <c r="M362" s="92"/>
      <c r="N362" s="92"/>
      <c r="O362" s="92"/>
      <c r="P362" s="92"/>
    </row>
    <row r="363" spans="11:16">
      <c r="K363" s="92"/>
      <c r="L363" s="92"/>
      <c r="M363" s="92"/>
      <c r="N363" s="92"/>
      <c r="O363" s="92"/>
      <c r="P363" s="92"/>
    </row>
    <row r="364" spans="11:16">
      <c r="K364" s="92"/>
      <c r="L364" s="92"/>
      <c r="M364" s="92"/>
      <c r="N364" s="92"/>
      <c r="O364" s="92"/>
      <c r="P364" s="92"/>
    </row>
  </sheetData>
  <mergeCells count="25">
    <mergeCell ref="AB5:AB6"/>
    <mergeCell ref="A44:A45"/>
    <mergeCell ref="C33:Y33"/>
    <mergeCell ref="C42:G42"/>
    <mergeCell ref="B43:B44"/>
    <mergeCell ref="C43:D43"/>
    <mergeCell ref="E43:F43"/>
    <mergeCell ref="G43:G44"/>
    <mergeCell ref="H43:H44"/>
    <mergeCell ref="B2:AB2"/>
    <mergeCell ref="B3:AB3"/>
    <mergeCell ref="B4:B6"/>
    <mergeCell ref="C4:C6"/>
    <mergeCell ref="D4:D6"/>
    <mergeCell ref="E4:E6"/>
    <mergeCell ref="F4:F6"/>
    <mergeCell ref="G4:U4"/>
    <mergeCell ref="V4:V6"/>
    <mergeCell ref="W4:W6"/>
    <mergeCell ref="X4:X6"/>
    <mergeCell ref="Y4:AB4"/>
    <mergeCell ref="G5:U5"/>
    <mergeCell ref="Y5:Y6"/>
    <mergeCell ref="Z5:Z6"/>
    <mergeCell ref="AA5:AA6"/>
  </mergeCells>
  <pageMargins left="0" right="0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2:N1141"/>
  <sheetViews>
    <sheetView tabSelected="1" workbookViewId="0">
      <selection activeCell="D9" sqref="D9:D10"/>
    </sheetView>
  </sheetViews>
  <sheetFormatPr defaultRowHeight="15"/>
  <cols>
    <col min="1" max="1" width="46" style="15" customWidth="1"/>
    <col min="2" max="3" width="8" style="15" customWidth="1"/>
    <col min="4" max="4" width="10" style="15" customWidth="1"/>
  </cols>
  <sheetData>
    <row r="2" spans="1:4" ht="15.75">
      <c r="A2" s="2" t="s">
        <v>54</v>
      </c>
      <c r="B2" s="1"/>
      <c r="C2" s="1"/>
      <c r="D2" s="1"/>
    </row>
    <row r="3" spans="1:4" ht="18" customHeight="1">
      <c r="A3" s="1" t="s">
        <v>53</v>
      </c>
      <c r="B3" s="1"/>
      <c r="C3" s="1"/>
      <c r="D3" s="470" t="s">
        <v>76</v>
      </c>
    </row>
    <row r="4" spans="1:4" ht="15.75">
      <c r="A4" s="1" t="s">
        <v>55</v>
      </c>
      <c r="B4" s="1"/>
      <c r="C4" s="1"/>
      <c r="D4" s="470" t="s">
        <v>75</v>
      </c>
    </row>
    <row r="5" spans="1:4" ht="15.75">
      <c r="A5" s="1" t="s">
        <v>56</v>
      </c>
      <c r="B5" s="1"/>
      <c r="C5" s="1"/>
      <c r="D5" s="470" t="s">
        <v>77</v>
      </c>
    </row>
    <row r="6" spans="1:4" ht="18.75">
      <c r="A6" s="533" t="s">
        <v>69</v>
      </c>
      <c r="B6" s="533"/>
      <c r="C6" s="533"/>
      <c r="D6" s="533"/>
    </row>
    <row r="7" spans="1:4" s="82" customFormat="1" ht="18.75">
      <c r="A7" s="534" t="s">
        <v>334</v>
      </c>
      <c r="B7" s="534"/>
      <c r="C7" s="534"/>
      <c r="D7" s="534"/>
    </row>
    <row r="8" spans="1:4" ht="15.75">
      <c r="A8" s="537" t="s">
        <v>78</v>
      </c>
      <c r="B8" s="537"/>
      <c r="C8" s="537"/>
      <c r="D8" s="537"/>
    </row>
    <row r="9" spans="1:4" ht="23.25" customHeight="1">
      <c r="A9" s="535" t="s">
        <v>70</v>
      </c>
      <c r="B9" s="535" t="s">
        <v>0</v>
      </c>
      <c r="C9" s="535" t="s">
        <v>1</v>
      </c>
      <c r="D9" s="535" t="s">
        <v>2</v>
      </c>
    </row>
    <row r="10" spans="1:4" ht="19.5" customHeight="1">
      <c r="A10" s="536"/>
      <c r="B10" s="536"/>
      <c r="C10" s="536"/>
      <c r="D10" s="536"/>
    </row>
    <row r="11" spans="1:4" ht="21" customHeight="1">
      <c r="A11" s="519" t="s">
        <v>3</v>
      </c>
      <c r="B11" s="520"/>
      <c r="C11" s="520"/>
      <c r="D11" s="520"/>
    </row>
    <row r="12" spans="1:4" ht="18.75">
      <c r="A12" s="3" t="s">
        <v>4</v>
      </c>
      <c r="B12" s="517"/>
      <c r="C12" s="518"/>
      <c r="D12" s="518"/>
    </row>
    <row r="13" spans="1:4" ht="19.5">
      <c r="A13" s="4" t="s">
        <v>5</v>
      </c>
      <c r="B13" s="4"/>
      <c r="C13" s="4"/>
      <c r="D13" s="68"/>
    </row>
    <row r="14" spans="1:4" s="71" customFormat="1" ht="16.5" customHeight="1">
      <c r="A14" s="191" t="s">
        <v>161</v>
      </c>
      <c r="B14" s="192"/>
      <c r="C14" s="193"/>
      <c r="D14" s="194" t="s">
        <v>86</v>
      </c>
    </row>
    <row r="15" spans="1:4" s="116" customFormat="1">
      <c r="A15" s="195" t="s">
        <v>315</v>
      </c>
      <c r="B15" s="143">
        <f>C15*1.01</f>
        <v>10.1</v>
      </c>
      <c r="C15" s="143">
        <v>10</v>
      </c>
      <c r="D15" s="124"/>
    </row>
    <row r="16" spans="1:4" s="116" customFormat="1">
      <c r="A16" s="196" t="s">
        <v>333</v>
      </c>
      <c r="B16" s="197">
        <f>C16</f>
        <v>20</v>
      </c>
      <c r="C16" s="197">
        <v>20</v>
      </c>
      <c r="D16" s="124"/>
    </row>
    <row r="17" spans="1:14" s="71" customFormat="1">
      <c r="A17" s="198" t="s">
        <v>162</v>
      </c>
      <c r="B17" s="199"/>
      <c r="C17" s="200"/>
      <c r="D17" s="201">
        <v>40</v>
      </c>
    </row>
    <row r="18" spans="1:14" s="71" customFormat="1">
      <c r="A18" s="308" t="s">
        <v>98</v>
      </c>
      <c r="B18" s="197">
        <f>C18</f>
        <v>40</v>
      </c>
      <c r="C18" s="200">
        <v>40</v>
      </c>
      <c r="D18" s="124"/>
    </row>
    <row r="19" spans="1:14" s="71" customFormat="1" ht="14.25">
      <c r="A19" s="154" t="s">
        <v>165</v>
      </c>
      <c r="B19" s="155"/>
      <c r="C19" s="156"/>
      <c r="D19" s="168" t="s">
        <v>163</v>
      </c>
    </row>
    <row r="20" spans="1:14" s="71" customFormat="1">
      <c r="A20" s="202" t="s">
        <v>164</v>
      </c>
      <c r="B20" s="203">
        <f t="shared" ref="B20:B25" si="0">C20</f>
        <v>25</v>
      </c>
      <c r="C20" s="203">
        <v>25</v>
      </c>
      <c r="D20" s="204"/>
    </row>
    <row r="21" spans="1:14" s="186" customFormat="1">
      <c r="A21" s="205" t="s">
        <v>83</v>
      </c>
      <c r="B21" s="203">
        <f t="shared" si="0"/>
        <v>86</v>
      </c>
      <c r="C21" s="5">
        <v>86</v>
      </c>
      <c r="D21" s="204"/>
    </row>
    <row r="22" spans="1:14" s="71" customFormat="1">
      <c r="A22" s="206" t="s">
        <v>84</v>
      </c>
      <c r="B22" s="203">
        <f t="shared" si="0"/>
        <v>96</v>
      </c>
      <c r="C22" s="5">
        <v>96</v>
      </c>
      <c r="D22" s="204"/>
    </row>
    <row r="23" spans="1:14" s="71" customFormat="1">
      <c r="A23" s="235" t="s">
        <v>102</v>
      </c>
      <c r="B23" s="224">
        <f t="shared" si="0"/>
        <v>0.8</v>
      </c>
      <c r="C23" s="224">
        <v>0.8</v>
      </c>
      <c r="D23" s="204"/>
    </row>
    <row r="24" spans="1:14" s="71" customFormat="1">
      <c r="A24" s="202" t="s">
        <v>103</v>
      </c>
      <c r="B24" s="203">
        <f t="shared" si="0"/>
        <v>4</v>
      </c>
      <c r="C24" s="203">
        <v>4</v>
      </c>
      <c r="D24" s="204"/>
    </row>
    <row r="25" spans="1:14" s="71" customFormat="1">
      <c r="A25" s="207" t="s">
        <v>147</v>
      </c>
      <c r="B25" s="203">
        <f t="shared" si="0"/>
        <v>5</v>
      </c>
      <c r="C25" s="203">
        <v>5</v>
      </c>
      <c r="D25" s="204"/>
    </row>
    <row r="26" spans="1:14" s="71" customFormat="1" ht="14.25">
      <c r="A26" s="169" t="s">
        <v>167</v>
      </c>
      <c r="B26" s="170"/>
      <c r="C26" s="171"/>
      <c r="D26" s="209">
        <v>200</v>
      </c>
    </row>
    <row r="27" spans="1:14" s="71" customFormat="1">
      <c r="A27" s="210" t="s">
        <v>166</v>
      </c>
      <c r="B27" s="211">
        <f>C27</f>
        <v>0.5</v>
      </c>
      <c r="C27" s="211">
        <v>0.5</v>
      </c>
      <c r="D27" s="143"/>
    </row>
    <row r="28" spans="1:14" s="71" customFormat="1" ht="14.25" customHeight="1">
      <c r="A28" s="202" t="s">
        <v>103</v>
      </c>
      <c r="B28" s="211">
        <f>C28</f>
        <v>10</v>
      </c>
      <c r="C28" s="211">
        <v>10</v>
      </c>
      <c r="D28" s="143"/>
    </row>
    <row r="29" spans="1:14" s="186" customFormat="1">
      <c r="A29" s="206" t="s">
        <v>84</v>
      </c>
      <c r="B29" s="212">
        <f>C29</f>
        <v>50</v>
      </c>
      <c r="C29" s="212">
        <v>50</v>
      </c>
      <c r="D29" s="143"/>
    </row>
    <row r="30" spans="1:14" s="186" customFormat="1">
      <c r="A30" s="213" t="s">
        <v>105</v>
      </c>
      <c r="B30" s="214">
        <f>C30</f>
        <v>150</v>
      </c>
      <c r="C30" s="214">
        <v>150</v>
      </c>
      <c r="D30" s="143"/>
    </row>
    <row r="31" spans="1:14" s="71" customFormat="1">
      <c r="A31" s="215" t="s">
        <v>331</v>
      </c>
      <c r="B31" s="176"/>
      <c r="C31" s="6"/>
      <c r="D31" s="216" t="s">
        <v>168</v>
      </c>
    </row>
    <row r="32" spans="1:14" ht="19.5">
      <c r="A32" s="4" t="s">
        <v>6</v>
      </c>
      <c r="B32" s="69"/>
      <c r="C32" s="69"/>
      <c r="D32" s="69"/>
      <c r="E32" s="82"/>
      <c r="F32" s="82"/>
      <c r="G32" s="82"/>
      <c r="H32" s="82"/>
      <c r="I32" s="82"/>
      <c r="J32" s="82"/>
      <c r="K32" s="82"/>
      <c r="L32" s="82"/>
      <c r="M32" s="82"/>
      <c r="N32" s="82"/>
    </row>
    <row r="33" spans="1:4" s="173" customFormat="1" ht="19.5" customHeight="1">
      <c r="A33" s="217" t="s">
        <v>326</v>
      </c>
      <c r="B33" s="218"/>
      <c r="C33" s="218"/>
      <c r="D33" s="219">
        <v>60</v>
      </c>
    </row>
    <row r="34" spans="1:4" s="173" customFormat="1" ht="15" customHeight="1">
      <c r="A34" s="220" t="s">
        <v>89</v>
      </c>
      <c r="B34" s="221">
        <f>C34*1.05</f>
        <v>58.800000000000004</v>
      </c>
      <c r="C34" s="221">
        <v>56</v>
      </c>
      <c r="D34" s="222"/>
    </row>
    <row r="35" spans="1:4" s="173" customFormat="1">
      <c r="A35" s="235" t="s">
        <v>102</v>
      </c>
      <c r="B35" s="224">
        <f>C35</f>
        <v>0.3</v>
      </c>
      <c r="C35" s="224">
        <v>0.3</v>
      </c>
      <c r="D35" s="222"/>
    </row>
    <row r="36" spans="1:4" s="173" customFormat="1">
      <c r="A36" s="225" t="s">
        <v>90</v>
      </c>
      <c r="B36" s="224">
        <f>C36</f>
        <v>3</v>
      </c>
      <c r="C36" s="224">
        <v>3</v>
      </c>
      <c r="D36" s="222"/>
    </row>
    <row r="37" spans="1:4" s="173" customFormat="1">
      <c r="A37" s="210" t="s">
        <v>169</v>
      </c>
      <c r="B37" s="128">
        <f>C37*1.35</f>
        <v>1.35</v>
      </c>
      <c r="C37" s="144">
        <v>1</v>
      </c>
      <c r="D37" s="222"/>
    </row>
    <row r="38" spans="1:4" s="173" customFormat="1" ht="14.25">
      <c r="A38" s="530" t="s">
        <v>172</v>
      </c>
      <c r="B38" s="531"/>
      <c r="C38" s="167"/>
      <c r="D38" s="167">
        <v>220</v>
      </c>
    </row>
    <row r="39" spans="1:4" s="173" customFormat="1">
      <c r="A39" s="226" t="s">
        <v>91</v>
      </c>
      <c r="B39" s="227">
        <f>C39*1.1</f>
        <v>12.76</v>
      </c>
      <c r="C39" s="227">
        <f>C40*1.45</f>
        <v>11.6</v>
      </c>
      <c r="D39" s="228"/>
    </row>
    <row r="40" spans="1:4" s="173" customFormat="1">
      <c r="A40" s="229" t="s">
        <v>171</v>
      </c>
      <c r="B40" s="230"/>
      <c r="C40" s="231">
        <v>8</v>
      </c>
      <c r="D40" s="228"/>
    </row>
    <row r="41" spans="1:4" s="173" customFormat="1">
      <c r="A41" s="223" t="s">
        <v>93</v>
      </c>
      <c r="B41" s="227">
        <f>C41*1.67</f>
        <v>75.149999999999991</v>
      </c>
      <c r="C41" s="227">
        <v>45</v>
      </c>
      <c r="D41" s="13"/>
    </row>
    <row r="42" spans="1:4" s="190" customFormat="1">
      <c r="A42" s="223" t="s">
        <v>94</v>
      </c>
      <c r="B42" s="128">
        <f>C42*1.33</f>
        <v>23.94</v>
      </c>
      <c r="C42" s="227">
        <v>18</v>
      </c>
      <c r="D42" s="13"/>
    </row>
    <row r="43" spans="1:4" s="173" customFormat="1">
      <c r="A43" s="232" t="s">
        <v>95</v>
      </c>
      <c r="B43" s="227">
        <f>C43*1.19</f>
        <v>16.66</v>
      </c>
      <c r="C43" s="227">
        <v>14</v>
      </c>
      <c r="D43" s="13"/>
    </row>
    <row r="44" spans="1:4" s="173" customFormat="1">
      <c r="A44" s="232" t="s">
        <v>122</v>
      </c>
      <c r="B44" s="227">
        <f t="shared" ref="B44:B48" si="1">C44</f>
        <v>0.01</v>
      </c>
      <c r="C44" s="227">
        <v>0.01</v>
      </c>
      <c r="D44" s="13"/>
    </row>
    <row r="45" spans="1:4" s="173" customFormat="1">
      <c r="A45" s="205" t="s">
        <v>83</v>
      </c>
      <c r="B45" s="233">
        <f t="shared" si="1"/>
        <v>188</v>
      </c>
      <c r="C45" s="227">
        <v>188</v>
      </c>
      <c r="D45" s="13"/>
    </row>
    <row r="46" spans="1:4" s="173" customFormat="1">
      <c r="A46" s="234" t="s">
        <v>219</v>
      </c>
      <c r="B46" s="227">
        <f t="shared" si="1"/>
        <v>2</v>
      </c>
      <c r="C46" s="227">
        <v>2</v>
      </c>
      <c r="D46" s="13"/>
    </row>
    <row r="47" spans="1:4" s="173" customFormat="1">
      <c r="A47" s="235" t="s">
        <v>173</v>
      </c>
      <c r="B47" s="233">
        <f t="shared" si="1"/>
        <v>4</v>
      </c>
      <c r="C47" s="233">
        <v>4</v>
      </c>
      <c r="D47" s="13"/>
    </row>
    <row r="48" spans="1:4" s="173" customFormat="1">
      <c r="A48" s="235" t="s">
        <v>102</v>
      </c>
      <c r="B48" s="233">
        <f t="shared" si="1"/>
        <v>1.5</v>
      </c>
      <c r="C48" s="233">
        <v>1.5</v>
      </c>
      <c r="D48" s="13"/>
    </row>
    <row r="49" spans="1:4" s="173" customFormat="1">
      <c r="A49" s="236" t="s">
        <v>97</v>
      </c>
      <c r="B49" s="237">
        <f>C49</f>
        <v>5</v>
      </c>
      <c r="C49" s="237">
        <v>5</v>
      </c>
      <c r="D49" s="13"/>
    </row>
    <row r="50" spans="1:4" s="173" customFormat="1" ht="14.25">
      <c r="A50" s="248" t="s">
        <v>174</v>
      </c>
      <c r="B50" s="248"/>
      <c r="C50" s="248"/>
      <c r="D50" s="239">
        <v>90</v>
      </c>
    </row>
    <row r="51" spans="1:4" s="173" customFormat="1">
      <c r="A51" s="240" t="s">
        <v>175</v>
      </c>
      <c r="B51" s="241">
        <f>C51*1.1</f>
        <v>75.900000000000006</v>
      </c>
      <c r="C51" s="241">
        <f>C52*1.38</f>
        <v>69</v>
      </c>
      <c r="D51" s="242"/>
    </row>
    <row r="52" spans="1:4" s="173" customFormat="1">
      <c r="A52" s="405" t="s">
        <v>176</v>
      </c>
      <c r="B52" s="406"/>
      <c r="C52" s="410">
        <v>50</v>
      </c>
      <c r="D52" s="242"/>
    </row>
    <row r="53" spans="1:4" s="173" customFormat="1">
      <c r="A53" s="240" t="s">
        <v>90</v>
      </c>
      <c r="B53" s="241">
        <f>C53</f>
        <v>5</v>
      </c>
      <c r="C53" s="241">
        <v>5</v>
      </c>
      <c r="D53" s="242"/>
    </row>
    <row r="54" spans="1:4" s="173" customFormat="1">
      <c r="A54" s="223" t="s">
        <v>94</v>
      </c>
      <c r="B54" s="128">
        <f>C54*1.33</f>
        <v>13.3</v>
      </c>
      <c r="C54" s="243">
        <v>10</v>
      </c>
      <c r="D54" s="244"/>
    </row>
    <row r="55" spans="1:4" s="173" customFormat="1">
      <c r="A55" s="235" t="s">
        <v>102</v>
      </c>
      <c r="B55" s="233">
        <f t="shared" ref="B55" si="2">C55</f>
        <v>1</v>
      </c>
      <c r="C55" s="233">
        <v>1</v>
      </c>
      <c r="D55" s="244"/>
    </row>
    <row r="56" spans="1:4" s="173" customFormat="1">
      <c r="A56" s="210" t="s">
        <v>95</v>
      </c>
      <c r="B56" s="243">
        <f>C56*1.19</f>
        <v>7.14</v>
      </c>
      <c r="C56" s="243">
        <v>6</v>
      </c>
      <c r="D56" s="244"/>
    </row>
    <row r="57" spans="1:4" s="173" customFormat="1">
      <c r="A57" s="407" t="s">
        <v>178</v>
      </c>
      <c r="B57" s="406"/>
      <c r="C57" s="411">
        <v>40</v>
      </c>
      <c r="D57" s="244"/>
    </row>
    <row r="58" spans="1:4" s="173" customFormat="1">
      <c r="A58" s="236" t="s">
        <v>97</v>
      </c>
      <c r="B58" s="241">
        <f>C58</f>
        <v>7</v>
      </c>
      <c r="C58" s="241">
        <v>7</v>
      </c>
      <c r="D58" s="244"/>
    </row>
    <row r="59" spans="1:4" s="173" customFormat="1">
      <c r="A59" s="322" t="s">
        <v>210</v>
      </c>
      <c r="B59" s="241">
        <f>C59</f>
        <v>3.8</v>
      </c>
      <c r="C59" s="241">
        <v>3.8</v>
      </c>
      <c r="D59" s="222"/>
    </row>
    <row r="60" spans="1:4" s="173" customFormat="1">
      <c r="A60" s="240" t="s">
        <v>105</v>
      </c>
      <c r="B60" s="241">
        <f>C60</f>
        <v>30</v>
      </c>
      <c r="C60" s="241">
        <v>30</v>
      </c>
      <c r="D60" s="222"/>
    </row>
    <row r="61" spans="1:4" s="173" customFormat="1">
      <c r="A61" s="245" t="s">
        <v>146</v>
      </c>
      <c r="B61" s="241">
        <f>C61</f>
        <v>3</v>
      </c>
      <c r="C61" s="241">
        <v>3</v>
      </c>
      <c r="D61" s="222"/>
    </row>
    <row r="62" spans="1:4" s="173" customFormat="1" ht="14.25">
      <c r="A62" s="249" t="s">
        <v>183</v>
      </c>
      <c r="B62" s="250"/>
      <c r="C62" s="251"/>
      <c r="D62" s="246">
        <v>150</v>
      </c>
    </row>
    <row r="63" spans="1:4" s="173" customFormat="1">
      <c r="A63" s="210" t="s">
        <v>179</v>
      </c>
      <c r="B63" s="144">
        <f>C63</f>
        <v>60</v>
      </c>
      <c r="C63" s="144">
        <v>60</v>
      </c>
      <c r="D63" s="247"/>
    </row>
    <row r="64" spans="1:4" s="173" customFormat="1">
      <c r="A64" s="235" t="s">
        <v>102</v>
      </c>
      <c r="B64" s="144">
        <f>C64</f>
        <v>1.2</v>
      </c>
      <c r="C64" s="144">
        <v>1.2</v>
      </c>
      <c r="D64" s="247"/>
    </row>
    <row r="65" spans="1:4" s="173" customFormat="1">
      <c r="A65" s="210" t="s">
        <v>105</v>
      </c>
      <c r="B65" s="144">
        <f>C65</f>
        <v>157.5</v>
      </c>
      <c r="C65" s="144">
        <v>157.5</v>
      </c>
      <c r="D65" s="247"/>
    </row>
    <row r="66" spans="1:4" s="173" customFormat="1">
      <c r="A66" s="207" t="s">
        <v>147</v>
      </c>
      <c r="B66" s="144">
        <f>C66</f>
        <v>4</v>
      </c>
      <c r="C66" s="144">
        <v>4</v>
      </c>
      <c r="D66" s="247"/>
    </row>
    <row r="67" spans="1:4" s="173" customFormat="1" ht="14.25" customHeight="1">
      <c r="A67" s="132" t="s">
        <v>180</v>
      </c>
      <c r="B67" s="133"/>
      <c r="C67" s="134"/>
      <c r="D67" s="130">
        <v>180</v>
      </c>
    </row>
    <row r="68" spans="1:4" s="173" customFormat="1">
      <c r="A68" s="252" t="s">
        <v>316</v>
      </c>
      <c r="B68" s="147">
        <f>C68</f>
        <v>20</v>
      </c>
      <c r="C68" s="147">
        <v>20</v>
      </c>
      <c r="D68" s="253"/>
    </row>
    <row r="69" spans="1:4" s="173" customFormat="1">
      <c r="A69" s="202" t="s">
        <v>103</v>
      </c>
      <c r="B69" s="147">
        <f>C69</f>
        <v>10</v>
      </c>
      <c r="C69" s="147">
        <v>10</v>
      </c>
      <c r="D69" s="253"/>
    </row>
    <row r="70" spans="1:4" s="173" customFormat="1">
      <c r="A70" s="223" t="s">
        <v>105</v>
      </c>
      <c r="B70" s="128">
        <f>C70</f>
        <v>180</v>
      </c>
      <c r="C70" s="128">
        <v>180</v>
      </c>
      <c r="D70" s="143"/>
    </row>
    <row r="71" spans="1:4" s="173" customFormat="1">
      <c r="A71" s="215" t="s">
        <v>331</v>
      </c>
      <c r="B71" s="128"/>
      <c r="C71" s="83"/>
      <c r="D71" s="139">
        <v>25</v>
      </c>
    </row>
    <row r="72" spans="1:4" s="173" customFormat="1" ht="14.25">
      <c r="A72" s="254" t="s">
        <v>332</v>
      </c>
      <c r="B72" s="126"/>
      <c r="C72" s="126"/>
      <c r="D72" s="130">
        <v>40</v>
      </c>
    </row>
    <row r="73" spans="1:4" ht="19.5">
      <c r="A73" s="4" t="s">
        <v>7</v>
      </c>
      <c r="B73" s="10"/>
      <c r="C73" s="10"/>
      <c r="D73" s="10"/>
    </row>
    <row r="74" spans="1:4" s="173" customFormat="1">
      <c r="A74" s="165" t="s">
        <v>181</v>
      </c>
      <c r="B74" s="166"/>
      <c r="C74" s="166"/>
      <c r="D74" s="167">
        <v>100</v>
      </c>
    </row>
    <row r="75" spans="1:4" s="173" customFormat="1">
      <c r="A75" s="256" t="s">
        <v>148</v>
      </c>
      <c r="B75" s="257">
        <f>C75</f>
        <v>40</v>
      </c>
      <c r="C75" s="257">
        <v>40</v>
      </c>
      <c r="D75" s="208"/>
    </row>
    <row r="76" spans="1:4" s="173" customFormat="1">
      <c r="A76" s="256" t="s">
        <v>120</v>
      </c>
      <c r="B76" s="257">
        <f t="shared" ref="B76:B82" si="3">C76</f>
        <v>28</v>
      </c>
      <c r="C76" s="257">
        <v>28</v>
      </c>
      <c r="D76" s="208"/>
    </row>
    <row r="77" spans="1:4" s="173" customFormat="1">
      <c r="A77" s="202" t="s">
        <v>103</v>
      </c>
      <c r="B77" s="257">
        <f t="shared" si="3"/>
        <v>24</v>
      </c>
      <c r="C77" s="257">
        <v>24</v>
      </c>
      <c r="D77" s="208"/>
    </row>
    <row r="78" spans="1:4" s="173" customFormat="1">
      <c r="A78" s="207" t="s">
        <v>147</v>
      </c>
      <c r="B78" s="257">
        <f t="shared" si="3"/>
        <v>12</v>
      </c>
      <c r="C78" s="257">
        <v>12</v>
      </c>
      <c r="D78" s="208"/>
    </row>
    <row r="79" spans="1:4" s="173" customFormat="1">
      <c r="A79" s="256" t="s">
        <v>106</v>
      </c>
      <c r="B79" s="257">
        <f t="shared" si="3"/>
        <v>0.5</v>
      </c>
      <c r="C79" s="257">
        <v>0.5</v>
      </c>
      <c r="D79" s="208"/>
    </row>
    <row r="80" spans="1:4" s="173" customFormat="1">
      <c r="A80" s="256" t="s">
        <v>108</v>
      </c>
      <c r="B80" s="257">
        <f>C80</f>
        <v>0.06</v>
      </c>
      <c r="C80" s="257">
        <v>0.06</v>
      </c>
      <c r="D80" s="208"/>
    </row>
    <row r="81" spans="1:7" s="173" customFormat="1">
      <c r="A81" s="322" t="s">
        <v>210</v>
      </c>
      <c r="B81" s="257">
        <f>C81</f>
        <v>12</v>
      </c>
      <c r="C81" s="257">
        <v>12</v>
      </c>
      <c r="D81" s="208"/>
    </row>
    <row r="82" spans="1:7" s="173" customFormat="1">
      <c r="A82" s="308" t="s">
        <v>98</v>
      </c>
      <c r="B82" s="257">
        <f t="shared" si="3"/>
        <v>9.5</v>
      </c>
      <c r="C82" s="257">
        <v>9.5</v>
      </c>
      <c r="D82" s="208"/>
    </row>
    <row r="83" spans="1:7" s="173" customFormat="1">
      <c r="A83" s="258" t="s">
        <v>99</v>
      </c>
      <c r="B83" s="259"/>
      <c r="C83" s="260">
        <f>SUM(C75:C82)</f>
        <v>126.06</v>
      </c>
      <c r="D83" s="208"/>
    </row>
    <row r="84" spans="1:7" s="173" customFormat="1">
      <c r="A84" s="261" t="s">
        <v>90</v>
      </c>
      <c r="B84" s="262">
        <f>C84</f>
        <v>1</v>
      </c>
      <c r="C84" s="262">
        <v>1</v>
      </c>
      <c r="D84" s="208"/>
    </row>
    <row r="85" spans="1:7" s="173" customFormat="1">
      <c r="A85" s="466" t="s">
        <v>317</v>
      </c>
      <c r="B85" s="147"/>
      <c r="C85" s="147"/>
      <c r="D85" s="467">
        <v>200</v>
      </c>
    </row>
    <row r="86" spans="1:7" s="173" customFormat="1">
      <c r="A86" s="370" t="s">
        <v>84</v>
      </c>
      <c r="B86" s="233">
        <f>C86*1.05</f>
        <v>210</v>
      </c>
      <c r="C86" s="233">
        <v>200</v>
      </c>
      <c r="D86" s="131"/>
    </row>
    <row r="87" spans="1:7" s="77" customFormat="1" ht="21" customHeight="1">
      <c r="A87" s="74" t="s">
        <v>68</v>
      </c>
      <c r="B87" s="75"/>
      <c r="C87" s="75"/>
      <c r="D87" s="76"/>
    </row>
    <row r="88" spans="1:7" ht="18.75">
      <c r="A88" s="3" t="s">
        <v>8</v>
      </c>
      <c r="B88" s="517"/>
      <c r="C88" s="518"/>
      <c r="D88" s="518"/>
    </row>
    <row r="89" spans="1:7" ht="19.5">
      <c r="A89" s="4" t="s">
        <v>5</v>
      </c>
      <c r="B89" s="4"/>
      <c r="C89" s="4"/>
      <c r="D89" s="68"/>
    </row>
    <row r="90" spans="1:7" s="118" customFormat="1">
      <c r="A90" s="191" t="s">
        <v>187</v>
      </c>
      <c r="B90" s="192"/>
      <c r="C90" s="193"/>
      <c r="D90" s="194" t="s">
        <v>184</v>
      </c>
      <c r="E90" s="189"/>
      <c r="F90" s="189"/>
      <c r="G90" s="189"/>
    </row>
    <row r="91" spans="1:7" s="71" customFormat="1">
      <c r="A91" s="207" t="s">
        <v>147</v>
      </c>
      <c r="B91" s="273">
        <f>C91</f>
        <v>5</v>
      </c>
      <c r="C91" s="273">
        <v>5</v>
      </c>
      <c r="D91" s="274"/>
      <c r="E91" s="173"/>
      <c r="F91" s="173"/>
      <c r="G91" s="173"/>
    </row>
    <row r="92" spans="1:7" s="71" customFormat="1">
      <c r="A92" s="195" t="s">
        <v>315</v>
      </c>
      <c r="B92" s="143">
        <f>C92*1.01</f>
        <v>10.1</v>
      </c>
      <c r="C92" s="143">
        <v>10</v>
      </c>
      <c r="D92" s="124"/>
      <c r="E92" s="173"/>
      <c r="F92" s="173"/>
      <c r="G92" s="173"/>
    </row>
    <row r="93" spans="1:7" s="71" customFormat="1">
      <c r="A93" s="196" t="s">
        <v>333</v>
      </c>
      <c r="B93" s="197">
        <f>C93</f>
        <v>20</v>
      </c>
      <c r="C93" s="197">
        <v>20</v>
      </c>
      <c r="D93" s="124"/>
      <c r="E93" s="173"/>
      <c r="F93" s="173"/>
      <c r="G93" s="173"/>
    </row>
    <row r="94" spans="1:7" s="71" customFormat="1" ht="14.25">
      <c r="A94" s="154" t="s">
        <v>188</v>
      </c>
      <c r="B94" s="155"/>
      <c r="C94" s="156"/>
      <c r="D94" s="168" t="s">
        <v>185</v>
      </c>
      <c r="E94" s="173"/>
      <c r="F94" s="173"/>
      <c r="G94" s="173"/>
    </row>
    <row r="95" spans="1:7" s="71" customFormat="1">
      <c r="A95" s="202" t="s">
        <v>186</v>
      </c>
      <c r="B95" s="203">
        <f t="shared" ref="B95:B100" si="4">C95</f>
        <v>30</v>
      </c>
      <c r="C95" s="203">
        <v>30</v>
      </c>
      <c r="D95" s="204"/>
      <c r="E95" s="173"/>
      <c r="F95" s="173"/>
      <c r="G95" s="173"/>
    </row>
    <row r="96" spans="1:7" s="71" customFormat="1">
      <c r="A96" s="205" t="s">
        <v>83</v>
      </c>
      <c r="B96" s="203">
        <f t="shared" si="4"/>
        <v>86</v>
      </c>
      <c r="C96" s="5">
        <v>86</v>
      </c>
      <c r="D96" s="204"/>
      <c r="E96" s="173"/>
      <c r="F96" s="173"/>
      <c r="G96" s="173"/>
    </row>
    <row r="97" spans="1:7" s="71" customFormat="1">
      <c r="A97" s="206" t="s">
        <v>84</v>
      </c>
      <c r="B97" s="203">
        <f t="shared" si="4"/>
        <v>96</v>
      </c>
      <c r="C97" s="5">
        <v>96</v>
      </c>
      <c r="D97" s="204"/>
      <c r="E97" s="173"/>
      <c r="F97" s="173"/>
      <c r="G97" s="173"/>
    </row>
    <row r="98" spans="1:7" s="71" customFormat="1">
      <c r="A98" s="235" t="s">
        <v>102</v>
      </c>
      <c r="B98" s="144">
        <f t="shared" si="4"/>
        <v>0.8</v>
      </c>
      <c r="C98" s="144">
        <v>0.8</v>
      </c>
      <c r="D98" s="204"/>
      <c r="E98" s="173"/>
      <c r="F98" s="173"/>
      <c r="G98" s="173"/>
    </row>
    <row r="99" spans="1:7">
      <c r="A99" s="202" t="s">
        <v>103</v>
      </c>
      <c r="B99" s="203">
        <f t="shared" si="4"/>
        <v>5</v>
      </c>
      <c r="C99" s="203">
        <v>5</v>
      </c>
      <c r="D99" s="204"/>
      <c r="E99" s="82"/>
      <c r="F99" s="82"/>
      <c r="G99" s="82"/>
    </row>
    <row r="100" spans="1:7">
      <c r="A100" s="207" t="s">
        <v>147</v>
      </c>
      <c r="B100" s="203">
        <f t="shared" si="4"/>
        <v>3</v>
      </c>
      <c r="C100" s="203">
        <v>3</v>
      </c>
      <c r="D100" s="204"/>
      <c r="E100" s="82"/>
      <c r="F100" s="82"/>
      <c r="G100" s="82"/>
    </row>
    <row r="101" spans="1:7">
      <c r="A101" s="509" t="s">
        <v>189</v>
      </c>
      <c r="B101" s="509"/>
      <c r="C101" s="509"/>
      <c r="D101" s="272">
        <v>200</v>
      </c>
      <c r="E101" s="82"/>
      <c r="F101" s="82"/>
      <c r="G101" s="82"/>
    </row>
    <row r="102" spans="1:7" s="136" customFormat="1" ht="15.75">
      <c r="A102" s="275" t="s">
        <v>111</v>
      </c>
      <c r="B102" s="128">
        <f>C102</f>
        <v>2.5</v>
      </c>
      <c r="C102" s="128">
        <v>2.5</v>
      </c>
      <c r="D102" s="276"/>
      <c r="E102" s="265"/>
      <c r="F102" s="265"/>
      <c r="G102" s="265"/>
    </row>
    <row r="103" spans="1:7" s="71" customFormat="1">
      <c r="A103" s="202" t="s">
        <v>103</v>
      </c>
      <c r="B103" s="128">
        <f>C103</f>
        <v>9</v>
      </c>
      <c r="C103" s="128">
        <v>9</v>
      </c>
      <c r="D103" s="276"/>
      <c r="E103" s="173"/>
      <c r="F103" s="173"/>
      <c r="G103" s="173"/>
    </row>
    <row r="104" spans="1:7" s="71" customFormat="1">
      <c r="A104" s="206" t="s">
        <v>84</v>
      </c>
      <c r="B104" s="128">
        <f>C104</f>
        <v>100</v>
      </c>
      <c r="C104" s="128">
        <v>100</v>
      </c>
      <c r="D104" s="276"/>
      <c r="E104" s="173"/>
      <c r="F104" s="173"/>
      <c r="G104" s="173"/>
    </row>
    <row r="105" spans="1:7" s="71" customFormat="1">
      <c r="A105" s="275" t="s">
        <v>105</v>
      </c>
      <c r="B105" s="273">
        <f>C105</f>
        <v>100</v>
      </c>
      <c r="C105" s="273">
        <v>100</v>
      </c>
      <c r="D105" s="277"/>
      <c r="E105" s="173"/>
      <c r="F105" s="173"/>
      <c r="G105" s="173"/>
    </row>
    <row r="106" spans="1:7" s="71" customFormat="1" ht="14.25" customHeight="1">
      <c r="A106" s="125" t="s">
        <v>119</v>
      </c>
      <c r="B106" s="125"/>
      <c r="C106" s="125"/>
      <c r="D106" s="209" t="s">
        <v>325</v>
      </c>
      <c r="E106" s="173"/>
      <c r="F106" s="173"/>
      <c r="G106" s="173"/>
    </row>
    <row r="107" spans="1:7" s="71" customFormat="1">
      <c r="A107" s="215" t="s">
        <v>331</v>
      </c>
      <c r="B107" s="128"/>
      <c r="C107" s="83"/>
      <c r="D107" s="139">
        <v>25</v>
      </c>
      <c r="E107" s="173"/>
      <c r="F107" s="173"/>
      <c r="G107" s="173"/>
    </row>
    <row r="108" spans="1:7" ht="19.5">
      <c r="A108" s="4" t="s">
        <v>6</v>
      </c>
      <c r="B108" s="69"/>
      <c r="C108" s="69"/>
      <c r="D108" s="69"/>
    </row>
    <row r="109" spans="1:7" s="189" customFormat="1" ht="18.75">
      <c r="A109" s="279" t="s">
        <v>191</v>
      </c>
      <c r="B109" s="280"/>
      <c r="C109" s="280"/>
      <c r="D109" s="282">
        <v>60</v>
      </c>
    </row>
    <row r="110" spans="1:7" s="82" customFormat="1" ht="18.75">
      <c r="A110" s="210" t="s">
        <v>127</v>
      </c>
      <c r="B110" s="144">
        <f>C110*1.33</f>
        <v>86.982000000000014</v>
      </c>
      <c r="C110" s="144">
        <f>C111*1.09</f>
        <v>65.400000000000006</v>
      </c>
      <c r="D110" s="281"/>
    </row>
    <row r="111" spans="1:7" s="82" customFormat="1" ht="18.75">
      <c r="A111" s="422" t="s">
        <v>128</v>
      </c>
      <c r="B111" s="423"/>
      <c r="C111" s="424">
        <v>60</v>
      </c>
      <c r="D111" s="281"/>
    </row>
    <row r="112" spans="1:7" s="82" customFormat="1" ht="18.75">
      <c r="A112" s="210" t="s">
        <v>169</v>
      </c>
      <c r="B112" s="128">
        <f>C112*1.35</f>
        <v>1.35</v>
      </c>
      <c r="C112" s="144">
        <v>1</v>
      </c>
      <c r="D112" s="281"/>
    </row>
    <row r="113" spans="1:7" s="187" customFormat="1" ht="15" customHeight="1">
      <c r="A113" s="297" t="s">
        <v>196</v>
      </c>
      <c r="B113" s="298"/>
      <c r="C113" s="299"/>
      <c r="D113" s="194" t="s">
        <v>192</v>
      </c>
      <c r="G113" s="266"/>
    </row>
    <row r="114" spans="1:7" s="82" customFormat="1">
      <c r="A114" s="226" t="s">
        <v>91</v>
      </c>
      <c r="B114" s="227">
        <f>C114*1.1</f>
        <v>15.950000000000001</v>
      </c>
      <c r="C114" s="227">
        <f>C115*1.45</f>
        <v>14.5</v>
      </c>
      <c r="D114" s="194"/>
    </row>
    <row r="115" spans="1:7" s="82" customFormat="1">
      <c r="A115" s="229" t="s">
        <v>171</v>
      </c>
      <c r="B115" s="230"/>
      <c r="C115" s="231">
        <v>10</v>
      </c>
      <c r="D115" s="194"/>
    </row>
    <row r="116" spans="1:7" s="82" customFormat="1">
      <c r="A116" s="223" t="s">
        <v>93</v>
      </c>
      <c r="B116" s="227">
        <f>C116*1.67</f>
        <v>83.5</v>
      </c>
      <c r="C116" s="143">
        <v>50</v>
      </c>
      <c r="D116" s="283"/>
    </row>
    <row r="117" spans="1:7" s="82" customFormat="1">
      <c r="A117" s="284" t="s">
        <v>145</v>
      </c>
      <c r="B117" s="285">
        <f>C117</f>
        <v>4</v>
      </c>
      <c r="C117" s="285">
        <v>4</v>
      </c>
      <c r="D117" s="283"/>
    </row>
    <row r="118" spans="1:7" s="82" customFormat="1">
      <c r="A118" s="223" t="s">
        <v>94</v>
      </c>
      <c r="B118" s="128">
        <f>C118*1.33</f>
        <v>13.3</v>
      </c>
      <c r="C118" s="128">
        <v>10</v>
      </c>
      <c r="D118" s="286"/>
    </row>
    <row r="119" spans="1:7" s="82" customFormat="1">
      <c r="A119" s="284" t="s">
        <v>95</v>
      </c>
      <c r="B119" s="285">
        <f>1.19*C119</f>
        <v>9.52</v>
      </c>
      <c r="C119" s="285">
        <v>8</v>
      </c>
      <c r="D119" s="286"/>
    </row>
    <row r="120" spans="1:7" s="82" customFormat="1">
      <c r="A120" s="232" t="s">
        <v>122</v>
      </c>
      <c r="B120" s="285">
        <f>C120</f>
        <v>0.01</v>
      </c>
      <c r="C120" s="285">
        <v>0.01</v>
      </c>
      <c r="D120" s="286"/>
    </row>
    <row r="121" spans="1:7" s="82" customFormat="1">
      <c r="A121" s="287" t="s">
        <v>96</v>
      </c>
      <c r="B121" s="288">
        <f>C121*1.9</f>
        <v>19</v>
      </c>
      <c r="C121" s="288">
        <v>10</v>
      </c>
      <c r="D121" s="286"/>
    </row>
    <row r="122" spans="1:7" s="82" customFormat="1">
      <c r="A122" s="287" t="s">
        <v>173</v>
      </c>
      <c r="B122" s="288">
        <f>C122</f>
        <v>4</v>
      </c>
      <c r="C122" s="288">
        <v>4</v>
      </c>
      <c r="D122" s="286"/>
    </row>
    <row r="123" spans="1:7" s="82" customFormat="1">
      <c r="A123" s="235" t="s">
        <v>102</v>
      </c>
      <c r="B123" s="233">
        <f t="shared" ref="B123" si="5">C123</f>
        <v>1.5</v>
      </c>
      <c r="C123" s="233">
        <v>1.5</v>
      </c>
      <c r="D123" s="286"/>
    </row>
    <row r="124" spans="1:7" s="82" customFormat="1">
      <c r="A124" s="223" t="s">
        <v>83</v>
      </c>
      <c r="B124" s="285">
        <f>C124</f>
        <v>188</v>
      </c>
      <c r="C124" s="285">
        <v>188</v>
      </c>
      <c r="D124" s="286"/>
    </row>
    <row r="125" spans="1:7" s="82" customFormat="1">
      <c r="A125" s="236" t="s">
        <v>97</v>
      </c>
      <c r="B125" s="285">
        <f>C125</f>
        <v>5</v>
      </c>
      <c r="C125" s="285">
        <v>5</v>
      </c>
      <c r="D125" s="286"/>
    </row>
    <row r="126" spans="1:7" s="82" customFormat="1">
      <c r="A126" s="289" t="s">
        <v>169</v>
      </c>
      <c r="B126" s="243">
        <f>C126*1.35</f>
        <v>0.67500000000000004</v>
      </c>
      <c r="C126" s="243">
        <v>0.5</v>
      </c>
      <c r="D126" s="222"/>
    </row>
    <row r="127" spans="1:7" s="82" customFormat="1">
      <c r="A127" s="521" t="s">
        <v>193</v>
      </c>
      <c r="B127" s="522"/>
      <c r="C127" s="523"/>
      <c r="D127" s="290">
        <v>90</v>
      </c>
    </row>
    <row r="128" spans="1:7" s="82" customFormat="1">
      <c r="A128" s="291" t="s">
        <v>129</v>
      </c>
      <c r="B128" s="292">
        <f>C128*1.4</f>
        <v>100.8</v>
      </c>
      <c r="C128" s="292">
        <f>C129*1.2</f>
        <v>72</v>
      </c>
      <c r="D128" s="290"/>
    </row>
    <row r="129" spans="1:4" s="82" customFormat="1">
      <c r="A129" s="440" t="s">
        <v>194</v>
      </c>
      <c r="B129" s="408"/>
      <c r="C129" s="411">
        <v>60</v>
      </c>
      <c r="D129" s="241"/>
    </row>
    <row r="130" spans="1:4" s="82" customFormat="1">
      <c r="A130" s="293" t="s">
        <v>90</v>
      </c>
      <c r="B130" s="292">
        <f>C130</f>
        <v>2</v>
      </c>
      <c r="C130" s="292">
        <v>2</v>
      </c>
      <c r="D130" s="241"/>
    </row>
    <row r="131" spans="1:4" s="82" customFormat="1">
      <c r="A131" s="235" t="s">
        <v>102</v>
      </c>
      <c r="B131" s="292">
        <f>C131</f>
        <v>1</v>
      </c>
      <c r="C131" s="292">
        <v>1</v>
      </c>
      <c r="D131" s="241"/>
    </row>
    <row r="132" spans="1:4" s="82" customFormat="1">
      <c r="A132" s="293" t="s">
        <v>95</v>
      </c>
      <c r="B132" s="292">
        <f>C132*1.19</f>
        <v>17.849999999999998</v>
      </c>
      <c r="C132" s="292">
        <v>15</v>
      </c>
      <c r="D132" s="241"/>
    </row>
    <row r="133" spans="1:4" s="82" customFormat="1">
      <c r="A133" s="223" t="s">
        <v>94</v>
      </c>
      <c r="B133" s="128">
        <f>C133*1.33</f>
        <v>39.900000000000006</v>
      </c>
      <c r="C133" s="292">
        <v>30</v>
      </c>
      <c r="D133" s="241"/>
    </row>
    <row r="134" spans="1:4" s="82" customFormat="1">
      <c r="A134" s="245" t="s">
        <v>146</v>
      </c>
      <c r="B134" s="241">
        <f>C134</f>
        <v>5</v>
      </c>
      <c r="C134" s="292">
        <v>5</v>
      </c>
      <c r="D134" s="241"/>
    </row>
    <row r="135" spans="1:4" s="82" customFormat="1">
      <c r="A135" s="150" t="s">
        <v>197</v>
      </c>
      <c r="B135" s="151"/>
      <c r="C135" s="152"/>
      <c r="D135" s="272">
        <v>150</v>
      </c>
    </row>
    <row r="136" spans="1:4" s="82" customFormat="1">
      <c r="A136" s="223" t="s">
        <v>93</v>
      </c>
      <c r="B136" s="227">
        <f>C136*1.67</f>
        <v>213.76</v>
      </c>
      <c r="C136" s="128">
        <v>128</v>
      </c>
      <c r="D136" s="276"/>
    </row>
    <row r="137" spans="1:4" s="173" customFormat="1">
      <c r="A137" s="206" t="s">
        <v>84</v>
      </c>
      <c r="B137" s="128">
        <f>C137*1.05</f>
        <v>23.625</v>
      </c>
      <c r="C137" s="128">
        <v>22.5</v>
      </c>
      <c r="D137" s="276"/>
    </row>
    <row r="138" spans="1:4" s="173" customFormat="1">
      <c r="A138" s="235" t="s">
        <v>102</v>
      </c>
      <c r="B138" s="233">
        <f t="shared" ref="B138" si="6">C138</f>
        <v>1.5</v>
      </c>
      <c r="C138" s="233">
        <v>1.5</v>
      </c>
      <c r="D138" s="276"/>
    </row>
    <row r="139" spans="1:4" s="173" customFormat="1">
      <c r="A139" s="207" t="s">
        <v>147</v>
      </c>
      <c r="B139" s="128">
        <f>C139</f>
        <v>5</v>
      </c>
      <c r="C139" s="128">
        <v>5</v>
      </c>
      <c r="D139" s="124"/>
    </row>
    <row r="140" spans="1:4" s="173" customFormat="1" ht="14.25">
      <c r="A140" s="177" t="s">
        <v>198</v>
      </c>
      <c r="B140" s="178"/>
      <c r="C140" s="179"/>
      <c r="D140" s="294">
        <v>200</v>
      </c>
    </row>
    <row r="141" spans="1:4" s="173" customFormat="1">
      <c r="A141" s="321" t="s">
        <v>233</v>
      </c>
      <c r="B141" s="237">
        <f>C141*1.13</f>
        <v>22.599999999999998</v>
      </c>
      <c r="C141" s="237">
        <v>20</v>
      </c>
      <c r="D141" s="283"/>
    </row>
    <row r="142" spans="1:4" s="173" customFormat="1">
      <c r="A142" s="295" t="s">
        <v>195</v>
      </c>
      <c r="B142" s="237">
        <f>C142</f>
        <v>0.06</v>
      </c>
      <c r="C142" s="237">
        <v>0.06</v>
      </c>
      <c r="D142" s="283"/>
    </row>
    <row r="143" spans="1:4" s="189" customFormat="1">
      <c r="A143" s="202" t="s">
        <v>103</v>
      </c>
      <c r="B143" s="128">
        <f>C143</f>
        <v>8</v>
      </c>
      <c r="C143" s="128">
        <v>8</v>
      </c>
      <c r="D143" s="283"/>
    </row>
    <row r="144" spans="1:4" s="82" customFormat="1">
      <c r="A144" s="295" t="s">
        <v>105</v>
      </c>
      <c r="B144" s="296">
        <f>C144</f>
        <v>180</v>
      </c>
      <c r="C144" s="296">
        <v>180</v>
      </c>
      <c r="D144" s="283"/>
    </row>
    <row r="145" spans="1:4" s="82" customFormat="1">
      <c r="A145" s="215" t="s">
        <v>331</v>
      </c>
      <c r="B145" s="128"/>
      <c r="C145" s="83"/>
      <c r="D145" s="139">
        <v>25</v>
      </c>
    </row>
    <row r="146" spans="1:4" s="82" customFormat="1">
      <c r="A146" s="254" t="s">
        <v>332</v>
      </c>
      <c r="B146" s="126"/>
      <c r="C146" s="126"/>
      <c r="D146" s="130">
        <v>40</v>
      </c>
    </row>
    <row r="147" spans="1:4" ht="19.5">
      <c r="A147" s="4" t="s">
        <v>7</v>
      </c>
      <c r="B147" s="10"/>
      <c r="C147" s="10"/>
      <c r="D147" s="10"/>
    </row>
    <row r="148" spans="1:4" s="187" customFormat="1" ht="15" customHeight="1">
      <c r="A148" s="183" t="s">
        <v>149</v>
      </c>
      <c r="B148" s="184"/>
      <c r="C148" s="185"/>
      <c r="D148" s="168" t="s">
        <v>150</v>
      </c>
    </row>
    <row r="149" spans="1:4" s="173" customFormat="1">
      <c r="A149" s="300" t="s">
        <v>151</v>
      </c>
      <c r="B149" s="143">
        <f>C149</f>
        <v>174</v>
      </c>
      <c r="C149" s="83">
        <v>174</v>
      </c>
      <c r="D149" s="123"/>
    </row>
    <row r="150" spans="1:4" s="173" customFormat="1">
      <c r="A150" s="301" t="s">
        <v>90</v>
      </c>
      <c r="B150" s="5">
        <f t="shared" ref="B150:B151" si="7">C150</f>
        <v>0.6</v>
      </c>
      <c r="C150" s="5">
        <v>0.6</v>
      </c>
      <c r="D150" s="302"/>
    </row>
    <row r="151" spans="1:4" s="173" customFormat="1">
      <c r="A151" s="303" t="s">
        <v>152</v>
      </c>
      <c r="B151" s="5">
        <f t="shared" si="7"/>
        <v>20</v>
      </c>
      <c r="C151" s="5">
        <v>20</v>
      </c>
      <c r="D151" s="302"/>
    </row>
    <row r="152" spans="1:4" s="173" customFormat="1" ht="14.25">
      <c r="A152" s="279" t="s">
        <v>199</v>
      </c>
      <c r="B152" s="279"/>
      <c r="C152" s="279"/>
      <c r="D152" s="306">
        <v>200</v>
      </c>
    </row>
    <row r="153" spans="1:4" s="173" customFormat="1">
      <c r="A153" s="210" t="s">
        <v>166</v>
      </c>
      <c r="B153" s="144">
        <f>C153</f>
        <v>0.5</v>
      </c>
      <c r="C153" s="144">
        <v>0.5</v>
      </c>
      <c r="D153" s="288"/>
    </row>
    <row r="154" spans="1:4" s="173" customFormat="1">
      <c r="A154" s="210" t="s">
        <v>105</v>
      </c>
      <c r="B154" s="144">
        <f>C154</f>
        <v>200</v>
      </c>
      <c r="C154" s="144">
        <v>200</v>
      </c>
      <c r="D154" s="288"/>
    </row>
    <row r="155" spans="1:4" s="173" customFormat="1">
      <c r="A155" s="202" t="s">
        <v>103</v>
      </c>
      <c r="B155" s="144">
        <f>C155</f>
        <v>8</v>
      </c>
      <c r="C155" s="144">
        <v>8</v>
      </c>
      <c r="D155" s="288"/>
    </row>
    <row r="156" spans="1:4" ht="18.75">
      <c r="A156" s="74" t="s">
        <v>68</v>
      </c>
      <c r="B156" s="75"/>
      <c r="C156" s="75"/>
      <c r="D156" s="76"/>
    </row>
    <row r="157" spans="1:4" ht="18.75">
      <c r="A157" s="3" t="s">
        <v>9</v>
      </c>
      <c r="B157" s="517"/>
      <c r="C157" s="518"/>
      <c r="D157" s="518"/>
    </row>
    <row r="158" spans="1:4" ht="19.5">
      <c r="A158" s="4" t="s">
        <v>5</v>
      </c>
      <c r="B158" s="4"/>
      <c r="C158" s="4"/>
      <c r="D158" s="68"/>
    </row>
    <row r="159" spans="1:4" s="187" customFormat="1">
      <c r="A159" s="307" t="s">
        <v>85</v>
      </c>
      <c r="B159" s="288"/>
      <c r="C159" s="288"/>
      <c r="D159" s="209" t="s">
        <v>200</v>
      </c>
    </row>
    <row r="160" spans="1:4" s="82" customFormat="1">
      <c r="A160" s="196" t="s">
        <v>333</v>
      </c>
      <c r="B160" s="288">
        <f>C160</f>
        <v>30</v>
      </c>
      <c r="C160" s="288">
        <v>30</v>
      </c>
      <c r="D160" s="209"/>
    </row>
    <row r="161" spans="1:4" s="82" customFormat="1">
      <c r="A161" s="207" t="s">
        <v>147</v>
      </c>
      <c r="B161" s="285">
        <f>C161</f>
        <v>10</v>
      </c>
      <c r="C161" s="143">
        <v>10</v>
      </c>
      <c r="D161" s="283"/>
    </row>
    <row r="162" spans="1:4" s="82" customFormat="1">
      <c r="A162" s="313" t="s">
        <v>202</v>
      </c>
      <c r="B162" s="314"/>
      <c r="C162" s="315"/>
      <c r="D162" s="176">
        <v>200</v>
      </c>
    </row>
    <row r="163" spans="1:4" s="82" customFormat="1">
      <c r="A163" s="308" t="s">
        <v>98</v>
      </c>
      <c r="B163" s="8">
        <f>C163</f>
        <v>133.19999999999999</v>
      </c>
      <c r="C163" s="8">
        <v>133.19999999999999</v>
      </c>
      <c r="D163" s="309"/>
    </row>
    <row r="164" spans="1:4" s="82" customFormat="1">
      <c r="A164" s="206" t="s">
        <v>84</v>
      </c>
      <c r="B164" s="5">
        <f>C164</f>
        <v>76.260000000000005</v>
      </c>
      <c r="C164" s="5">
        <v>76.260000000000005</v>
      </c>
      <c r="D164" s="309"/>
    </row>
    <row r="165" spans="1:4" s="82" customFormat="1">
      <c r="A165" s="437" t="s">
        <v>201</v>
      </c>
      <c r="B165" s="438"/>
      <c r="C165" s="439">
        <f>C163+C164</f>
        <v>209.45999999999998</v>
      </c>
      <c r="D165" s="309"/>
    </row>
    <row r="166" spans="1:4" s="82" customFormat="1">
      <c r="A166" s="235" t="s">
        <v>102</v>
      </c>
      <c r="B166" s="5">
        <f>C166</f>
        <v>0.75</v>
      </c>
      <c r="C166" s="5">
        <v>0.75</v>
      </c>
      <c r="D166" s="309"/>
    </row>
    <row r="167" spans="1:4" s="82" customFormat="1">
      <c r="A167" s="310" t="s">
        <v>90</v>
      </c>
      <c r="B167" s="5">
        <f>C167</f>
        <v>1.5</v>
      </c>
      <c r="C167" s="5">
        <v>1.5</v>
      </c>
      <c r="D167" s="309"/>
    </row>
    <row r="168" spans="1:4" s="82" customFormat="1">
      <c r="A168" s="316" t="s">
        <v>87</v>
      </c>
      <c r="B168" s="316"/>
      <c r="C168" s="316"/>
      <c r="D168" s="311">
        <v>200</v>
      </c>
    </row>
    <row r="169" spans="1:4" s="82" customFormat="1">
      <c r="A169" s="312" t="s">
        <v>88</v>
      </c>
      <c r="B169" s="143">
        <f>C169</f>
        <v>2.5</v>
      </c>
      <c r="C169" s="143">
        <v>2.5</v>
      </c>
      <c r="D169" s="145"/>
    </row>
    <row r="170" spans="1:4" s="82" customFormat="1">
      <c r="A170" s="206" t="s">
        <v>84</v>
      </c>
      <c r="B170" s="143">
        <f>C170</f>
        <v>100</v>
      </c>
      <c r="C170" s="227">
        <v>100</v>
      </c>
      <c r="D170" s="238"/>
    </row>
    <row r="171" spans="1:4" s="82" customFormat="1">
      <c r="A171" s="210" t="s">
        <v>105</v>
      </c>
      <c r="B171" s="144">
        <f>C171</f>
        <v>100</v>
      </c>
      <c r="C171" s="144">
        <v>100</v>
      </c>
      <c r="D171" s="238"/>
    </row>
    <row r="172" spans="1:4" s="82" customFormat="1">
      <c r="A172" s="202" t="s">
        <v>103</v>
      </c>
      <c r="B172" s="143">
        <f>C172</f>
        <v>8</v>
      </c>
      <c r="C172" s="227">
        <v>8</v>
      </c>
      <c r="D172" s="238"/>
    </row>
    <row r="173" spans="1:4" s="82" customFormat="1">
      <c r="A173" s="215" t="s">
        <v>331</v>
      </c>
      <c r="B173" s="128"/>
      <c r="C173" s="83"/>
      <c r="D173" s="139">
        <v>60</v>
      </c>
    </row>
    <row r="174" spans="1:4" ht="19.5">
      <c r="A174" s="4" t="s">
        <v>6</v>
      </c>
      <c r="B174" s="69"/>
      <c r="C174" s="69"/>
      <c r="D174" s="69"/>
    </row>
    <row r="175" spans="1:4" s="187" customFormat="1" ht="15" customHeight="1">
      <c r="A175" s="524" t="s">
        <v>203</v>
      </c>
      <c r="B175" s="525"/>
      <c r="C175" s="526"/>
      <c r="D175" s="270">
        <v>60</v>
      </c>
    </row>
    <row r="176" spans="1:4" s="82" customFormat="1">
      <c r="A176" s="223" t="s">
        <v>204</v>
      </c>
      <c r="B176" s="128">
        <f>C176*1.05</f>
        <v>58.800000000000004</v>
      </c>
      <c r="C176" s="128">
        <v>56</v>
      </c>
      <c r="D176" s="317"/>
    </row>
    <row r="177" spans="1:4" s="82" customFormat="1">
      <c r="A177" s="223" t="s">
        <v>90</v>
      </c>
      <c r="B177" s="128">
        <f>C177</f>
        <v>4</v>
      </c>
      <c r="C177" s="128">
        <v>4</v>
      </c>
      <c r="D177" s="317"/>
    </row>
    <row r="178" spans="1:4" s="187" customFormat="1">
      <c r="A178" s="223" t="s">
        <v>169</v>
      </c>
      <c r="B178" s="224">
        <f>C178*1.35</f>
        <v>0.67500000000000004</v>
      </c>
      <c r="C178" s="224">
        <v>0.5</v>
      </c>
      <c r="D178" s="317"/>
    </row>
    <row r="179" spans="1:4" s="173" customFormat="1">
      <c r="A179" s="235" t="s">
        <v>102</v>
      </c>
      <c r="B179" s="224">
        <f>C179</f>
        <v>0.3</v>
      </c>
      <c r="C179" s="224">
        <v>0.3</v>
      </c>
      <c r="D179" s="317"/>
    </row>
    <row r="180" spans="1:4" s="173" customFormat="1" ht="14.25">
      <c r="A180" s="527" t="s">
        <v>206</v>
      </c>
      <c r="B180" s="528"/>
      <c r="C180" s="529"/>
      <c r="D180" s="161">
        <v>220</v>
      </c>
    </row>
    <row r="181" spans="1:4" s="173" customFormat="1">
      <c r="A181" s="318" t="s">
        <v>112</v>
      </c>
      <c r="B181" s="233">
        <f>C181*1.05</f>
        <v>8.4</v>
      </c>
      <c r="C181" s="233">
        <f>C182*1.6</f>
        <v>8</v>
      </c>
      <c r="D181" s="124"/>
    </row>
    <row r="182" spans="1:4" s="173" customFormat="1">
      <c r="A182" s="319" t="s">
        <v>113</v>
      </c>
      <c r="B182" s="259"/>
      <c r="C182" s="409">
        <v>5</v>
      </c>
      <c r="D182" s="124"/>
    </row>
    <row r="183" spans="1:4" s="173" customFormat="1">
      <c r="A183" s="223" t="s">
        <v>93</v>
      </c>
      <c r="B183" s="227">
        <f>C183*1.67</f>
        <v>36.739999999999995</v>
      </c>
      <c r="C183" s="144">
        <v>22</v>
      </c>
      <c r="D183" s="247"/>
    </row>
    <row r="184" spans="1:4" s="173" customFormat="1">
      <c r="A184" s="220" t="s">
        <v>136</v>
      </c>
      <c r="B184" s="144">
        <f>C184*1.25</f>
        <v>23.75</v>
      </c>
      <c r="C184" s="144">
        <v>19</v>
      </c>
      <c r="D184" s="288"/>
    </row>
    <row r="185" spans="1:4" s="173" customFormat="1">
      <c r="A185" s="210" t="s">
        <v>127</v>
      </c>
      <c r="B185" s="144">
        <f>C185*1.33</f>
        <v>39.900000000000006</v>
      </c>
      <c r="C185" s="144">
        <v>30</v>
      </c>
      <c r="D185" s="288"/>
    </row>
    <row r="186" spans="1:4" s="82" customFormat="1">
      <c r="A186" s="223" t="s">
        <v>94</v>
      </c>
      <c r="B186" s="128">
        <f>C186*1.33</f>
        <v>14.63</v>
      </c>
      <c r="C186" s="144">
        <v>11</v>
      </c>
      <c r="D186" s="247"/>
    </row>
    <row r="187" spans="1:4" s="82" customFormat="1">
      <c r="A187" s="245" t="s">
        <v>146</v>
      </c>
      <c r="B187" s="241">
        <f>C187</f>
        <v>3.25</v>
      </c>
      <c r="C187" s="144">
        <v>3.25</v>
      </c>
      <c r="D187" s="288"/>
    </row>
    <row r="188" spans="1:4" s="82" customFormat="1">
      <c r="A188" s="210" t="s">
        <v>95</v>
      </c>
      <c r="B188" s="320">
        <f>C188*1.19</f>
        <v>11.899999999999999</v>
      </c>
      <c r="C188" s="144">
        <v>10</v>
      </c>
      <c r="D188" s="247"/>
    </row>
    <row r="189" spans="1:4" s="82" customFormat="1">
      <c r="A189" s="232" t="s">
        <v>122</v>
      </c>
      <c r="B189" s="320">
        <f t="shared" ref="B189:B193" si="8">C189</f>
        <v>0.01</v>
      </c>
      <c r="C189" s="144">
        <v>0.01</v>
      </c>
      <c r="D189" s="247"/>
    </row>
    <row r="190" spans="1:4" s="82" customFormat="1">
      <c r="A190" s="210" t="s">
        <v>173</v>
      </c>
      <c r="B190" s="144">
        <f t="shared" si="8"/>
        <v>7</v>
      </c>
      <c r="C190" s="144">
        <v>7</v>
      </c>
      <c r="D190" s="247"/>
    </row>
    <row r="191" spans="1:4" s="82" customFormat="1">
      <c r="A191" s="236" t="s">
        <v>97</v>
      </c>
      <c r="B191" s="144">
        <f t="shared" si="8"/>
        <v>4</v>
      </c>
      <c r="C191" s="144">
        <v>4</v>
      </c>
      <c r="D191" s="247"/>
    </row>
    <row r="192" spans="1:4" s="82" customFormat="1">
      <c r="A192" s="235" t="s">
        <v>102</v>
      </c>
      <c r="B192" s="144">
        <f t="shared" si="8"/>
        <v>1.5</v>
      </c>
      <c r="C192" s="144">
        <v>1.5</v>
      </c>
      <c r="D192" s="247"/>
    </row>
    <row r="193" spans="1:4" s="82" customFormat="1">
      <c r="A193" s="202" t="s">
        <v>103</v>
      </c>
      <c r="B193" s="144">
        <f t="shared" si="8"/>
        <v>1.75</v>
      </c>
      <c r="C193" s="144">
        <v>1.75</v>
      </c>
      <c r="D193" s="247"/>
    </row>
    <row r="194" spans="1:4" s="82" customFormat="1">
      <c r="A194" s="148" t="s">
        <v>207</v>
      </c>
      <c r="B194" s="149"/>
      <c r="C194" s="149"/>
      <c r="D194" s="282">
        <v>180</v>
      </c>
    </row>
    <row r="195" spans="1:4" s="189" customFormat="1" ht="15" customHeight="1">
      <c r="A195" s="321" t="s">
        <v>319</v>
      </c>
      <c r="B195" s="135">
        <f>C195*1.02</f>
        <v>59.160000000000004</v>
      </c>
      <c r="C195" s="135">
        <f>C196*1.45</f>
        <v>58</v>
      </c>
      <c r="D195" s="282"/>
    </row>
    <row r="196" spans="1:4" s="82" customFormat="1">
      <c r="A196" s="434" t="s">
        <v>92</v>
      </c>
      <c r="B196" s="435"/>
      <c r="C196" s="436">
        <v>40</v>
      </c>
      <c r="D196" s="222"/>
    </row>
    <row r="197" spans="1:4" s="82" customFormat="1">
      <c r="A197" s="321" t="s">
        <v>101</v>
      </c>
      <c r="B197" s="135">
        <f>C197</f>
        <v>44</v>
      </c>
      <c r="C197" s="135">
        <v>44</v>
      </c>
      <c r="D197" s="222"/>
    </row>
    <row r="198" spans="1:4" s="82" customFormat="1">
      <c r="A198" s="321" t="s">
        <v>155</v>
      </c>
      <c r="B198" s="135">
        <f>C198</f>
        <v>129.33000000000001</v>
      </c>
      <c r="C198" s="135">
        <v>129.33000000000001</v>
      </c>
      <c r="D198" s="222"/>
    </row>
    <row r="199" spans="1:4" s="82" customFormat="1">
      <c r="A199" s="223" t="s">
        <v>94</v>
      </c>
      <c r="B199" s="128">
        <f>C199*1.33</f>
        <v>21.28</v>
      </c>
      <c r="C199" s="135">
        <v>16</v>
      </c>
      <c r="D199" s="222"/>
    </row>
    <row r="200" spans="1:4" s="82" customFormat="1">
      <c r="A200" s="321" t="s">
        <v>95</v>
      </c>
      <c r="B200" s="135">
        <f>C200*1.19</f>
        <v>17.4573</v>
      </c>
      <c r="C200" s="135">
        <v>14.67</v>
      </c>
      <c r="D200" s="222"/>
    </row>
    <row r="201" spans="1:4" s="82" customFormat="1">
      <c r="A201" s="434" t="s">
        <v>205</v>
      </c>
      <c r="B201" s="435"/>
      <c r="C201" s="436">
        <v>20</v>
      </c>
      <c r="D201" s="222"/>
    </row>
    <row r="202" spans="1:4" s="82" customFormat="1">
      <c r="A202" s="235" t="s">
        <v>102</v>
      </c>
      <c r="B202" s="135">
        <f>C202</f>
        <v>2</v>
      </c>
      <c r="C202" s="135">
        <v>2</v>
      </c>
      <c r="D202" s="222"/>
    </row>
    <row r="203" spans="1:4" s="82" customFormat="1">
      <c r="A203" s="321" t="s">
        <v>90</v>
      </c>
      <c r="B203" s="135">
        <f>C203</f>
        <v>6</v>
      </c>
      <c r="C203" s="135">
        <v>6</v>
      </c>
      <c r="D203" s="222"/>
    </row>
    <row r="204" spans="1:4" s="82" customFormat="1">
      <c r="A204" s="514" t="s">
        <v>133</v>
      </c>
      <c r="B204" s="515"/>
      <c r="C204" s="516"/>
      <c r="D204" s="130">
        <v>200</v>
      </c>
    </row>
    <row r="205" spans="1:4" s="82" customFormat="1">
      <c r="A205" s="223" t="s">
        <v>134</v>
      </c>
      <c r="B205" s="128">
        <f>C205</f>
        <v>20</v>
      </c>
      <c r="C205" s="128">
        <v>20</v>
      </c>
      <c r="D205" s="247"/>
    </row>
    <row r="206" spans="1:4" s="82" customFormat="1">
      <c r="A206" s="202" t="s">
        <v>103</v>
      </c>
      <c r="B206" s="128">
        <f>C206</f>
        <v>8</v>
      </c>
      <c r="C206" s="128">
        <v>8</v>
      </c>
      <c r="D206" s="247"/>
    </row>
    <row r="207" spans="1:4" s="82" customFormat="1">
      <c r="A207" s="223" t="s">
        <v>105</v>
      </c>
      <c r="B207" s="128">
        <f>C207</f>
        <v>185</v>
      </c>
      <c r="C207" s="128">
        <v>185</v>
      </c>
      <c r="D207" s="247"/>
    </row>
    <row r="208" spans="1:4" s="82" customFormat="1">
      <c r="A208" s="215" t="s">
        <v>331</v>
      </c>
      <c r="B208" s="128"/>
      <c r="C208" s="83"/>
      <c r="D208" s="139">
        <v>30</v>
      </c>
    </row>
    <row r="209" spans="1:4" s="187" customFormat="1">
      <c r="A209" s="254" t="s">
        <v>332</v>
      </c>
      <c r="B209" s="126"/>
      <c r="C209" s="126"/>
      <c r="D209" s="130">
        <v>40</v>
      </c>
    </row>
    <row r="210" spans="1:4" s="173" customFormat="1" ht="14.25">
      <c r="A210" s="125" t="s">
        <v>100</v>
      </c>
      <c r="B210" s="125"/>
      <c r="C210" s="125"/>
      <c r="D210" s="209" t="s">
        <v>318</v>
      </c>
    </row>
    <row r="211" spans="1:4" ht="19.5">
      <c r="A211" s="4" t="s">
        <v>7</v>
      </c>
      <c r="B211" s="10"/>
      <c r="C211" s="10"/>
      <c r="D211" s="10"/>
    </row>
    <row r="212" spans="1:4" s="187" customFormat="1">
      <c r="A212" s="119" t="s">
        <v>211</v>
      </c>
      <c r="B212" s="144"/>
      <c r="C212" s="144"/>
      <c r="D212" s="130">
        <v>100</v>
      </c>
    </row>
    <row r="213" spans="1:4" s="173" customFormat="1">
      <c r="A213" s="322" t="s">
        <v>209</v>
      </c>
      <c r="B213" s="144">
        <f t="shared" ref="B213:B217" si="9">C213</f>
        <v>123</v>
      </c>
      <c r="C213" s="144">
        <v>123</v>
      </c>
      <c r="D213" s="247"/>
    </row>
    <row r="214" spans="1:4" s="173" customFormat="1">
      <c r="A214" s="202" t="s">
        <v>103</v>
      </c>
      <c r="B214" s="144">
        <f t="shared" si="9"/>
        <v>2</v>
      </c>
      <c r="C214" s="144">
        <v>2</v>
      </c>
      <c r="D214" s="247"/>
    </row>
    <row r="215" spans="1:4" s="173" customFormat="1">
      <c r="A215" s="322" t="s">
        <v>210</v>
      </c>
      <c r="B215" s="144">
        <f t="shared" si="9"/>
        <v>1</v>
      </c>
      <c r="C215" s="144">
        <v>1</v>
      </c>
      <c r="D215" s="247"/>
    </row>
    <row r="216" spans="1:4" s="173" customFormat="1">
      <c r="A216" s="308" t="s">
        <v>98</v>
      </c>
      <c r="B216" s="144">
        <f t="shared" si="9"/>
        <v>0.6</v>
      </c>
      <c r="C216" s="144">
        <v>0.6</v>
      </c>
      <c r="D216" s="247"/>
    </row>
    <row r="217" spans="1:4" s="173" customFormat="1">
      <c r="A217" s="322" t="s">
        <v>90</v>
      </c>
      <c r="B217" s="144">
        <f t="shared" si="9"/>
        <v>2</v>
      </c>
      <c r="C217" s="144">
        <v>2</v>
      </c>
      <c r="D217" s="247"/>
    </row>
    <row r="218" spans="1:4" s="173" customFormat="1" ht="14.25">
      <c r="A218" s="162" t="s">
        <v>328</v>
      </c>
      <c r="B218" s="162"/>
      <c r="C218" s="162"/>
      <c r="D218" s="163" t="s">
        <v>82</v>
      </c>
    </row>
    <row r="219" spans="1:4" s="189" customFormat="1">
      <c r="A219" s="223" t="s">
        <v>329</v>
      </c>
      <c r="B219" s="128">
        <f>C219</f>
        <v>20</v>
      </c>
      <c r="C219" s="128">
        <v>20</v>
      </c>
      <c r="D219" s="247"/>
    </row>
    <row r="220" spans="1:4" s="189" customFormat="1">
      <c r="A220" s="202" t="s">
        <v>103</v>
      </c>
      <c r="B220" s="128">
        <f>C220</f>
        <v>8</v>
      </c>
      <c r="C220" s="128">
        <v>8</v>
      </c>
      <c r="D220" s="247"/>
    </row>
    <row r="221" spans="1:4" s="189" customFormat="1">
      <c r="A221" s="223" t="s">
        <v>105</v>
      </c>
      <c r="B221" s="128">
        <f>C221</f>
        <v>185</v>
      </c>
      <c r="C221" s="128">
        <v>185</v>
      </c>
      <c r="D221" s="247"/>
    </row>
    <row r="222" spans="1:4" ht="18.75">
      <c r="A222" s="74" t="s">
        <v>68</v>
      </c>
      <c r="B222" s="75"/>
      <c r="C222" s="75"/>
      <c r="D222" s="76"/>
    </row>
    <row r="223" spans="1:4" ht="18.75">
      <c r="A223" s="3" t="s">
        <v>10</v>
      </c>
      <c r="B223" s="517"/>
      <c r="C223" s="518"/>
      <c r="D223" s="518"/>
    </row>
    <row r="224" spans="1:4" ht="19.5">
      <c r="A224" s="4" t="s">
        <v>5</v>
      </c>
      <c r="B224" s="4"/>
      <c r="C224" s="4"/>
      <c r="D224" s="68"/>
    </row>
    <row r="225" spans="1:4" s="189" customFormat="1">
      <c r="A225" s="191" t="s">
        <v>161</v>
      </c>
      <c r="B225" s="192"/>
      <c r="C225" s="193"/>
      <c r="D225" s="194" t="s">
        <v>212</v>
      </c>
    </row>
    <row r="226" spans="1:4" s="82" customFormat="1">
      <c r="A226" s="195" t="s">
        <v>315</v>
      </c>
      <c r="B226" s="143">
        <f>C226*1.01</f>
        <v>12.120000000000001</v>
      </c>
      <c r="C226" s="143">
        <v>12</v>
      </c>
      <c r="D226" s="124"/>
    </row>
    <row r="227" spans="1:4" s="82" customFormat="1">
      <c r="A227" s="196" t="s">
        <v>333</v>
      </c>
      <c r="B227" s="197">
        <f>C227</f>
        <v>20</v>
      </c>
      <c r="C227" s="197">
        <v>20</v>
      </c>
      <c r="D227" s="124"/>
    </row>
    <row r="228" spans="1:4" s="82" customFormat="1">
      <c r="A228" s="497" t="s">
        <v>214</v>
      </c>
      <c r="B228" s="498"/>
      <c r="C228" s="499"/>
      <c r="D228" s="168" t="s">
        <v>185</v>
      </c>
    </row>
    <row r="229" spans="1:4" s="82" customFormat="1">
      <c r="A229" s="202" t="s">
        <v>213</v>
      </c>
      <c r="B229" s="203">
        <f t="shared" ref="B229:B234" si="10">C229</f>
        <v>25</v>
      </c>
      <c r="C229" s="203">
        <v>25</v>
      </c>
      <c r="D229" s="204"/>
    </row>
    <row r="230" spans="1:4" s="82" customFormat="1">
      <c r="A230" s="205" t="s">
        <v>83</v>
      </c>
      <c r="B230" s="203">
        <f t="shared" si="10"/>
        <v>80</v>
      </c>
      <c r="C230" s="5">
        <v>80</v>
      </c>
      <c r="D230" s="204"/>
    </row>
    <row r="231" spans="1:4" s="82" customFormat="1">
      <c r="A231" s="206" t="s">
        <v>84</v>
      </c>
      <c r="B231" s="203">
        <f t="shared" si="10"/>
        <v>120</v>
      </c>
      <c r="C231" s="5">
        <v>120</v>
      </c>
      <c r="D231" s="204"/>
    </row>
    <row r="232" spans="1:4" s="82" customFormat="1">
      <c r="A232" s="235" t="s">
        <v>102</v>
      </c>
      <c r="B232" s="135">
        <f t="shared" si="10"/>
        <v>0.8</v>
      </c>
      <c r="C232" s="135">
        <v>0.8</v>
      </c>
      <c r="D232" s="204"/>
    </row>
    <row r="233" spans="1:4" s="82" customFormat="1">
      <c r="A233" s="202" t="s">
        <v>103</v>
      </c>
      <c r="B233" s="203">
        <f t="shared" si="10"/>
        <v>5</v>
      </c>
      <c r="C233" s="203">
        <v>5</v>
      </c>
      <c r="D233" s="204"/>
    </row>
    <row r="234" spans="1:4" s="82" customFormat="1">
      <c r="A234" s="207" t="s">
        <v>147</v>
      </c>
      <c r="B234" s="203">
        <f t="shared" si="10"/>
        <v>3</v>
      </c>
      <c r="C234" s="203">
        <v>3</v>
      </c>
      <c r="D234" s="204"/>
    </row>
    <row r="235" spans="1:4" s="82" customFormat="1">
      <c r="A235" s="532" t="s">
        <v>215</v>
      </c>
      <c r="B235" s="532"/>
      <c r="C235" s="532"/>
      <c r="D235" s="306">
        <v>200</v>
      </c>
    </row>
    <row r="236" spans="1:4" s="82" customFormat="1">
      <c r="A236" s="210" t="s">
        <v>166</v>
      </c>
      <c r="B236" s="144">
        <f>C236</f>
        <v>1.5</v>
      </c>
      <c r="C236" s="144">
        <v>1.5</v>
      </c>
      <c r="D236" s="288"/>
    </row>
    <row r="237" spans="1:4" s="82" customFormat="1">
      <c r="A237" s="210" t="s">
        <v>105</v>
      </c>
      <c r="B237" s="144">
        <f>C237</f>
        <v>200</v>
      </c>
      <c r="C237" s="144">
        <v>200</v>
      </c>
      <c r="D237" s="288"/>
    </row>
    <row r="238" spans="1:4" s="82" customFormat="1">
      <c r="A238" s="202" t="s">
        <v>103</v>
      </c>
      <c r="B238" s="144">
        <f>C238</f>
        <v>8</v>
      </c>
      <c r="C238" s="144">
        <v>8</v>
      </c>
      <c r="D238" s="288"/>
    </row>
    <row r="239" spans="1:4" s="82" customFormat="1">
      <c r="A239" s="263" t="s">
        <v>126</v>
      </c>
      <c r="B239" s="144">
        <f>C239*1.14</f>
        <v>2.2799999999999998</v>
      </c>
      <c r="C239" s="144">
        <v>2</v>
      </c>
      <c r="D239" s="288"/>
    </row>
    <row r="240" spans="1:4" s="187" customFormat="1">
      <c r="A240" s="138" t="s">
        <v>109</v>
      </c>
      <c r="B240" s="214"/>
      <c r="C240" s="214"/>
      <c r="D240" s="139">
        <v>125</v>
      </c>
    </row>
    <row r="241" spans="1:4" s="187" customFormat="1">
      <c r="A241" s="215" t="s">
        <v>331</v>
      </c>
      <c r="B241" s="128"/>
      <c r="C241" s="83"/>
      <c r="D241" s="139">
        <v>20</v>
      </c>
    </row>
    <row r="242" spans="1:4" ht="19.5">
      <c r="A242" s="4" t="s">
        <v>6</v>
      </c>
      <c r="B242" s="69"/>
      <c r="C242" s="69"/>
      <c r="D242" s="69"/>
    </row>
    <row r="243" spans="1:4" s="189" customFormat="1" ht="18.75">
      <c r="A243" s="324" t="s">
        <v>221</v>
      </c>
      <c r="B243" s="325"/>
      <c r="C243" s="325"/>
      <c r="D243" s="326">
        <v>60</v>
      </c>
    </row>
    <row r="244" spans="1:4" s="82" customFormat="1" ht="15" customHeight="1">
      <c r="A244" s="223" t="s">
        <v>94</v>
      </c>
      <c r="B244" s="128">
        <f>C244*1.33</f>
        <v>72.485000000000014</v>
      </c>
      <c r="C244" s="147">
        <f>C245*1.09</f>
        <v>54.500000000000007</v>
      </c>
      <c r="D244" s="328"/>
    </row>
    <row r="245" spans="1:4" s="82" customFormat="1" ht="18.75">
      <c r="A245" s="375" t="s">
        <v>142</v>
      </c>
      <c r="B245" s="376"/>
      <c r="C245" s="429">
        <v>50</v>
      </c>
      <c r="D245" s="328"/>
    </row>
    <row r="246" spans="1:4" s="82" customFormat="1" ht="15.75" customHeight="1">
      <c r="A246" s="195" t="s">
        <v>315</v>
      </c>
      <c r="B246" s="147">
        <f>C246*1.01</f>
        <v>8.08</v>
      </c>
      <c r="C246" s="147">
        <v>8</v>
      </c>
      <c r="D246" s="328"/>
    </row>
    <row r="247" spans="1:4" s="82" customFormat="1" ht="15.75" customHeight="1">
      <c r="A247" s="235" t="s">
        <v>102</v>
      </c>
      <c r="B247" s="83">
        <f>C247</f>
        <v>0.5</v>
      </c>
      <c r="C247" s="83">
        <v>0.5</v>
      </c>
      <c r="D247" s="328"/>
    </row>
    <row r="248" spans="1:4" s="187" customFormat="1" ht="16.5" customHeight="1">
      <c r="A248" s="327" t="s">
        <v>90</v>
      </c>
      <c r="B248" s="147">
        <f>C248</f>
        <v>2</v>
      </c>
      <c r="C248" s="147">
        <v>2</v>
      </c>
      <c r="D248" s="328"/>
    </row>
    <row r="249" spans="1:4" s="173" customFormat="1" ht="15.75" customHeight="1">
      <c r="A249" s="327" t="s">
        <v>169</v>
      </c>
      <c r="B249" s="147">
        <f>C249*1.35</f>
        <v>0.81</v>
      </c>
      <c r="C249" s="147">
        <v>0.6</v>
      </c>
      <c r="D249" s="328"/>
    </row>
    <row r="250" spans="1:4" s="173" customFormat="1" ht="14.25" customHeight="1">
      <c r="A250" s="510" t="s">
        <v>222</v>
      </c>
      <c r="B250" s="511"/>
      <c r="C250" s="512"/>
      <c r="D250" s="311" t="s">
        <v>216</v>
      </c>
    </row>
    <row r="251" spans="1:4" s="173" customFormat="1">
      <c r="A251" s="330" t="s">
        <v>124</v>
      </c>
      <c r="B251" s="257">
        <f>C251*1.1</f>
        <v>16.104000000000003</v>
      </c>
      <c r="C251" s="257">
        <v>14.64</v>
      </c>
      <c r="D251" s="311"/>
    </row>
    <row r="252" spans="1:4" s="173" customFormat="1">
      <c r="A252" s="223" t="s">
        <v>93</v>
      </c>
      <c r="B252" s="227">
        <f>C252*1.67</f>
        <v>133.6</v>
      </c>
      <c r="C252" s="273">
        <v>80</v>
      </c>
      <c r="D252" s="331"/>
    </row>
    <row r="253" spans="1:4" s="173" customFormat="1">
      <c r="A253" s="223" t="s">
        <v>94</v>
      </c>
      <c r="B253" s="128">
        <f>C253*1.33</f>
        <v>23.94</v>
      </c>
      <c r="C253" s="273">
        <v>18</v>
      </c>
      <c r="D253" s="331"/>
    </row>
    <row r="254" spans="1:4" s="173" customFormat="1">
      <c r="A254" s="318" t="s">
        <v>95</v>
      </c>
      <c r="B254" s="334">
        <f>C254*1.19</f>
        <v>14.28</v>
      </c>
      <c r="C254" s="273">
        <v>12</v>
      </c>
      <c r="D254" s="331"/>
    </row>
    <row r="255" spans="1:4" s="173" customFormat="1">
      <c r="A255" s="206" t="s">
        <v>84</v>
      </c>
      <c r="B255" s="5">
        <f>C255</f>
        <v>30</v>
      </c>
      <c r="C255" s="5">
        <v>30</v>
      </c>
      <c r="D255" s="7"/>
    </row>
    <row r="256" spans="1:4" s="173" customFormat="1">
      <c r="A256" s="335" t="s">
        <v>217</v>
      </c>
      <c r="B256" s="5">
        <f>C256</f>
        <v>80</v>
      </c>
      <c r="C256" s="5">
        <v>80</v>
      </c>
      <c r="D256" s="7"/>
    </row>
    <row r="257" spans="1:4" s="173" customFormat="1">
      <c r="A257" s="207" t="s">
        <v>147</v>
      </c>
      <c r="B257" s="5">
        <f>C257</f>
        <v>3</v>
      </c>
      <c r="C257" s="5">
        <v>3</v>
      </c>
      <c r="D257" s="7"/>
    </row>
    <row r="258" spans="1:4" s="173" customFormat="1">
      <c r="A258" s="235" t="s">
        <v>102</v>
      </c>
      <c r="B258" s="83">
        <f>C258</f>
        <v>1.5</v>
      </c>
      <c r="C258" s="83">
        <v>1.5</v>
      </c>
      <c r="D258" s="269"/>
    </row>
    <row r="259" spans="1:4" s="173" customFormat="1">
      <c r="A259" s="196" t="s">
        <v>333</v>
      </c>
      <c r="B259" s="83">
        <f>C259*1.6</f>
        <v>16</v>
      </c>
      <c r="C259" s="83">
        <v>10</v>
      </c>
      <c r="D259" s="269"/>
    </row>
    <row r="260" spans="1:4" s="173" customFormat="1" ht="14.25">
      <c r="A260" s="336" t="s">
        <v>223</v>
      </c>
      <c r="B260" s="337"/>
      <c r="C260" s="338"/>
      <c r="D260" s="127" t="s">
        <v>123</v>
      </c>
    </row>
    <row r="261" spans="1:4" s="173" customFormat="1">
      <c r="A261" s="339" t="s">
        <v>218</v>
      </c>
      <c r="B261" s="227">
        <f>C261*1.02</f>
        <v>67.534199999999998</v>
      </c>
      <c r="C261" s="227">
        <v>66.209999999999994</v>
      </c>
      <c r="D261" s="158"/>
    </row>
    <row r="262" spans="1:4" s="187" customFormat="1">
      <c r="A262" s="206" t="s">
        <v>95</v>
      </c>
      <c r="B262" s="233">
        <f>C262*1.19</f>
        <v>14.6846</v>
      </c>
      <c r="C262" s="203">
        <v>12.34</v>
      </c>
      <c r="D262" s="158"/>
    </row>
    <row r="263" spans="1:4" s="173" customFormat="1">
      <c r="A263" s="206" t="s">
        <v>219</v>
      </c>
      <c r="B263" s="233">
        <f>C263</f>
        <v>8.36</v>
      </c>
      <c r="C263" s="203">
        <v>8.36</v>
      </c>
      <c r="D263" s="158"/>
    </row>
    <row r="264" spans="1:4" s="173" customFormat="1">
      <c r="A264" s="235" t="s">
        <v>102</v>
      </c>
      <c r="B264" s="83">
        <f>C264</f>
        <v>0.9</v>
      </c>
      <c r="C264" s="83">
        <v>0.9</v>
      </c>
      <c r="D264" s="158"/>
    </row>
    <row r="265" spans="1:4" s="173" customFormat="1">
      <c r="A265" s="308" t="s">
        <v>98</v>
      </c>
      <c r="B265" s="233">
        <f>C265</f>
        <v>2.31</v>
      </c>
      <c r="C265" s="203">
        <v>2.31</v>
      </c>
      <c r="D265" s="158"/>
    </row>
    <row r="266" spans="1:4" s="173" customFormat="1">
      <c r="A266" s="340" t="s">
        <v>107</v>
      </c>
      <c r="B266" s="203">
        <f>C266</f>
        <v>6.4</v>
      </c>
      <c r="C266" s="203">
        <v>6.4</v>
      </c>
      <c r="D266" s="158"/>
    </row>
    <row r="267" spans="1:4" s="173" customFormat="1">
      <c r="A267" s="344" t="s">
        <v>99</v>
      </c>
      <c r="B267" s="345"/>
      <c r="C267" s="346">
        <v>106.2</v>
      </c>
      <c r="D267" s="158"/>
    </row>
    <row r="268" spans="1:4" s="187" customFormat="1">
      <c r="A268" s="206" t="s">
        <v>90</v>
      </c>
      <c r="B268" s="233">
        <f>C268</f>
        <v>0.8</v>
      </c>
      <c r="C268" s="227">
        <v>0.8</v>
      </c>
      <c r="D268" s="158"/>
    </row>
    <row r="269" spans="1:4" s="173" customFormat="1">
      <c r="A269" s="418" t="s">
        <v>220</v>
      </c>
      <c r="B269" s="430"/>
      <c r="C269" s="431">
        <v>30</v>
      </c>
      <c r="D269" s="158"/>
    </row>
    <row r="270" spans="1:4" s="173" customFormat="1">
      <c r="A270" s="210" t="s">
        <v>107</v>
      </c>
      <c r="B270" s="128">
        <f>C270</f>
        <v>2.5</v>
      </c>
      <c r="C270" s="128">
        <v>2.5</v>
      </c>
      <c r="D270" s="158"/>
    </row>
    <row r="271" spans="1:4" s="173" customFormat="1">
      <c r="A271" s="235" t="s">
        <v>102</v>
      </c>
      <c r="B271" s="83">
        <f>C271</f>
        <v>0.3</v>
      </c>
      <c r="C271" s="83">
        <v>0.3</v>
      </c>
      <c r="D271" s="158"/>
    </row>
    <row r="272" spans="1:4" s="173" customFormat="1">
      <c r="A272" s="342" t="s">
        <v>105</v>
      </c>
      <c r="B272" s="128">
        <f>C272</f>
        <v>22.5</v>
      </c>
      <c r="C272" s="343">
        <v>22.5</v>
      </c>
      <c r="D272" s="158"/>
    </row>
    <row r="273" spans="1:4" s="82" customFormat="1">
      <c r="A273" s="245" t="s">
        <v>146</v>
      </c>
      <c r="B273" s="241">
        <f>C273</f>
        <v>6</v>
      </c>
      <c r="C273" s="128">
        <v>6</v>
      </c>
      <c r="D273" s="158"/>
    </row>
    <row r="274" spans="1:4" s="82" customFormat="1">
      <c r="A274" s="513" t="s">
        <v>132</v>
      </c>
      <c r="B274" s="513"/>
      <c r="C274" s="513"/>
      <c r="D274" s="181">
        <v>150</v>
      </c>
    </row>
    <row r="275" spans="1:4" ht="15.75" customHeight="1">
      <c r="A275" s="347" t="s">
        <v>131</v>
      </c>
      <c r="B275" s="128">
        <f>C275</f>
        <v>52.5</v>
      </c>
      <c r="C275" s="128">
        <v>52.5</v>
      </c>
      <c r="D275" s="348"/>
    </row>
    <row r="276" spans="1:4" ht="15.75" customHeight="1">
      <c r="A276" s="235" t="s">
        <v>102</v>
      </c>
      <c r="B276" s="83">
        <f>C276</f>
        <v>1.2</v>
      </c>
      <c r="C276" s="83">
        <v>1.2</v>
      </c>
      <c r="D276" s="348"/>
    </row>
    <row r="277" spans="1:4" s="189" customFormat="1">
      <c r="A277" s="207" t="s">
        <v>147</v>
      </c>
      <c r="B277" s="128">
        <f>C277</f>
        <v>4</v>
      </c>
      <c r="C277" s="128">
        <v>4</v>
      </c>
      <c r="D277" s="348"/>
    </row>
    <row r="278" spans="1:4" s="82" customFormat="1">
      <c r="A278" s="514" t="s">
        <v>115</v>
      </c>
      <c r="B278" s="515"/>
      <c r="C278" s="516"/>
      <c r="D278" s="130">
        <v>180</v>
      </c>
    </row>
    <row r="279" spans="1:4" s="82" customFormat="1">
      <c r="A279" s="223" t="s">
        <v>116</v>
      </c>
      <c r="B279" s="128">
        <f>C279</f>
        <v>20</v>
      </c>
      <c r="C279" s="128">
        <v>20</v>
      </c>
      <c r="D279" s="247"/>
    </row>
    <row r="280" spans="1:4" s="82" customFormat="1">
      <c r="A280" s="202" t="s">
        <v>103</v>
      </c>
      <c r="B280" s="128">
        <f>C280</f>
        <v>8</v>
      </c>
      <c r="C280" s="128">
        <v>8</v>
      </c>
      <c r="D280" s="247"/>
    </row>
    <row r="281" spans="1:4" s="82" customFormat="1">
      <c r="A281" s="223" t="s">
        <v>105</v>
      </c>
      <c r="B281" s="128">
        <f>C281</f>
        <v>185</v>
      </c>
      <c r="C281" s="128">
        <v>185</v>
      </c>
      <c r="D281" s="247"/>
    </row>
    <row r="282" spans="1:4" s="82" customFormat="1">
      <c r="A282" s="215" t="s">
        <v>331</v>
      </c>
      <c r="B282" s="128"/>
      <c r="C282" s="83"/>
      <c r="D282" s="139">
        <v>25</v>
      </c>
    </row>
    <row r="283" spans="1:4" s="82" customFormat="1">
      <c r="A283" s="254" t="s">
        <v>332</v>
      </c>
      <c r="B283" s="126"/>
      <c r="C283" s="126"/>
      <c r="D283" s="130">
        <v>40</v>
      </c>
    </row>
    <row r="284" spans="1:4" s="82" customFormat="1" ht="19.5">
      <c r="A284" s="4" t="s">
        <v>7</v>
      </c>
      <c r="B284" s="10"/>
      <c r="C284" s="10"/>
      <c r="D284" s="10"/>
    </row>
    <row r="285" spans="1:4" s="82" customFormat="1">
      <c r="A285" s="349" t="s">
        <v>224</v>
      </c>
      <c r="B285" s="349"/>
      <c r="C285" s="349"/>
      <c r="D285" s="272" t="s">
        <v>190</v>
      </c>
    </row>
    <row r="286" spans="1:4" s="82" customFormat="1">
      <c r="A286" s="210" t="s">
        <v>107</v>
      </c>
      <c r="B286" s="257">
        <f>C286</f>
        <v>67</v>
      </c>
      <c r="C286" s="257">
        <v>67</v>
      </c>
      <c r="D286" s="127"/>
    </row>
    <row r="287" spans="1:4" s="82" customFormat="1">
      <c r="A287" s="202" t="s">
        <v>103</v>
      </c>
      <c r="B287" s="257">
        <f t="shared" ref="B287:B293" si="11">C287</f>
        <v>12</v>
      </c>
      <c r="C287" s="257">
        <v>12</v>
      </c>
      <c r="D287" s="127"/>
    </row>
    <row r="288" spans="1:4" s="82" customFormat="1">
      <c r="A288" s="206" t="s">
        <v>90</v>
      </c>
      <c r="B288" s="257">
        <f t="shared" si="11"/>
        <v>10</v>
      </c>
      <c r="C288" s="257">
        <v>10</v>
      </c>
      <c r="D288" s="127"/>
    </row>
    <row r="289" spans="1:6" s="82" customFormat="1">
      <c r="A289" s="275" t="s">
        <v>108</v>
      </c>
      <c r="B289" s="257">
        <f t="shared" si="11"/>
        <v>0.05</v>
      </c>
      <c r="C289" s="237">
        <v>0.05</v>
      </c>
      <c r="D289" s="127"/>
    </row>
    <row r="290" spans="1:6" s="82" customFormat="1">
      <c r="A290" s="235" t="s">
        <v>102</v>
      </c>
      <c r="B290" s="257">
        <f t="shared" si="11"/>
        <v>0.6</v>
      </c>
      <c r="C290" s="237">
        <v>0.6</v>
      </c>
      <c r="D290" s="127"/>
    </row>
    <row r="291" spans="1:6" s="82" customFormat="1">
      <c r="A291" s="304" t="s">
        <v>117</v>
      </c>
      <c r="B291" s="257">
        <f t="shared" si="11"/>
        <v>0.9</v>
      </c>
      <c r="C291" s="237">
        <v>0.9</v>
      </c>
      <c r="D291" s="127"/>
    </row>
    <row r="292" spans="1:6" s="82" customFormat="1">
      <c r="A292" s="206" t="s">
        <v>84</v>
      </c>
      <c r="B292" s="257">
        <f t="shared" si="11"/>
        <v>8</v>
      </c>
      <c r="C292" s="237">
        <v>8</v>
      </c>
      <c r="D292" s="127"/>
    </row>
    <row r="293" spans="1:6" s="82" customFormat="1">
      <c r="A293" s="223" t="s">
        <v>105</v>
      </c>
      <c r="B293" s="257">
        <f t="shared" si="11"/>
        <v>20</v>
      </c>
      <c r="C293" s="237">
        <v>20</v>
      </c>
      <c r="D293" s="127"/>
    </row>
    <row r="294" spans="1:6" s="82" customFormat="1">
      <c r="A294" s="425" t="s">
        <v>99</v>
      </c>
      <c r="B294" s="420"/>
      <c r="C294" s="421">
        <v>120</v>
      </c>
      <c r="D294" s="127"/>
    </row>
    <row r="295" spans="1:6" s="82" customFormat="1">
      <c r="A295" s="275" t="s">
        <v>90</v>
      </c>
      <c r="B295" s="237">
        <f>C295</f>
        <v>0.8</v>
      </c>
      <c r="C295" s="237">
        <v>0.8</v>
      </c>
      <c r="D295" s="127"/>
    </row>
    <row r="296" spans="1:6" s="82" customFormat="1">
      <c r="A296" s="494" t="s">
        <v>225</v>
      </c>
      <c r="B296" s="495"/>
      <c r="C296" s="496"/>
      <c r="D296" s="209" t="s">
        <v>82</v>
      </c>
      <c r="E296" s="465"/>
      <c r="F296" s="465"/>
    </row>
    <row r="297" spans="1:6" s="82" customFormat="1">
      <c r="A297" s="210" t="s">
        <v>166</v>
      </c>
      <c r="B297" s="211">
        <f>C297</f>
        <v>0.5</v>
      </c>
      <c r="C297" s="211">
        <v>0.5</v>
      </c>
      <c r="D297" s="143"/>
    </row>
    <row r="298" spans="1:6" s="82" customFormat="1">
      <c r="A298" s="202" t="s">
        <v>103</v>
      </c>
      <c r="B298" s="211">
        <f>C298</f>
        <v>10</v>
      </c>
      <c r="C298" s="211">
        <v>10</v>
      </c>
      <c r="D298" s="143"/>
    </row>
    <row r="299" spans="1:6" s="82" customFormat="1">
      <c r="A299" s="206" t="s">
        <v>84</v>
      </c>
      <c r="B299" s="212">
        <f>C299</f>
        <v>60</v>
      </c>
      <c r="C299" s="212">
        <v>60</v>
      </c>
      <c r="D299" s="143"/>
    </row>
    <row r="300" spans="1:6" s="82" customFormat="1">
      <c r="A300" s="213" t="s">
        <v>105</v>
      </c>
      <c r="B300" s="214">
        <f>C300</f>
        <v>140</v>
      </c>
      <c r="C300" s="214">
        <v>140</v>
      </c>
      <c r="D300" s="143"/>
    </row>
    <row r="301" spans="1:6" ht="18.75">
      <c r="A301" s="74" t="s">
        <v>68</v>
      </c>
      <c r="B301" s="75"/>
      <c r="C301" s="75"/>
      <c r="D301" s="76"/>
    </row>
    <row r="302" spans="1:6" ht="18.75">
      <c r="A302" s="3" t="s">
        <v>11</v>
      </c>
      <c r="B302" s="517"/>
      <c r="C302" s="518"/>
      <c r="D302" s="518"/>
    </row>
    <row r="303" spans="1:6" ht="19.5">
      <c r="A303" s="4" t="s">
        <v>5</v>
      </c>
      <c r="B303" s="4"/>
      <c r="C303" s="4"/>
      <c r="D303" s="68"/>
    </row>
    <row r="304" spans="1:6" s="82" customFormat="1">
      <c r="A304" s="538" t="s">
        <v>227</v>
      </c>
      <c r="B304" s="539"/>
      <c r="C304" s="540"/>
      <c r="D304" s="114" t="s">
        <v>226</v>
      </c>
    </row>
    <row r="305" spans="1:4" s="82" customFormat="1">
      <c r="A305" s="207" t="s">
        <v>147</v>
      </c>
      <c r="B305" s="237">
        <f>C305</f>
        <v>5</v>
      </c>
      <c r="C305" s="237">
        <v>5</v>
      </c>
      <c r="D305" s="117"/>
    </row>
    <row r="306" spans="1:4" s="82" customFormat="1">
      <c r="A306" s="207" t="s">
        <v>125</v>
      </c>
      <c r="B306" s="237">
        <f>C306</f>
        <v>15</v>
      </c>
      <c r="C306" s="237">
        <v>15</v>
      </c>
      <c r="D306" s="117"/>
    </row>
    <row r="307" spans="1:4" s="82" customFormat="1">
      <c r="A307" s="196" t="s">
        <v>333</v>
      </c>
      <c r="B307" s="197">
        <f>C307</f>
        <v>30</v>
      </c>
      <c r="C307" s="197">
        <v>30</v>
      </c>
      <c r="D307" s="117"/>
    </row>
    <row r="308" spans="1:4" s="82" customFormat="1">
      <c r="A308" s="497" t="s">
        <v>228</v>
      </c>
      <c r="B308" s="498"/>
      <c r="C308" s="499"/>
      <c r="D308" s="168" t="s">
        <v>163</v>
      </c>
    </row>
    <row r="309" spans="1:4" s="82" customFormat="1">
      <c r="A309" s="206" t="s">
        <v>219</v>
      </c>
      <c r="B309" s="203">
        <f>C309</f>
        <v>25</v>
      </c>
      <c r="C309" s="203">
        <v>25</v>
      </c>
      <c r="D309" s="204"/>
    </row>
    <row r="310" spans="1:4" s="82" customFormat="1">
      <c r="A310" s="205" t="s">
        <v>83</v>
      </c>
      <c r="B310" s="203">
        <f>C310</f>
        <v>86</v>
      </c>
      <c r="C310" s="5">
        <v>86</v>
      </c>
      <c r="D310" s="204"/>
    </row>
    <row r="311" spans="1:4" s="82" customFormat="1">
      <c r="A311" s="206" t="s">
        <v>84</v>
      </c>
      <c r="B311" s="203">
        <f>C311</f>
        <v>96</v>
      </c>
      <c r="C311" s="5">
        <v>96</v>
      </c>
      <c r="D311" s="204"/>
    </row>
    <row r="312" spans="1:4" s="82" customFormat="1">
      <c r="A312" s="202" t="s">
        <v>103</v>
      </c>
      <c r="B312" s="203">
        <f>C312</f>
        <v>4</v>
      </c>
      <c r="C312" s="203">
        <v>4</v>
      </c>
      <c r="D312" s="204"/>
    </row>
    <row r="313" spans="1:4" s="82" customFormat="1">
      <c r="A313" s="235" t="s">
        <v>102</v>
      </c>
      <c r="B313" s="257">
        <f t="shared" ref="B313" si="12">C313</f>
        <v>0.8</v>
      </c>
      <c r="C313" s="237">
        <v>0.8</v>
      </c>
      <c r="D313" s="204"/>
    </row>
    <row r="314" spans="1:4" s="82" customFormat="1">
      <c r="A314" s="207" t="s">
        <v>147</v>
      </c>
      <c r="B314" s="203">
        <f>C314</f>
        <v>5</v>
      </c>
      <c r="C314" s="203">
        <v>5</v>
      </c>
      <c r="D314" s="204"/>
    </row>
    <row r="315" spans="1:4" s="189" customFormat="1">
      <c r="A315" s="500" t="s">
        <v>87</v>
      </c>
      <c r="B315" s="501"/>
      <c r="C315" s="502"/>
      <c r="D315" s="311">
        <v>200</v>
      </c>
    </row>
    <row r="316" spans="1:4" s="82" customFormat="1">
      <c r="A316" s="312" t="s">
        <v>88</v>
      </c>
      <c r="B316" s="143">
        <f>C316</f>
        <v>2.5</v>
      </c>
      <c r="C316" s="143">
        <v>2.5</v>
      </c>
      <c r="D316" s="145"/>
    </row>
    <row r="317" spans="1:4" s="82" customFormat="1">
      <c r="A317" s="206" t="s">
        <v>84</v>
      </c>
      <c r="B317" s="143">
        <f>C317</f>
        <v>100</v>
      </c>
      <c r="C317" s="227">
        <v>100</v>
      </c>
      <c r="D317" s="238"/>
    </row>
    <row r="318" spans="1:4" s="82" customFormat="1">
      <c r="A318" s="213" t="s">
        <v>105</v>
      </c>
      <c r="B318" s="214">
        <f>C318</f>
        <v>100</v>
      </c>
      <c r="C318" s="214">
        <v>100</v>
      </c>
      <c r="D318" s="238"/>
    </row>
    <row r="319" spans="1:4" s="82" customFormat="1">
      <c r="A319" s="202" t="s">
        <v>103</v>
      </c>
      <c r="B319" s="143">
        <f>C319</f>
        <v>9</v>
      </c>
      <c r="C319" s="227">
        <v>9</v>
      </c>
      <c r="D319" s="238"/>
    </row>
    <row r="320" spans="1:4" s="82" customFormat="1">
      <c r="A320" s="215" t="s">
        <v>331</v>
      </c>
      <c r="B320" s="128"/>
      <c r="C320" s="83"/>
      <c r="D320" s="139">
        <v>40</v>
      </c>
    </row>
    <row r="321" spans="1:4" ht="19.5">
      <c r="A321" s="4" t="s">
        <v>6</v>
      </c>
      <c r="B321" s="69"/>
      <c r="C321" s="69"/>
      <c r="D321" s="69"/>
    </row>
    <row r="322" spans="1:4" s="187" customFormat="1">
      <c r="A322" s="198" t="s">
        <v>162</v>
      </c>
      <c r="B322" s="199"/>
      <c r="C322" s="200"/>
      <c r="D322" s="201">
        <v>40</v>
      </c>
    </row>
    <row r="323" spans="1:4" s="82" customFormat="1">
      <c r="A323" s="308" t="s">
        <v>98</v>
      </c>
      <c r="B323" s="197">
        <f>C323</f>
        <v>40</v>
      </c>
      <c r="C323" s="200">
        <v>40</v>
      </c>
      <c r="D323" s="124"/>
    </row>
    <row r="324" spans="1:4" s="82" customFormat="1">
      <c r="A324" s="541" t="s">
        <v>229</v>
      </c>
      <c r="B324" s="541"/>
      <c r="C324" s="541"/>
      <c r="D324" s="146">
        <v>220</v>
      </c>
    </row>
    <row r="325" spans="1:4" s="82" customFormat="1">
      <c r="A325" s="252" t="s">
        <v>230</v>
      </c>
      <c r="B325" s="233">
        <f>C325*1.35</f>
        <v>48.6</v>
      </c>
      <c r="C325" s="128">
        <f>C326*1.2</f>
        <v>36</v>
      </c>
      <c r="D325" s="350"/>
    </row>
    <row r="326" spans="1:4" s="82" customFormat="1">
      <c r="A326" s="383" t="s">
        <v>154</v>
      </c>
      <c r="B326" s="379"/>
      <c r="C326" s="427">
        <v>30</v>
      </c>
      <c r="D326" s="350"/>
    </row>
    <row r="327" spans="1:4" s="188" customFormat="1">
      <c r="A327" s="223" t="s">
        <v>93</v>
      </c>
      <c r="B327" s="227">
        <f>C327*1.67</f>
        <v>83.5</v>
      </c>
      <c r="C327" s="352">
        <v>50</v>
      </c>
      <c r="D327" s="350"/>
    </row>
    <row r="328" spans="1:4" s="173" customFormat="1">
      <c r="A328" s="351" t="s">
        <v>95</v>
      </c>
      <c r="B328" s="352">
        <f>C328*1.19</f>
        <v>14.28</v>
      </c>
      <c r="C328" s="352">
        <v>12</v>
      </c>
      <c r="D328" s="350"/>
    </row>
    <row r="329" spans="1:4" s="173" customFormat="1">
      <c r="A329" s="223" t="s">
        <v>94</v>
      </c>
      <c r="B329" s="128">
        <f>C329*1.33</f>
        <v>19.950000000000003</v>
      </c>
      <c r="C329" s="352">
        <v>15</v>
      </c>
      <c r="D329" s="350"/>
    </row>
    <row r="330" spans="1:4" s="173" customFormat="1">
      <c r="A330" s="235" t="s">
        <v>102</v>
      </c>
      <c r="B330" s="257">
        <f t="shared" ref="B330" si="13">C330</f>
        <v>1.2</v>
      </c>
      <c r="C330" s="237">
        <v>1.2</v>
      </c>
      <c r="D330" s="350"/>
    </row>
    <row r="331" spans="1:4" s="173" customFormat="1">
      <c r="A331" s="232" t="s">
        <v>122</v>
      </c>
      <c r="B331" s="352">
        <f>C331</f>
        <v>0.01</v>
      </c>
      <c r="C331" s="352">
        <v>0.01</v>
      </c>
      <c r="D331" s="350"/>
    </row>
    <row r="332" spans="1:4" s="173" customFormat="1">
      <c r="A332" s="351" t="s">
        <v>173</v>
      </c>
      <c r="B332" s="352">
        <f>C332</f>
        <v>7</v>
      </c>
      <c r="C332" s="352">
        <v>7</v>
      </c>
      <c r="D332" s="353"/>
    </row>
    <row r="333" spans="1:4" s="173" customFormat="1" ht="14.25">
      <c r="A333" s="513" t="s">
        <v>231</v>
      </c>
      <c r="B333" s="513"/>
      <c r="C333" s="513"/>
      <c r="D333" s="181">
        <v>90</v>
      </c>
    </row>
    <row r="334" spans="1:4" s="173" customFormat="1">
      <c r="A334" s="330" t="s">
        <v>130</v>
      </c>
      <c r="B334" s="233">
        <f>C334*1.1</f>
        <v>123.75000000000001</v>
      </c>
      <c r="C334" s="273">
        <f>D333*1.25</f>
        <v>112.5</v>
      </c>
      <c r="D334" s="354"/>
    </row>
    <row r="335" spans="1:4" s="173" customFormat="1">
      <c r="A335" s="318" t="s">
        <v>90</v>
      </c>
      <c r="B335" s="273">
        <f>C335</f>
        <v>2</v>
      </c>
      <c r="C335" s="273">
        <v>2</v>
      </c>
      <c r="D335" s="354"/>
    </row>
    <row r="336" spans="1:4" s="173" customFormat="1">
      <c r="A336" s="245" t="s">
        <v>146</v>
      </c>
      <c r="B336" s="241">
        <f>C336</f>
        <v>3</v>
      </c>
      <c r="C336" s="273">
        <v>3</v>
      </c>
      <c r="D336" s="354"/>
    </row>
    <row r="337" spans="1:4" s="173" customFormat="1">
      <c r="A337" s="235" t="s">
        <v>102</v>
      </c>
      <c r="B337" s="273">
        <f>C337</f>
        <v>0.5</v>
      </c>
      <c r="C337" s="273">
        <v>0.5</v>
      </c>
      <c r="D337" s="354"/>
    </row>
    <row r="338" spans="1:4" s="173" customFormat="1" ht="14.25">
      <c r="A338" s="542" t="s">
        <v>183</v>
      </c>
      <c r="B338" s="543"/>
      <c r="C338" s="544"/>
      <c r="D338" s="246">
        <v>150</v>
      </c>
    </row>
    <row r="339" spans="1:4" s="173" customFormat="1">
      <c r="A339" s="210" t="s">
        <v>179</v>
      </c>
      <c r="B339" s="144">
        <f>C339</f>
        <v>60</v>
      </c>
      <c r="C339" s="144">
        <v>60</v>
      </c>
      <c r="D339" s="247"/>
    </row>
    <row r="340" spans="1:4" s="173" customFormat="1">
      <c r="A340" s="235" t="s">
        <v>102</v>
      </c>
      <c r="B340" s="144">
        <f>C340</f>
        <v>1.2</v>
      </c>
      <c r="C340" s="144">
        <v>1.2</v>
      </c>
      <c r="D340" s="247"/>
    </row>
    <row r="341" spans="1:4" s="173" customFormat="1">
      <c r="A341" s="210" t="s">
        <v>105</v>
      </c>
      <c r="B341" s="144">
        <f>C341</f>
        <v>157.5</v>
      </c>
      <c r="C341" s="144">
        <v>157.5</v>
      </c>
      <c r="D341" s="247"/>
    </row>
    <row r="342" spans="1:4" s="173" customFormat="1">
      <c r="A342" s="207" t="s">
        <v>147</v>
      </c>
      <c r="B342" s="144">
        <f>C342</f>
        <v>5</v>
      </c>
      <c r="C342" s="144">
        <v>5</v>
      </c>
      <c r="D342" s="247"/>
    </row>
    <row r="343" spans="1:4" s="173" customFormat="1">
      <c r="A343" s="154" t="s">
        <v>232</v>
      </c>
      <c r="B343" s="203"/>
      <c r="C343" s="203"/>
      <c r="D343" s="157">
        <v>180</v>
      </c>
    </row>
    <row r="344" spans="1:4" s="173" customFormat="1">
      <c r="A344" s="207" t="s">
        <v>160</v>
      </c>
      <c r="B344" s="203">
        <f>C344</f>
        <v>20</v>
      </c>
      <c r="C344" s="203">
        <v>20</v>
      </c>
      <c r="D344" s="204"/>
    </row>
    <row r="345" spans="1:4" s="173" customFormat="1">
      <c r="A345" s="202" t="s">
        <v>103</v>
      </c>
      <c r="B345" s="203">
        <f>C345</f>
        <v>9</v>
      </c>
      <c r="C345" s="203">
        <v>9</v>
      </c>
      <c r="D345" s="204"/>
    </row>
    <row r="346" spans="1:4" s="173" customFormat="1">
      <c r="A346" s="207" t="s">
        <v>195</v>
      </c>
      <c r="B346" s="203">
        <f>C346</f>
        <v>0.06</v>
      </c>
      <c r="C346" s="203">
        <v>0.06</v>
      </c>
      <c r="D346" s="204"/>
    </row>
    <row r="347" spans="1:4" s="173" customFormat="1">
      <c r="A347" s="207" t="s">
        <v>105</v>
      </c>
      <c r="B347" s="203">
        <f>C347</f>
        <v>180</v>
      </c>
      <c r="C347" s="203">
        <v>180</v>
      </c>
      <c r="D347" s="204"/>
    </row>
    <row r="348" spans="1:4" s="173" customFormat="1">
      <c r="A348" s="215" t="s">
        <v>331</v>
      </c>
      <c r="B348" s="128"/>
      <c r="C348" s="83"/>
      <c r="D348" s="139">
        <v>25</v>
      </c>
    </row>
    <row r="349" spans="1:4" s="173" customFormat="1" ht="14.25">
      <c r="A349" s="254" t="s">
        <v>332</v>
      </c>
      <c r="B349" s="126"/>
      <c r="C349" s="126"/>
      <c r="D349" s="130">
        <v>25</v>
      </c>
    </row>
    <row r="350" spans="1:4" ht="19.5">
      <c r="A350" s="4" t="s">
        <v>7</v>
      </c>
      <c r="B350" s="10"/>
      <c r="C350" s="10"/>
      <c r="D350" s="10"/>
    </row>
    <row r="351" spans="1:4" s="187" customFormat="1">
      <c r="A351" s="545" t="s">
        <v>234</v>
      </c>
      <c r="B351" s="546"/>
      <c r="C351" s="122"/>
      <c r="D351" s="209" t="s">
        <v>190</v>
      </c>
    </row>
    <row r="352" spans="1:4" s="173" customFormat="1">
      <c r="A352" s="355" t="s">
        <v>107</v>
      </c>
      <c r="B352" s="83">
        <f t="shared" ref="B352:B357" si="14">C352</f>
        <v>18.8</v>
      </c>
      <c r="C352" s="203">
        <v>18.8</v>
      </c>
      <c r="D352" s="209"/>
    </row>
    <row r="353" spans="1:4" s="173" customFormat="1">
      <c r="A353" s="235" t="s">
        <v>102</v>
      </c>
      <c r="B353" s="83">
        <f t="shared" si="14"/>
        <v>0.14000000000000001</v>
      </c>
      <c r="C353" s="203">
        <v>0.14000000000000001</v>
      </c>
      <c r="D353" s="209"/>
    </row>
    <row r="354" spans="1:4" s="173" customFormat="1">
      <c r="A354" s="202" t="s">
        <v>103</v>
      </c>
      <c r="B354" s="83">
        <f t="shared" si="14"/>
        <v>25.9</v>
      </c>
      <c r="C354" s="203">
        <v>25.9</v>
      </c>
      <c r="D354" s="209"/>
    </row>
    <row r="355" spans="1:4" s="173" customFormat="1">
      <c r="A355" s="308" t="s">
        <v>98</v>
      </c>
      <c r="B355" s="83">
        <f t="shared" si="14"/>
        <v>25.82</v>
      </c>
      <c r="C355" s="203">
        <v>25.82</v>
      </c>
      <c r="D355" s="209"/>
    </row>
    <row r="356" spans="1:4" s="173" customFormat="1">
      <c r="A356" s="357" t="s">
        <v>106</v>
      </c>
      <c r="B356" s="175">
        <f t="shared" si="14"/>
        <v>0.18</v>
      </c>
      <c r="C356" s="257">
        <v>0.18</v>
      </c>
      <c r="D356" s="209"/>
    </row>
    <row r="357" spans="1:4" s="173" customFormat="1">
      <c r="A357" s="357" t="s">
        <v>104</v>
      </c>
      <c r="B357" s="175">
        <f t="shared" si="14"/>
        <v>0.13</v>
      </c>
      <c r="C357" s="257">
        <v>0.13</v>
      </c>
      <c r="D357" s="209"/>
    </row>
    <row r="358" spans="1:4" s="173" customFormat="1">
      <c r="A358" s="321" t="s">
        <v>233</v>
      </c>
      <c r="B358" s="143">
        <f>C358*1.143</f>
        <v>71.003159999999994</v>
      </c>
      <c r="C358" s="227">
        <v>62.12</v>
      </c>
      <c r="D358" s="209"/>
    </row>
    <row r="359" spans="1:4" s="173" customFormat="1">
      <c r="A359" s="258" t="s">
        <v>118</v>
      </c>
      <c r="B359" s="341"/>
      <c r="C359" s="345">
        <f>SUM(C352:C358)</f>
        <v>133.09</v>
      </c>
      <c r="D359" s="209"/>
    </row>
    <row r="360" spans="1:4" s="173" customFormat="1" ht="14.25">
      <c r="A360" s="532" t="s">
        <v>235</v>
      </c>
      <c r="B360" s="532"/>
      <c r="C360" s="532"/>
      <c r="D360" s="306">
        <v>200</v>
      </c>
    </row>
    <row r="361" spans="1:4" s="173" customFormat="1">
      <c r="A361" s="210" t="s">
        <v>166</v>
      </c>
      <c r="B361" s="144">
        <f>C361</f>
        <v>0.5</v>
      </c>
      <c r="C361" s="144">
        <v>0.5</v>
      </c>
      <c r="D361" s="288"/>
    </row>
    <row r="362" spans="1:4" s="173" customFormat="1">
      <c r="A362" s="210" t="s">
        <v>105</v>
      </c>
      <c r="B362" s="144">
        <f>C362</f>
        <v>200</v>
      </c>
      <c r="C362" s="144">
        <v>200</v>
      </c>
      <c r="D362" s="288"/>
    </row>
    <row r="363" spans="1:4" s="173" customFormat="1">
      <c r="A363" s="202" t="s">
        <v>103</v>
      </c>
      <c r="B363" s="144">
        <f>C363</f>
        <v>8</v>
      </c>
      <c r="C363" s="144">
        <v>8</v>
      </c>
      <c r="D363" s="288"/>
    </row>
    <row r="364" spans="1:4" ht="18.75">
      <c r="A364" s="74" t="s">
        <v>68</v>
      </c>
      <c r="B364" s="75"/>
      <c r="C364" s="75"/>
      <c r="D364" s="76"/>
    </row>
    <row r="365" spans="1:4" ht="18.75">
      <c r="A365" s="519" t="s">
        <v>12</v>
      </c>
      <c r="B365" s="520"/>
      <c r="C365" s="520"/>
      <c r="D365" s="520"/>
    </row>
    <row r="366" spans="1:4" ht="18.75">
      <c r="A366" s="3" t="s">
        <v>13</v>
      </c>
      <c r="B366" s="517"/>
      <c r="C366" s="518"/>
      <c r="D366" s="518"/>
    </row>
    <row r="367" spans="1:4" ht="19.5">
      <c r="A367" s="4" t="s">
        <v>5</v>
      </c>
      <c r="B367" s="4"/>
      <c r="C367" s="4"/>
      <c r="D367" s="68"/>
    </row>
    <row r="368" spans="1:4" s="82" customFormat="1">
      <c r="A368" s="191" t="s">
        <v>161</v>
      </c>
      <c r="B368" s="192"/>
      <c r="C368" s="193"/>
      <c r="D368" s="194" t="s">
        <v>236</v>
      </c>
    </row>
    <row r="369" spans="1:4" s="82" customFormat="1">
      <c r="A369" s="195" t="s">
        <v>315</v>
      </c>
      <c r="B369" s="143">
        <f>C369*1.01</f>
        <v>8.08</v>
      </c>
      <c r="C369" s="143">
        <v>8</v>
      </c>
      <c r="D369" s="124"/>
    </row>
    <row r="370" spans="1:4" s="82" customFormat="1">
      <c r="A370" s="196" t="s">
        <v>333</v>
      </c>
      <c r="B370" s="197">
        <f>C370</f>
        <v>20</v>
      </c>
      <c r="C370" s="197">
        <v>20</v>
      </c>
      <c r="D370" s="124"/>
    </row>
    <row r="371" spans="1:4" s="82" customFormat="1">
      <c r="A371" s="497" t="s">
        <v>239</v>
      </c>
      <c r="B371" s="498"/>
      <c r="C371" s="499"/>
      <c r="D371" s="168" t="s">
        <v>185</v>
      </c>
    </row>
    <row r="372" spans="1:4" s="82" customFormat="1">
      <c r="A372" s="202" t="s">
        <v>237</v>
      </c>
      <c r="B372" s="203">
        <f t="shared" ref="B372:B377" si="15">C372</f>
        <v>25</v>
      </c>
      <c r="C372" s="203">
        <v>25</v>
      </c>
      <c r="D372" s="204"/>
    </row>
    <row r="373" spans="1:4" s="82" customFormat="1">
      <c r="A373" s="205" t="s">
        <v>83</v>
      </c>
      <c r="B373" s="203">
        <f t="shared" si="15"/>
        <v>86</v>
      </c>
      <c r="C373" s="5">
        <v>86</v>
      </c>
      <c r="D373" s="204"/>
    </row>
    <row r="374" spans="1:4" s="82" customFormat="1">
      <c r="A374" s="206" t="s">
        <v>84</v>
      </c>
      <c r="B374" s="203">
        <f t="shared" si="15"/>
        <v>96</v>
      </c>
      <c r="C374" s="5">
        <v>96</v>
      </c>
      <c r="D374" s="204"/>
    </row>
    <row r="375" spans="1:4" s="82" customFormat="1">
      <c r="A375" s="202" t="s">
        <v>103</v>
      </c>
      <c r="B375" s="203">
        <f t="shared" si="15"/>
        <v>4</v>
      </c>
      <c r="C375" s="203">
        <v>4</v>
      </c>
      <c r="D375" s="204"/>
    </row>
    <row r="376" spans="1:4" s="82" customFormat="1">
      <c r="A376" s="235" t="s">
        <v>102</v>
      </c>
      <c r="B376" s="144">
        <f t="shared" si="15"/>
        <v>0.8</v>
      </c>
      <c r="C376" s="144">
        <v>0.8</v>
      </c>
      <c r="D376" s="204"/>
    </row>
    <row r="377" spans="1:4" s="82" customFormat="1">
      <c r="A377" s="207" t="s">
        <v>147</v>
      </c>
      <c r="B377" s="227">
        <f t="shared" si="15"/>
        <v>3</v>
      </c>
      <c r="C377" s="227">
        <v>3</v>
      </c>
      <c r="D377" s="204"/>
    </row>
    <row r="378" spans="1:4" s="82" customFormat="1">
      <c r="A378" s="509" t="s">
        <v>110</v>
      </c>
      <c r="B378" s="509"/>
      <c r="C378" s="509"/>
      <c r="D378" s="272" t="s">
        <v>82</v>
      </c>
    </row>
    <row r="379" spans="1:4" s="82" customFormat="1">
      <c r="A379" s="210" t="s">
        <v>238</v>
      </c>
      <c r="B379" s="144">
        <f>C379</f>
        <v>1.5</v>
      </c>
      <c r="C379" s="144">
        <v>1.5</v>
      </c>
      <c r="D379" s="288"/>
    </row>
    <row r="380" spans="1:4" s="82" customFormat="1">
      <c r="A380" s="210" t="s">
        <v>105</v>
      </c>
      <c r="B380" s="144">
        <f>C380</f>
        <v>100</v>
      </c>
      <c r="C380" s="144">
        <v>100</v>
      </c>
      <c r="D380" s="288"/>
    </row>
    <row r="381" spans="1:4" s="82" customFormat="1">
      <c r="A381" s="202" t="s">
        <v>103</v>
      </c>
      <c r="B381" s="144">
        <f>C381</f>
        <v>10</v>
      </c>
      <c r="C381" s="144">
        <v>10</v>
      </c>
      <c r="D381" s="288"/>
    </row>
    <row r="382" spans="1:4" s="82" customFormat="1">
      <c r="A382" s="206" t="s">
        <v>84</v>
      </c>
      <c r="B382" s="128">
        <f>C382</f>
        <v>100</v>
      </c>
      <c r="C382" s="128">
        <v>100</v>
      </c>
      <c r="D382" s="288"/>
    </row>
    <row r="383" spans="1:4" s="82" customFormat="1">
      <c r="A383" s="215" t="s">
        <v>331</v>
      </c>
      <c r="B383" s="128"/>
      <c r="C383" s="83"/>
      <c r="D383" s="139">
        <v>40</v>
      </c>
    </row>
    <row r="384" spans="1:4" s="82" customFormat="1">
      <c r="A384" s="125" t="s">
        <v>139</v>
      </c>
      <c r="B384" s="125"/>
      <c r="C384" s="125"/>
      <c r="D384" s="209" t="s">
        <v>82</v>
      </c>
    </row>
    <row r="385" spans="1:4" ht="19.5">
      <c r="A385" s="4" t="s">
        <v>6</v>
      </c>
      <c r="B385" s="69"/>
      <c r="C385" s="69"/>
      <c r="D385" s="69"/>
    </row>
    <row r="386" spans="1:4" s="187" customFormat="1" ht="18.75">
      <c r="A386" s="126" t="s">
        <v>243</v>
      </c>
      <c r="B386" s="280"/>
      <c r="C386" s="280"/>
      <c r="D386" s="282">
        <v>60</v>
      </c>
    </row>
    <row r="387" spans="1:4" s="82" customFormat="1" ht="18.75">
      <c r="A387" s="223" t="s">
        <v>94</v>
      </c>
      <c r="B387" s="128">
        <f>C387*1.33</f>
        <v>66.5</v>
      </c>
      <c r="C387" s="144">
        <v>50</v>
      </c>
      <c r="D387" s="281"/>
    </row>
    <row r="388" spans="1:4" s="82" customFormat="1" ht="18.75">
      <c r="A388" s="321" t="s">
        <v>233</v>
      </c>
      <c r="B388" s="144">
        <f>C388*1.13</f>
        <v>9.0399999999999991</v>
      </c>
      <c r="C388" s="144">
        <v>8</v>
      </c>
      <c r="D388" s="281"/>
    </row>
    <row r="389" spans="1:4" s="82" customFormat="1" ht="18.75">
      <c r="A389" s="210" t="s">
        <v>90</v>
      </c>
      <c r="B389" s="144">
        <f>C389</f>
        <v>2</v>
      </c>
      <c r="C389" s="144">
        <v>2</v>
      </c>
      <c r="D389" s="281"/>
    </row>
    <row r="390" spans="1:4" s="82" customFormat="1" ht="18.75">
      <c r="A390" s="210" t="s">
        <v>240</v>
      </c>
      <c r="B390" s="144">
        <f>C390*1.52</f>
        <v>0.76</v>
      </c>
      <c r="C390" s="144">
        <v>0.5</v>
      </c>
      <c r="D390" s="281"/>
    </row>
    <row r="391" spans="1:4" s="82" customFormat="1">
      <c r="A391" s="202" t="s">
        <v>103</v>
      </c>
      <c r="B391" s="243">
        <f>C391</f>
        <v>1</v>
      </c>
      <c r="C391" s="369">
        <v>1</v>
      </c>
      <c r="D391" s="222"/>
    </row>
    <row r="392" spans="1:4" s="82" customFormat="1">
      <c r="A392" s="545" t="s">
        <v>248</v>
      </c>
      <c r="B392" s="547"/>
      <c r="C392" s="546"/>
      <c r="D392" s="127">
        <v>220</v>
      </c>
    </row>
    <row r="393" spans="1:4" s="82" customFormat="1">
      <c r="A393" s="226" t="s">
        <v>91</v>
      </c>
      <c r="B393" s="227">
        <f>C393*1.1</f>
        <v>15.950000000000001</v>
      </c>
      <c r="C393" s="227">
        <f>C394*1.45</f>
        <v>14.5</v>
      </c>
      <c r="D393" s="127"/>
    </row>
    <row r="394" spans="1:4" s="82" customFormat="1">
      <c r="A394" s="229" t="s">
        <v>171</v>
      </c>
      <c r="B394" s="230"/>
      <c r="C394" s="231">
        <v>10</v>
      </c>
      <c r="D394" s="127"/>
    </row>
    <row r="395" spans="1:4" s="82" customFormat="1">
      <c r="A395" s="358" t="s">
        <v>241</v>
      </c>
      <c r="B395" s="143">
        <f>C395</f>
        <v>10</v>
      </c>
      <c r="C395" s="143">
        <v>10</v>
      </c>
      <c r="D395" s="143"/>
    </row>
    <row r="396" spans="1:4" s="82" customFormat="1">
      <c r="A396" s="223" t="s">
        <v>94</v>
      </c>
      <c r="B396" s="128">
        <f>C396*1.33</f>
        <v>13.3</v>
      </c>
      <c r="C396" s="128">
        <v>10</v>
      </c>
      <c r="D396" s="143"/>
    </row>
    <row r="397" spans="1:4" s="82" customFormat="1">
      <c r="A397" s="359" t="s">
        <v>95</v>
      </c>
      <c r="B397" s="360">
        <f>C397*1.19</f>
        <v>9.52</v>
      </c>
      <c r="C397" s="360">
        <v>8</v>
      </c>
      <c r="D397" s="143"/>
    </row>
    <row r="398" spans="1:4" s="82" customFormat="1">
      <c r="A398" s="361" t="s">
        <v>173</v>
      </c>
      <c r="B398" s="285">
        <f>C398</f>
        <v>4</v>
      </c>
      <c r="C398" s="285">
        <v>4</v>
      </c>
      <c r="D398" s="143"/>
    </row>
    <row r="399" spans="1:4" s="82" customFormat="1">
      <c r="A399" s="223" t="s">
        <v>93</v>
      </c>
      <c r="B399" s="227">
        <f>C399*1.67</f>
        <v>83.5</v>
      </c>
      <c r="C399" s="285">
        <v>50</v>
      </c>
      <c r="D399" s="143"/>
    </row>
    <row r="400" spans="1:4" s="82" customFormat="1">
      <c r="A400" s="235" t="s">
        <v>102</v>
      </c>
      <c r="B400" s="285">
        <f>C400</f>
        <v>1.5</v>
      </c>
      <c r="C400" s="285">
        <v>1.5</v>
      </c>
      <c r="D400" s="143"/>
    </row>
    <row r="401" spans="1:4" s="82" customFormat="1">
      <c r="A401" s="223" t="s">
        <v>83</v>
      </c>
      <c r="B401" s="360">
        <f>C401</f>
        <v>180</v>
      </c>
      <c r="C401" s="360">
        <v>180</v>
      </c>
      <c r="D401" s="143"/>
    </row>
    <row r="402" spans="1:4" s="82" customFormat="1">
      <c r="A402" s="527" t="s">
        <v>244</v>
      </c>
      <c r="B402" s="528"/>
      <c r="C402" s="529"/>
      <c r="D402" s="172" t="s">
        <v>192</v>
      </c>
    </row>
    <row r="403" spans="1:4" s="82" customFormat="1">
      <c r="A403" s="318" t="s">
        <v>320</v>
      </c>
      <c r="B403" s="233">
        <f>C403*1.05</f>
        <v>58.800000000000004</v>
      </c>
      <c r="C403" s="233">
        <f>C404*1.4</f>
        <v>56</v>
      </c>
      <c r="D403" s="253"/>
    </row>
    <row r="404" spans="1:4" s="173" customFormat="1">
      <c r="A404" s="362" t="s">
        <v>143</v>
      </c>
      <c r="B404" s="259"/>
      <c r="C404" s="409">
        <v>40</v>
      </c>
      <c r="D404" s="253"/>
    </row>
    <row r="405" spans="1:4" s="173" customFormat="1">
      <c r="A405" s="252" t="s">
        <v>131</v>
      </c>
      <c r="B405" s="233">
        <f>C405</f>
        <v>65</v>
      </c>
      <c r="C405" s="233">
        <v>65</v>
      </c>
      <c r="D405" s="253"/>
    </row>
    <row r="406" spans="1:4" s="173" customFormat="1">
      <c r="A406" s="252" t="s">
        <v>105</v>
      </c>
      <c r="B406" s="233">
        <f>C406</f>
        <v>150</v>
      </c>
      <c r="C406" s="233">
        <v>150</v>
      </c>
      <c r="D406" s="253"/>
    </row>
    <row r="407" spans="1:4" s="173" customFormat="1">
      <c r="A407" s="235" t="s">
        <v>102</v>
      </c>
      <c r="B407" s="233">
        <f>C407</f>
        <v>1.86</v>
      </c>
      <c r="C407" s="233">
        <v>1.86</v>
      </c>
      <c r="D407" s="253"/>
    </row>
    <row r="408" spans="1:4" s="173" customFormat="1">
      <c r="A408" s="223" t="s">
        <v>94</v>
      </c>
      <c r="B408" s="128">
        <f>C408*1.33</f>
        <v>26.6</v>
      </c>
      <c r="C408" s="128">
        <v>20</v>
      </c>
      <c r="D408" s="253"/>
    </row>
    <row r="409" spans="1:4" s="173" customFormat="1">
      <c r="A409" s="363" t="s">
        <v>95</v>
      </c>
      <c r="B409" s="364">
        <f>C409*1.19</f>
        <v>14.28</v>
      </c>
      <c r="C409" s="364">
        <v>12</v>
      </c>
      <c r="D409" s="253"/>
    </row>
    <row r="410" spans="1:4" s="173" customFormat="1">
      <c r="A410" s="245" t="s">
        <v>146</v>
      </c>
      <c r="B410" s="241">
        <f>C410</f>
        <v>6</v>
      </c>
      <c r="C410" s="366">
        <v>6</v>
      </c>
      <c r="D410" s="253"/>
    </row>
    <row r="411" spans="1:4" s="187" customFormat="1">
      <c r="A411" s="365" t="s">
        <v>90</v>
      </c>
      <c r="B411" s="366">
        <f>C411</f>
        <v>5</v>
      </c>
      <c r="C411" s="366">
        <v>5</v>
      </c>
      <c r="D411" s="253"/>
    </row>
    <row r="412" spans="1:4" s="173" customFormat="1" ht="14.25">
      <c r="A412" s="142" t="s">
        <v>245</v>
      </c>
      <c r="B412" s="142"/>
      <c r="C412" s="142"/>
      <c r="D412" s="246">
        <v>180</v>
      </c>
    </row>
    <row r="413" spans="1:4" s="173" customFormat="1">
      <c r="A413" s="252" t="s">
        <v>242</v>
      </c>
      <c r="B413" s="147">
        <f>C413</f>
        <v>17</v>
      </c>
      <c r="C413" s="147">
        <v>17</v>
      </c>
      <c r="D413" s="253"/>
    </row>
    <row r="414" spans="1:4" s="173" customFormat="1">
      <c r="A414" s="202" t="s">
        <v>103</v>
      </c>
      <c r="B414" s="147">
        <f>C414</f>
        <v>10</v>
      </c>
      <c r="C414" s="147">
        <v>10</v>
      </c>
      <c r="D414" s="253"/>
    </row>
    <row r="415" spans="1:4" s="173" customFormat="1">
      <c r="A415" s="223" t="s">
        <v>105</v>
      </c>
      <c r="B415" s="367">
        <f>C415</f>
        <v>180</v>
      </c>
      <c r="C415" s="128">
        <v>180</v>
      </c>
      <c r="D415" s="143"/>
    </row>
    <row r="416" spans="1:4" s="173" customFormat="1">
      <c r="A416" s="215" t="s">
        <v>331</v>
      </c>
      <c r="B416" s="128"/>
      <c r="C416" s="83"/>
      <c r="D416" s="139">
        <v>30</v>
      </c>
    </row>
    <row r="417" spans="1:4" s="173" customFormat="1" ht="14.25">
      <c r="A417" s="254" t="s">
        <v>332</v>
      </c>
      <c r="B417" s="126"/>
      <c r="C417" s="126"/>
      <c r="D417" s="130">
        <v>20</v>
      </c>
    </row>
    <row r="418" spans="1:4" ht="19.5">
      <c r="A418" s="4" t="s">
        <v>7</v>
      </c>
      <c r="B418" s="10"/>
      <c r="C418" s="10"/>
      <c r="D418" s="10"/>
    </row>
    <row r="419" spans="1:4" s="82" customFormat="1">
      <c r="A419" s="160" t="s">
        <v>138</v>
      </c>
      <c r="B419" s="158"/>
      <c r="C419" s="158"/>
      <c r="D419" s="161">
        <v>60</v>
      </c>
    </row>
    <row r="420" spans="1:4" s="82" customFormat="1">
      <c r="A420" s="340" t="s">
        <v>107</v>
      </c>
      <c r="B420" s="83">
        <f>C420</f>
        <v>41.15</v>
      </c>
      <c r="C420" s="83">
        <v>41.15</v>
      </c>
      <c r="D420" s="159"/>
    </row>
    <row r="421" spans="1:4" s="82" customFormat="1">
      <c r="A421" s="223" t="s">
        <v>117</v>
      </c>
      <c r="B421" s="83">
        <f t="shared" ref="B421:B427" si="16">C421</f>
        <v>0.4</v>
      </c>
      <c r="C421" s="83">
        <v>0.4</v>
      </c>
      <c r="D421" s="159"/>
    </row>
    <row r="422" spans="1:4" s="82" customFormat="1">
      <c r="A422" s="202" t="s">
        <v>103</v>
      </c>
      <c r="B422" s="203">
        <f t="shared" si="16"/>
        <v>5.15</v>
      </c>
      <c r="C422" s="203">
        <v>5.15</v>
      </c>
      <c r="D422" s="159"/>
    </row>
    <row r="423" spans="1:4" s="82" customFormat="1">
      <c r="A423" s="235" t="s">
        <v>102</v>
      </c>
      <c r="B423" s="83">
        <f t="shared" si="16"/>
        <v>0.4</v>
      </c>
      <c r="C423" s="83">
        <v>0.4</v>
      </c>
      <c r="D423" s="159"/>
    </row>
    <row r="424" spans="1:4" s="82" customFormat="1">
      <c r="A424" s="207" t="s">
        <v>90</v>
      </c>
      <c r="B424" s="83">
        <f t="shared" si="16"/>
        <v>6</v>
      </c>
      <c r="C424" s="83">
        <v>6</v>
      </c>
      <c r="D424" s="159"/>
    </row>
    <row r="425" spans="1:4" s="82" customFormat="1">
      <c r="A425" s="236" t="s">
        <v>97</v>
      </c>
      <c r="B425" s="143">
        <f>C425</f>
        <v>7.7</v>
      </c>
      <c r="C425" s="83">
        <v>7.7</v>
      </c>
      <c r="D425" s="159"/>
    </row>
    <row r="426" spans="1:4" s="82" customFormat="1">
      <c r="A426" s="223" t="s">
        <v>105</v>
      </c>
      <c r="B426" s="83">
        <f>C426</f>
        <v>12.5</v>
      </c>
      <c r="C426" s="83">
        <v>12.5</v>
      </c>
      <c r="D426" s="159"/>
    </row>
    <row r="427" spans="1:4" s="82" customFormat="1">
      <c r="A427" s="308" t="s">
        <v>98</v>
      </c>
      <c r="B427" s="83">
        <f t="shared" si="16"/>
        <v>1.1000000000000001</v>
      </c>
      <c r="C427" s="83">
        <v>1.1000000000000001</v>
      </c>
      <c r="D427" s="159"/>
    </row>
    <row r="428" spans="1:4" s="82" customFormat="1">
      <c r="A428" s="258" t="s">
        <v>118</v>
      </c>
      <c r="B428" s="341"/>
      <c r="C428" s="433">
        <f>C420+C421+C422+C424+C425+C426+C427</f>
        <v>74</v>
      </c>
      <c r="D428" s="159"/>
    </row>
    <row r="429" spans="1:4" s="82" customFormat="1">
      <c r="A429" s="205" t="s">
        <v>90</v>
      </c>
      <c r="B429" s="371">
        <f>C429</f>
        <v>0.6</v>
      </c>
      <c r="C429" s="233">
        <v>0.6</v>
      </c>
      <c r="D429" s="131"/>
    </row>
    <row r="430" spans="1:4" s="82" customFormat="1">
      <c r="A430" s="548" t="s">
        <v>247</v>
      </c>
      <c r="B430" s="549"/>
      <c r="C430" s="550"/>
      <c r="D430" s="157">
        <v>180</v>
      </c>
    </row>
    <row r="431" spans="1:4" s="82" customFormat="1">
      <c r="A431" s="252" t="s">
        <v>316</v>
      </c>
      <c r="B431" s="144">
        <f t="shared" ref="B431:B434" si="17">C431</f>
        <v>18</v>
      </c>
      <c r="C431" s="144">
        <v>18</v>
      </c>
      <c r="D431" s="288"/>
    </row>
    <row r="432" spans="1:4" s="82" customFormat="1">
      <c r="A432" s="202" t="s">
        <v>103</v>
      </c>
      <c r="B432" s="144">
        <f t="shared" si="17"/>
        <v>10</v>
      </c>
      <c r="C432" s="144">
        <v>10</v>
      </c>
      <c r="D432" s="288"/>
    </row>
    <row r="433" spans="1:4" s="82" customFormat="1">
      <c r="A433" s="202" t="s">
        <v>105</v>
      </c>
      <c r="B433" s="144">
        <f t="shared" si="17"/>
        <v>195</v>
      </c>
      <c r="C433" s="144">
        <v>195</v>
      </c>
      <c r="D433" s="288"/>
    </row>
    <row r="434" spans="1:4" s="82" customFormat="1">
      <c r="A434" s="202" t="s">
        <v>246</v>
      </c>
      <c r="B434" s="144">
        <f t="shared" si="17"/>
        <v>7.5</v>
      </c>
      <c r="C434" s="144">
        <v>7.5</v>
      </c>
      <c r="D434" s="288"/>
    </row>
    <row r="435" spans="1:4" s="82" customFormat="1">
      <c r="A435" s="138" t="s">
        <v>109</v>
      </c>
      <c r="B435" s="214"/>
      <c r="C435" s="214"/>
      <c r="D435" s="139">
        <v>125</v>
      </c>
    </row>
    <row r="436" spans="1:4" ht="18.75">
      <c r="A436" s="74" t="s">
        <v>68</v>
      </c>
      <c r="B436" s="75"/>
      <c r="C436" s="75"/>
      <c r="D436" s="76"/>
    </row>
    <row r="437" spans="1:4" ht="18.75">
      <c r="A437" s="3" t="s">
        <v>14</v>
      </c>
      <c r="B437" s="517"/>
      <c r="C437" s="518"/>
      <c r="D437" s="518"/>
    </row>
    <row r="438" spans="1:4" ht="19.5">
      <c r="A438" s="4" t="s">
        <v>5</v>
      </c>
      <c r="B438" s="4"/>
      <c r="C438" s="4"/>
      <c r="D438" s="68"/>
    </row>
    <row r="439" spans="1:4" s="82" customFormat="1">
      <c r="A439" s="372" t="s">
        <v>250</v>
      </c>
      <c r="B439" s="372"/>
      <c r="C439" s="372"/>
      <c r="D439" s="168" t="s">
        <v>249</v>
      </c>
    </row>
    <row r="440" spans="1:4" s="82" customFormat="1">
      <c r="A440" s="196" t="s">
        <v>333</v>
      </c>
      <c r="B440" s="227">
        <f>C440</f>
        <v>20</v>
      </c>
      <c r="C440" s="227">
        <v>20</v>
      </c>
      <c r="D440" s="230"/>
    </row>
    <row r="441" spans="1:4" s="82" customFormat="1">
      <c r="A441" s="207" t="s">
        <v>125</v>
      </c>
      <c r="B441" s="143">
        <f>C441</f>
        <v>20</v>
      </c>
      <c r="C441" s="143">
        <v>20</v>
      </c>
      <c r="D441" s="255"/>
    </row>
    <row r="442" spans="1:4" s="82" customFormat="1">
      <c r="A442" s="497" t="s">
        <v>251</v>
      </c>
      <c r="B442" s="498"/>
      <c r="C442" s="499"/>
      <c r="D442" s="168" t="s">
        <v>185</v>
      </c>
    </row>
    <row r="443" spans="1:4" s="82" customFormat="1">
      <c r="A443" s="202" t="s">
        <v>213</v>
      </c>
      <c r="B443" s="203">
        <f>C443</f>
        <v>25</v>
      </c>
      <c r="C443" s="203">
        <v>25</v>
      </c>
      <c r="D443" s="204"/>
    </row>
    <row r="444" spans="1:4" s="82" customFormat="1">
      <c r="A444" s="205" t="s">
        <v>83</v>
      </c>
      <c r="B444" s="203">
        <f>C444</f>
        <v>86</v>
      </c>
      <c r="C444" s="5">
        <v>86</v>
      </c>
      <c r="D444" s="204"/>
    </row>
    <row r="445" spans="1:4" s="82" customFormat="1">
      <c r="A445" s="206" t="s">
        <v>84</v>
      </c>
      <c r="B445" s="203">
        <f>C445</f>
        <v>96</v>
      </c>
      <c r="C445" s="5">
        <v>96</v>
      </c>
      <c r="D445" s="204"/>
    </row>
    <row r="446" spans="1:4" s="82" customFormat="1">
      <c r="A446" s="235" t="s">
        <v>102</v>
      </c>
      <c r="B446" s="83">
        <f t="shared" ref="B446" si="18">C446</f>
        <v>0.8</v>
      </c>
      <c r="C446" s="83">
        <v>0.8</v>
      </c>
      <c r="D446" s="204"/>
    </row>
    <row r="447" spans="1:4" s="82" customFormat="1">
      <c r="A447" s="202" t="s">
        <v>103</v>
      </c>
      <c r="B447" s="203">
        <f>C447</f>
        <v>5</v>
      </c>
      <c r="C447" s="203">
        <v>5</v>
      </c>
      <c r="D447" s="204"/>
    </row>
    <row r="448" spans="1:4" s="82" customFormat="1">
      <c r="A448" s="207" t="s">
        <v>147</v>
      </c>
      <c r="B448" s="203">
        <f>C448</f>
        <v>3</v>
      </c>
      <c r="C448" s="203">
        <v>3</v>
      </c>
      <c r="D448" s="204"/>
    </row>
    <row r="449" spans="1:4" s="82" customFormat="1">
      <c r="A449" s="500" t="s">
        <v>252</v>
      </c>
      <c r="B449" s="501"/>
      <c r="C449" s="502"/>
      <c r="D449" s="311">
        <v>200</v>
      </c>
    </row>
    <row r="450" spans="1:4" s="82" customFormat="1">
      <c r="A450" s="312" t="s">
        <v>88</v>
      </c>
      <c r="B450" s="143">
        <f>C450</f>
        <v>1.5</v>
      </c>
      <c r="C450" s="143">
        <v>1.5</v>
      </c>
      <c r="D450" s="145"/>
    </row>
    <row r="451" spans="1:4" s="82" customFormat="1">
      <c r="A451" s="206" t="s">
        <v>84</v>
      </c>
      <c r="B451" s="143">
        <f>C451</f>
        <v>100</v>
      </c>
      <c r="C451" s="227">
        <v>100</v>
      </c>
      <c r="D451" s="238"/>
    </row>
    <row r="452" spans="1:4" s="82" customFormat="1">
      <c r="A452" s="202" t="s">
        <v>105</v>
      </c>
      <c r="B452" s="144">
        <f t="shared" ref="B452" si="19">C452</f>
        <v>100</v>
      </c>
      <c r="C452" s="144">
        <v>100</v>
      </c>
      <c r="D452" s="238"/>
    </row>
    <row r="453" spans="1:4" s="82" customFormat="1">
      <c r="A453" s="202" t="s">
        <v>103</v>
      </c>
      <c r="B453" s="143">
        <f>C453</f>
        <v>9</v>
      </c>
      <c r="C453" s="227">
        <v>9</v>
      </c>
      <c r="D453" s="238"/>
    </row>
    <row r="454" spans="1:4" s="82" customFormat="1">
      <c r="A454" s="198" t="s">
        <v>162</v>
      </c>
      <c r="B454" s="199"/>
      <c r="C454" s="200"/>
      <c r="D454" s="201">
        <v>40</v>
      </c>
    </row>
    <row r="455" spans="1:4" s="82" customFormat="1">
      <c r="A455" s="308" t="s">
        <v>98</v>
      </c>
      <c r="B455" s="197">
        <f>C455</f>
        <v>40</v>
      </c>
      <c r="C455" s="200">
        <v>40</v>
      </c>
      <c r="D455" s="124"/>
    </row>
    <row r="456" spans="1:4" s="82" customFormat="1">
      <c r="A456" s="215" t="s">
        <v>331</v>
      </c>
      <c r="B456" s="128"/>
      <c r="C456" s="83"/>
      <c r="D456" s="139">
        <v>30</v>
      </c>
    </row>
    <row r="457" spans="1:4" ht="19.5">
      <c r="A457" s="4" t="s">
        <v>6</v>
      </c>
      <c r="B457" s="69"/>
      <c r="C457" s="69"/>
      <c r="D457" s="69"/>
    </row>
    <row r="458" spans="1:4" s="82" customFormat="1">
      <c r="A458" s="373" t="s">
        <v>260</v>
      </c>
      <c r="B458" s="121"/>
      <c r="C458" s="115"/>
      <c r="D458" s="139">
        <v>60</v>
      </c>
    </row>
    <row r="459" spans="1:4" s="82" customFormat="1">
      <c r="A459" s="223" t="s">
        <v>89</v>
      </c>
      <c r="B459" s="128">
        <f>C459*1.05</f>
        <v>58.800000000000004</v>
      </c>
      <c r="C459" s="128">
        <v>56</v>
      </c>
      <c r="D459" s="124"/>
    </row>
    <row r="460" spans="1:4" s="82" customFormat="1">
      <c r="A460" s="235" t="s">
        <v>102</v>
      </c>
      <c r="B460" s="128">
        <f>C460</f>
        <v>0.3</v>
      </c>
      <c r="C460" s="128">
        <v>0.3</v>
      </c>
      <c r="D460" s="124"/>
    </row>
    <row r="461" spans="1:4" s="82" customFormat="1">
      <c r="A461" s="210" t="s">
        <v>169</v>
      </c>
      <c r="B461" s="128">
        <f>C461*1.35</f>
        <v>1.35</v>
      </c>
      <c r="C461" s="144">
        <v>1</v>
      </c>
      <c r="D461" s="124"/>
    </row>
    <row r="462" spans="1:4" s="82" customFormat="1">
      <c r="A462" s="210" t="s">
        <v>90</v>
      </c>
      <c r="B462" s="128">
        <f>C462</f>
        <v>3</v>
      </c>
      <c r="C462" s="144">
        <v>3</v>
      </c>
      <c r="D462" s="124"/>
    </row>
    <row r="463" spans="1:4" s="82" customFormat="1" ht="15" customHeight="1">
      <c r="A463" s="503" t="s">
        <v>257</v>
      </c>
      <c r="B463" s="504"/>
      <c r="C463" s="505"/>
      <c r="D463" s="374" t="s">
        <v>216</v>
      </c>
    </row>
    <row r="464" spans="1:4" s="82" customFormat="1">
      <c r="A464" s="318" t="s">
        <v>112</v>
      </c>
      <c r="B464" s="128">
        <f>C464*1.05</f>
        <v>8.4</v>
      </c>
      <c r="C464" s="128">
        <f>C465*1.6</f>
        <v>8</v>
      </c>
      <c r="D464" s="129"/>
    </row>
    <row r="465" spans="1:4" s="82" customFormat="1">
      <c r="A465" s="375" t="s">
        <v>113</v>
      </c>
      <c r="B465" s="376"/>
      <c r="C465" s="429">
        <v>5</v>
      </c>
      <c r="D465" s="129"/>
    </row>
    <row r="466" spans="1:4" s="82" customFormat="1">
      <c r="A466" s="223" t="s">
        <v>93</v>
      </c>
      <c r="B466" s="227">
        <f>C466*1.67</f>
        <v>83.5</v>
      </c>
      <c r="C466" s="128">
        <v>50</v>
      </c>
      <c r="D466" s="115"/>
    </row>
    <row r="467" spans="1:4" s="82" customFormat="1">
      <c r="A467" s="223" t="s">
        <v>114</v>
      </c>
      <c r="B467" s="128">
        <f>C467</f>
        <v>20</v>
      </c>
      <c r="C467" s="128">
        <v>20</v>
      </c>
      <c r="D467" s="115"/>
    </row>
    <row r="468" spans="1:4" s="82" customFormat="1">
      <c r="A468" s="223" t="s">
        <v>173</v>
      </c>
      <c r="B468" s="128">
        <f>C468</f>
        <v>5</v>
      </c>
      <c r="C468" s="128">
        <v>5</v>
      </c>
      <c r="D468" s="115"/>
    </row>
    <row r="469" spans="1:4" s="82" customFormat="1">
      <c r="A469" s="223" t="s">
        <v>95</v>
      </c>
      <c r="B469" s="128">
        <f>C469*1.19</f>
        <v>9.52</v>
      </c>
      <c r="C469" s="128">
        <v>8</v>
      </c>
      <c r="D469" s="115"/>
    </row>
    <row r="470" spans="1:4" s="82" customFormat="1">
      <c r="A470" s="223" t="s">
        <v>94</v>
      </c>
      <c r="B470" s="128">
        <f>C470*1.33</f>
        <v>17.29</v>
      </c>
      <c r="C470" s="128">
        <v>13</v>
      </c>
      <c r="D470" s="115"/>
    </row>
    <row r="471" spans="1:4" s="82" customFormat="1">
      <c r="A471" s="235" t="s">
        <v>102</v>
      </c>
      <c r="B471" s="128">
        <f>C471</f>
        <v>1.5</v>
      </c>
      <c r="C471" s="128">
        <v>1.5</v>
      </c>
      <c r="D471" s="115"/>
    </row>
    <row r="472" spans="1:4" s="82" customFormat="1">
      <c r="A472" s="223" t="s">
        <v>83</v>
      </c>
      <c r="B472" s="128">
        <f>C472</f>
        <v>175</v>
      </c>
      <c r="C472" s="128">
        <v>175</v>
      </c>
      <c r="D472" s="115"/>
    </row>
    <row r="473" spans="1:4" s="82" customFormat="1">
      <c r="A473" s="196" t="s">
        <v>333</v>
      </c>
      <c r="B473" s="128">
        <f>C473*1.6</f>
        <v>16</v>
      </c>
      <c r="C473" s="128">
        <v>10</v>
      </c>
      <c r="D473" s="115"/>
    </row>
    <row r="474" spans="1:4" s="82" customFormat="1" ht="28.5">
      <c r="A474" s="268" t="s">
        <v>258</v>
      </c>
      <c r="B474" s="268"/>
      <c r="C474" s="268"/>
      <c r="D474" s="127" t="s">
        <v>123</v>
      </c>
    </row>
    <row r="475" spans="1:4" s="82" customFormat="1">
      <c r="A475" s="295" t="s">
        <v>253</v>
      </c>
      <c r="B475" s="128">
        <f>C475*1.02</f>
        <v>27.723600000000001</v>
      </c>
      <c r="C475" s="128">
        <v>27.18</v>
      </c>
      <c r="D475" s="137"/>
    </row>
    <row r="476" spans="1:4" s="82" customFormat="1">
      <c r="A476" s="295" t="s">
        <v>124</v>
      </c>
      <c r="B476" s="128">
        <f>C476*1.1</f>
        <v>66</v>
      </c>
      <c r="C476" s="128">
        <v>60</v>
      </c>
      <c r="D476" s="137"/>
    </row>
    <row r="477" spans="1:4" s="82" customFormat="1">
      <c r="A477" s="347" t="s">
        <v>95</v>
      </c>
      <c r="B477" s="320">
        <f>C477*1.19</f>
        <v>14.28</v>
      </c>
      <c r="C477" s="128">
        <v>12</v>
      </c>
      <c r="D477" s="137"/>
    </row>
    <row r="478" spans="1:4" s="82" customFormat="1">
      <c r="A478" s="235" t="s">
        <v>102</v>
      </c>
      <c r="B478" s="144">
        <f>C478</f>
        <v>1.01</v>
      </c>
      <c r="C478" s="128">
        <v>1.01</v>
      </c>
      <c r="D478" s="137"/>
    </row>
    <row r="479" spans="1:4" s="82" customFormat="1">
      <c r="A479" s="368" t="s">
        <v>98</v>
      </c>
      <c r="B479" s="128">
        <f>C479</f>
        <v>2.81</v>
      </c>
      <c r="C479" s="128">
        <v>2.81</v>
      </c>
      <c r="D479" s="137"/>
    </row>
    <row r="480" spans="1:4" s="82" customFormat="1">
      <c r="A480" s="355" t="s">
        <v>121</v>
      </c>
      <c r="B480" s="128">
        <f>C480</f>
        <v>5</v>
      </c>
      <c r="C480" s="233">
        <v>5</v>
      </c>
      <c r="D480" s="137"/>
    </row>
    <row r="481" spans="1:4" s="82" customFormat="1">
      <c r="A481" s="432" t="s">
        <v>99</v>
      </c>
      <c r="B481" s="426"/>
      <c r="C481" s="427">
        <f>SUM(C475:C480)</f>
        <v>108.00000000000001</v>
      </c>
      <c r="D481" s="137"/>
    </row>
    <row r="482" spans="1:4" s="82" customFormat="1">
      <c r="A482" s="342" t="s">
        <v>90</v>
      </c>
      <c r="B482" s="128">
        <f>C482</f>
        <v>1</v>
      </c>
      <c r="C482" s="128">
        <v>1</v>
      </c>
      <c r="D482" s="137"/>
    </row>
    <row r="483" spans="1:4" s="82" customFormat="1">
      <c r="A483" s="418" t="s">
        <v>254</v>
      </c>
      <c r="B483" s="430"/>
      <c r="C483" s="431">
        <v>30</v>
      </c>
      <c r="D483" s="311"/>
    </row>
    <row r="484" spans="1:4" s="82" customFormat="1">
      <c r="A484" s="236" t="s">
        <v>97</v>
      </c>
      <c r="B484" s="128">
        <f>C484</f>
        <v>7.5</v>
      </c>
      <c r="C484" s="128">
        <v>7.5</v>
      </c>
      <c r="D484" s="302"/>
    </row>
    <row r="485" spans="1:4" s="82" customFormat="1">
      <c r="A485" s="210" t="s">
        <v>107</v>
      </c>
      <c r="B485" s="128">
        <f>C485</f>
        <v>1.4</v>
      </c>
      <c r="C485" s="128">
        <v>1.4</v>
      </c>
      <c r="D485" s="302"/>
    </row>
    <row r="486" spans="1:4" s="82" customFormat="1">
      <c r="A486" s="342" t="s">
        <v>105</v>
      </c>
      <c r="B486" s="128">
        <f>C486</f>
        <v>22.5</v>
      </c>
      <c r="C486" s="343">
        <v>22.5</v>
      </c>
      <c r="D486" s="302"/>
    </row>
    <row r="487" spans="1:4" s="82" customFormat="1">
      <c r="A487" s="245" t="s">
        <v>146</v>
      </c>
      <c r="B487" s="241">
        <f>C487</f>
        <v>3</v>
      </c>
      <c r="C487" s="128">
        <v>3</v>
      </c>
      <c r="D487" s="302"/>
    </row>
    <row r="488" spans="1:4" s="82" customFormat="1">
      <c r="A488" s="169" t="s">
        <v>255</v>
      </c>
      <c r="B488" s="377"/>
      <c r="C488" s="378"/>
      <c r="D488" s="306">
        <v>150</v>
      </c>
    </row>
    <row r="489" spans="1:4" s="82" customFormat="1">
      <c r="A489" s="514" t="s">
        <v>137</v>
      </c>
      <c r="B489" s="515"/>
      <c r="C489" s="516"/>
      <c r="D489" s="272" t="s">
        <v>190</v>
      </c>
    </row>
    <row r="490" spans="1:4" s="82" customFormat="1">
      <c r="A490" s="223" t="s">
        <v>93</v>
      </c>
      <c r="B490" s="227">
        <f>C490*1.67</f>
        <v>142.50109999999998</v>
      </c>
      <c r="C490" s="128">
        <v>85.33</v>
      </c>
      <c r="D490" s="143"/>
    </row>
    <row r="491" spans="1:4" s="82" customFormat="1">
      <c r="A491" s="235" t="s">
        <v>102</v>
      </c>
      <c r="B491" s="144">
        <f>C491</f>
        <v>1</v>
      </c>
      <c r="C491" s="128">
        <v>1</v>
      </c>
      <c r="D491" s="143"/>
    </row>
    <row r="492" spans="1:4" s="82" customFormat="1">
      <c r="A492" s="206" t="s">
        <v>84</v>
      </c>
      <c r="B492" s="128">
        <f>C492*1.05</f>
        <v>15.75</v>
      </c>
      <c r="C492" s="128">
        <v>15</v>
      </c>
      <c r="D492" s="143"/>
    </row>
    <row r="493" spans="1:4" s="82" customFormat="1">
      <c r="A493" s="207" t="s">
        <v>147</v>
      </c>
      <c r="B493" s="128">
        <f>C493</f>
        <v>3</v>
      </c>
      <c r="C493" s="128">
        <v>3</v>
      </c>
      <c r="D493" s="143"/>
    </row>
    <row r="494" spans="1:4" s="82" customFormat="1">
      <c r="A494" s="174" t="s">
        <v>153</v>
      </c>
      <c r="B494" s="175"/>
      <c r="C494" s="175"/>
      <c r="D494" s="176">
        <v>50</v>
      </c>
    </row>
    <row r="495" spans="1:4" s="82" customFormat="1">
      <c r="A495" s="220" t="s">
        <v>136</v>
      </c>
      <c r="B495" s="175">
        <f>C495*1.25</f>
        <v>65.837500000000006</v>
      </c>
      <c r="C495" s="175">
        <v>52.67</v>
      </c>
      <c r="D495" s="9"/>
    </row>
    <row r="496" spans="1:4" s="82" customFormat="1">
      <c r="A496" s="223" t="s">
        <v>94</v>
      </c>
      <c r="B496" s="128">
        <f>C496*1.33</f>
        <v>6.65</v>
      </c>
      <c r="C496" s="175">
        <v>5</v>
      </c>
      <c r="D496" s="9"/>
    </row>
    <row r="497" spans="1:4" s="82" customFormat="1">
      <c r="A497" s="361" t="s">
        <v>95</v>
      </c>
      <c r="B497" s="175">
        <f>C497*1.19</f>
        <v>3.9626999999999999</v>
      </c>
      <c r="C497" s="175">
        <v>3.33</v>
      </c>
      <c r="D497" s="9"/>
    </row>
    <row r="498" spans="1:4" s="82" customFormat="1">
      <c r="A498" s="210" t="s">
        <v>107</v>
      </c>
      <c r="B498" s="175">
        <f>C498</f>
        <v>1</v>
      </c>
      <c r="C498" s="175">
        <v>1</v>
      </c>
      <c r="D498" s="9"/>
    </row>
    <row r="499" spans="1:4" s="82" customFormat="1">
      <c r="A499" s="235" t="s">
        <v>102</v>
      </c>
      <c r="B499" s="175">
        <f>C499</f>
        <v>0.33</v>
      </c>
      <c r="C499" s="175">
        <v>0.33</v>
      </c>
      <c r="D499" s="9"/>
    </row>
    <row r="500" spans="1:4" s="82" customFormat="1">
      <c r="A500" s="361" t="s">
        <v>90</v>
      </c>
      <c r="B500" s="175">
        <f>C500</f>
        <v>1</v>
      </c>
      <c r="C500" s="175">
        <v>1</v>
      </c>
      <c r="D500" s="9"/>
    </row>
    <row r="501" spans="1:4" s="82" customFormat="1">
      <c r="A501" s="245" t="s">
        <v>146</v>
      </c>
      <c r="B501" s="241">
        <f>C501</f>
        <v>1</v>
      </c>
      <c r="C501" s="144">
        <v>1</v>
      </c>
      <c r="D501" s="9"/>
    </row>
    <row r="502" spans="1:4" s="82" customFormat="1">
      <c r="A502" s="513" t="s">
        <v>256</v>
      </c>
      <c r="B502" s="513"/>
      <c r="C502" s="513"/>
      <c r="D502" s="294">
        <v>180</v>
      </c>
    </row>
    <row r="503" spans="1:4" s="82" customFormat="1">
      <c r="A503" s="321" t="s">
        <v>233</v>
      </c>
      <c r="B503" s="237">
        <f>C503*1.13</f>
        <v>22.599999999999998</v>
      </c>
      <c r="C503" s="237">
        <v>20</v>
      </c>
      <c r="D503" s="283"/>
    </row>
    <row r="504" spans="1:4" s="82" customFormat="1">
      <c r="A504" s="202" t="s">
        <v>103</v>
      </c>
      <c r="B504" s="128">
        <f>C504</f>
        <v>9</v>
      </c>
      <c r="C504" s="128">
        <v>9</v>
      </c>
      <c r="D504" s="283"/>
    </row>
    <row r="505" spans="1:4" s="82" customFormat="1">
      <c r="A505" s="295" t="s">
        <v>105</v>
      </c>
      <c r="B505" s="237">
        <f>C505</f>
        <v>170</v>
      </c>
      <c r="C505" s="237">
        <v>170</v>
      </c>
      <c r="D505" s="283"/>
    </row>
    <row r="506" spans="1:4" s="82" customFormat="1">
      <c r="A506" s="223" t="s">
        <v>195</v>
      </c>
      <c r="B506" s="144">
        <f>C506</f>
        <v>0.05</v>
      </c>
      <c r="C506" s="144">
        <v>0.05</v>
      </c>
      <c r="D506" s="329"/>
    </row>
    <row r="507" spans="1:4" s="82" customFormat="1">
      <c r="A507" s="215" t="s">
        <v>331</v>
      </c>
      <c r="B507" s="128"/>
      <c r="C507" s="83"/>
      <c r="D507" s="139">
        <v>30</v>
      </c>
    </row>
    <row r="508" spans="1:4" s="82" customFormat="1">
      <c r="A508" s="126"/>
      <c r="B508" s="129"/>
      <c r="C508" s="129"/>
      <c r="D508" s="130"/>
    </row>
    <row r="509" spans="1:4" ht="19.5">
      <c r="A509" s="4" t="s">
        <v>7</v>
      </c>
      <c r="B509" s="10"/>
      <c r="C509" s="10"/>
      <c r="D509" s="10"/>
    </row>
    <row r="510" spans="1:4" s="82" customFormat="1" ht="28.5">
      <c r="A510" s="183" t="s">
        <v>149</v>
      </c>
      <c r="B510" s="184"/>
      <c r="C510" s="185"/>
      <c r="D510" s="168" t="s">
        <v>150</v>
      </c>
    </row>
    <row r="511" spans="1:4" s="82" customFormat="1">
      <c r="A511" s="300" t="s">
        <v>151</v>
      </c>
      <c r="B511" s="143">
        <f>C511</f>
        <v>174</v>
      </c>
      <c r="C511" s="83">
        <v>174</v>
      </c>
      <c r="D511" s="123"/>
    </row>
    <row r="512" spans="1:4" s="82" customFormat="1">
      <c r="A512" s="301" t="s">
        <v>90</v>
      </c>
      <c r="B512" s="5">
        <f t="shared" ref="B512:B513" si="20">C512</f>
        <v>0.6</v>
      </c>
      <c r="C512" s="5">
        <v>0.6</v>
      </c>
      <c r="D512" s="302"/>
    </row>
    <row r="513" spans="1:4" s="82" customFormat="1">
      <c r="A513" s="303" t="s">
        <v>152</v>
      </c>
      <c r="B513" s="5">
        <f t="shared" si="20"/>
        <v>20</v>
      </c>
      <c r="C513" s="5">
        <v>20</v>
      </c>
      <c r="D513" s="302"/>
    </row>
    <row r="514" spans="1:4" s="82" customFormat="1">
      <c r="A514" s="553" t="s">
        <v>259</v>
      </c>
      <c r="B514" s="553"/>
      <c r="C514" s="553"/>
      <c r="D514" s="306">
        <v>200</v>
      </c>
    </row>
    <row r="515" spans="1:4" s="82" customFormat="1">
      <c r="A515" s="210" t="s">
        <v>166</v>
      </c>
      <c r="B515" s="144">
        <f>C515</f>
        <v>1.5</v>
      </c>
      <c r="C515" s="144">
        <v>1.5</v>
      </c>
      <c r="D515" s="288"/>
    </row>
    <row r="516" spans="1:4" s="82" customFormat="1">
      <c r="A516" s="210" t="s">
        <v>105</v>
      </c>
      <c r="B516" s="144">
        <f>C516</f>
        <v>200</v>
      </c>
      <c r="C516" s="144">
        <v>200</v>
      </c>
      <c r="D516" s="288"/>
    </row>
    <row r="517" spans="1:4" s="82" customFormat="1">
      <c r="A517" s="202" t="s">
        <v>103</v>
      </c>
      <c r="B517" s="144">
        <f>C517</f>
        <v>10</v>
      </c>
      <c r="C517" s="144">
        <v>10</v>
      </c>
      <c r="D517" s="288"/>
    </row>
    <row r="518" spans="1:4" s="82" customFormat="1">
      <c r="A518" s="202" t="s">
        <v>242</v>
      </c>
      <c r="B518" s="144">
        <f>C518</f>
        <v>2</v>
      </c>
      <c r="C518" s="144">
        <v>2</v>
      </c>
      <c r="D518" s="288"/>
    </row>
    <row r="519" spans="1:4" ht="18.75">
      <c r="A519" s="74" t="s">
        <v>68</v>
      </c>
      <c r="B519" s="75"/>
      <c r="C519" s="75"/>
      <c r="D519" s="76"/>
    </row>
    <row r="520" spans="1:4" ht="18.75">
      <c r="A520" s="3" t="s">
        <v>15</v>
      </c>
      <c r="B520" s="517"/>
      <c r="C520" s="518"/>
      <c r="D520" s="518"/>
    </row>
    <row r="521" spans="1:4" ht="19.5">
      <c r="A521" s="4" t="s">
        <v>5</v>
      </c>
      <c r="B521" s="4"/>
      <c r="C521" s="4"/>
      <c r="D521" s="68"/>
    </row>
    <row r="522" spans="1:4" s="82" customFormat="1">
      <c r="A522" s="191" t="s">
        <v>187</v>
      </c>
      <c r="B522" s="192"/>
      <c r="C522" s="193"/>
      <c r="D522" s="194" t="s">
        <v>261</v>
      </c>
    </row>
    <row r="523" spans="1:4" s="82" customFormat="1">
      <c r="A523" s="207" t="s">
        <v>147</v>
      </c>
      <c r="B523" s="273">
        <f>C523</f>
        <v>5</v>
      </c>
      <c r="C523" s="273">
        <v>5</v>
      </c>
      <c r="D523" s="274"/>
    </row>
    <row r="524" spans="1:4" s="82" customFormat="1">
      <c r="A524" s="195" t="s">
        <v>315</v>
      </c>
      <c r="B524" s="143">
        <f>C524*1.01</f>
        <v>15.15</v>
      </c>
      <c r="C524" s="143">
        <v>15</v>
      </c>
      <c r="D524" s="124"/>
    </row>
    <row r="525" spans="1:4" s="82" customFormat="1">
      <c r="A525" s="196" t="s">
        <v>333</v>
      </c>
      <c r="B525" s="197">
        <f>C525</f>
        <v>30</v>
      </c>
      <c r="C525" s="197">
        <v>30</v>
      </c>
      <c r="D525" s="124"/>
    </row>
    <row r="526" spans="1:4" s="82" customFormat="1">
      <c r="A526" s="154" t="s">
        <v>262</v>
      </c>
      <c r="B526" s="155"/>
      <c r="C526" s="156"/>
      <c r="D526" s="168" t="s">
        <v>185</v>
      </c>
    </row>
    <row r="527" spans="1:4" s="82" customFormat="1">
      <c r="A527" s="202" t="s">
        <v>186</v>
      </c>
      <c r="B527" s="203">
        <f t="shared" ref="B527:B532" si="21">C527</f>
        <v>28</v>
      </c>
      <c r="C527" s="203">
        <v>28</v>
      </c>
      <c r="D527" s="204"/>
    </row>
    <row r="528" spans="1:4" s="82" customFormat="1">
      <c r="A528" s="205" t="s">
        <v>83</v>
      </c>
      <c r="B528" s="203">
        <f t="shared" si="21"/>
        <v>86</v>
      </c>
      <c r="C528" s="5">
        <v>86</v>
      </c>
      <c r="D528" s="204"/>
    </row>
    <row r="529" spans="1:4" s="82" customFormat="1">
      <c r="A529" s="206" t="s">
        <v>84</v>
      </c>
      <c r="B529" s="203">
        <f t="shared" si="21"/>
        <v>96</v>
      </c>
      <c r="C529" s="5">
        <v>96</v>
      </c>
      <c r="D529" s="204"/>
    </row>
    <row r="530" spans="1:4" s="82" customFormat="1">
      <c r="A530" s="202" t="s">
        <v>103</v>
      </c>
      <c r="B530" s="203">
        <f t="shared" si="21"/>
        <v>5</v>
      </c>
      <c r="C530" s="203">
        <v>5</v>
      </c>
      <c r="D530" s="204"/>
    </row>
    <row r="531" spans="1:4" s="82" customFormat="1">
      <c r="A531" s="235" t="s">
        <v>102</v>
      </c>
      <c r="B531" s="175">
        <f t="shared" si="21"/>
        <v>0.8</v>
      </c>
      <c r="C531" s="175">
        <v>0.8</v>
      </c>
      <c r="D531" s="204"/>
    </row>
    <row r="532" spans="1:4" s="82" customFormat="1">
      <c r="A532" s="207" t="s">
        <v>147</v>
      </c>
      <c r="B532" s="203">
        <f t="shared" si="21"/>
        <v>3</v>
      </c>
      <c r="C532" s="203">
        <v>3</v>
      </c>
      <c r="D532" s="204"/>
    </row>
    <row r="533" spans="1:4" s="82" customFormat="1">
      <c r="A533" s="494" t="s">
        <v>225</v>
      </c>
      <c r="B533" s="495"/>
      <c r="C533" s="496"/>
      <c r="D533" s="209">
        <v>200</v>
      </c>
    </row>
    <row r="534" spans="1:4" s="82" customFormat="1">
      <c r="A534" s="210" t="s">
        <v>166</v>
      </c>
      <c r="B534" s="211">
        <f>C534</f>
        <v>1.5</v>
      </c>
      <c r="C534" s="211">
        <v>1.5</v>
      </c>
      <c r="D534" s="143"/>
    </row>
    <row r="535" spans="1:4" s="82" customFormat="1">
      <c r="A535" s="202" t="s">
        <v>103</v>
      </c>
      <c r="B535" s="211">
        <f>C535</f>
        <v>9</v>
      </c>
      <c r="C535" s="211">
        <v>9</v>
      </c>
      <c r="D535" s="143"/>
    </row>
    <row r="536" spans="1:4" s="82" customFormat="1">
      <c r="A536" s="206" t="s">
        <v>84</v>
      </c>
      <c r="B536" s="212">
        <f>C536</f>
        <v>60</v>
      </c>
      <c r="C536" s="212">
        <v>60</v>
      </c>
      <c r="D536" s="143"/>
    </row>
    <row r="537" spans="1:4" s="82" customFormat="1">
      <c r="A537" s="213" t="s">
        <v>105</v>
      </c>
      <c r="B537" s="214">
        <f>C537</f>
        <v>140</v>
      </c>
      <c r="C537" s="214">
        <v>140</v>
      </c>
      <c r="D537" s="143"/>
    </row>
    <row r="538" spans="1:4" s="82" customFormat="1">
      <c r="A538" s="215" t="s">
        <v>331</v>
      </c>
      <c r="B538" s="128"/>
      <c r="C538" s="83"/>
      <c r="D538" s="139">
        <v>50</v>
      </c>
    </row>
    <row r="539" spans="1:4" ht="19.5">
      <c r="A539" s="4" t="s">
        <v>6</v>
      </c>
      <c r="B539" s="69"/>
      <c r="C539" s="69"/>
      <c r="D539" s="69"/>
    </row>
    <row r="540" spans="1:4" s="82" customFormat="1">
      <c r="A540" s="554" t="s">
        <v>264</v>
      </c>
      <c r="B540" s="555"/>
      <c r="C540" s="556"/>
      <c r="D540" s="282">
        <v>60</v>
      </c>
    </row>
    <row r="541" spans="1:4" s="82" customFormat="1" ht="18.75">
      <c r="A541" s="223" t="s">
        <v>93</v>
      </c>
      <c r="B541" s="227">
        <f>C541*1.67</f>
        <v>35.07</v>
      </c>
      <c r="C541" s="233">
        <f>C542*1.05</f>
        <v>21</v>
      </c>
      <c r="D541" s="281"/>
    </row>
    <row r="542" spans="1:4" s="82" customFormat="1" ht="18.75">
      <c r="A542" s="381" t="s">
        <v>263</v>
      </c>
      <c r="B542" s="259"/>
      <c r="C542" s="409">
        <v>20</v>
      </c>
      <c r="D542" s="281"/>
    </row>
    <row r="543" spans="1:4" s="82" customFormat="1" ht="18.75">
      <c r="A543" s="210" t="s">
        <v>127</v>
      </c>
      <c r="B543" s="144">
        <f>C543*1.33</f>
        <v>28.994000000000003</v>
      </c>
      <c r="C543" s="147">
        <f>C544*1.09</f>
        <v>21.8</v>
      </c>
      <c r="D543" s="281"/>
    </row>
    <row r="544" spans="1:4" s="82" customFormat="1" ht="18.75">
      <c r="A544" s="375" t="s">
        <v>128</v>
      </c>
      <c r="B544" s="376"/>
      <c r="C544" s="429">
        <v>20</v>
      </c>
      <c r="D544" s="281"/>
    </row>
    <row r="545" spans="1:4" s="82" customFormat="1" ht="18.75">
      <c r="A545" s="223" t="s">
        <v>94</v>
      </c>
      <c r="B545" s="128">
        <f>C545*1.33</f>
        <v>14.497000000000002</v>
      </c>
      <c r="C545" s="273">
        <f>C546*1.09</f>
        <v>10.9</v>
      </c>
      <c r="D545" s="281"/>
    </row>
    <row r="546" spans="1:4" s="82" customFormat="1" ht="18.75">
      <c r="A546" s="319" t="s">
        <v>142</v>
      </c>
      <c r="B546" s="382"/>
      <c r="C546" s="428">
        <v>10</v>
      </c>
      <c r="D546" s="281"/>
    </row>
    <row r="547" spans="1:4" s="82" customFormat="1" ht="18.75">
      <c r="A547" s="327" t="s">
        <v>96</v>
      </c>
      <c r="B547" s="147">
        <f>C547*1.9</f>
        <v>19</v>
      </c>
      <c r="C547" s="147">
        <v>10</v>
      </c>
      <c r="D547" s="281"/>
    </row>
    <row r="548" spans="1:4" s="82" customFormat="1" ht="18.75">
      <c r="A548" s="380" t="s">
        <v>90</v>
      </c>
      <c r="B548" s="253">
        <f>C548</f>
        <v>1.5</v>
      </c>
      <c r="C548" s="253">
        <v>1.5</v>
      </c>
      <c r="D548" s="281"/>
    </row>
    <row r="549" spans="1:4" s="82" customFormat="1">
      <c r="A549" s="210" t="s">
        <v>169</v>
      </c>
      <c r="B549" s="128">
        <f>C549*1.35</f>
        <v>0.67500000000000004</v>
      </c>
      <c r="C549" s="144">
        <v>0.5</v>
      </c>
      <c r="D549" s="124"/>
    </row>
    <row r="550" spans="1:4" s="82" customFormat="1">
      <c r="A550" s="510" t="s">
        <v>265</v>
      </c>
      <c r="B550" s="511"/>
      <c r="C550" s="512"/>
      <c r="D550" s="311">
        <v>220</v>
      </c>
    </row>
    <row r="551" spans="1:4" s="82" customFormat="1">
      <c r="A551" s="223" t="s">
        <v>93</v>
      </c>
      <c r="B551" s="227">
        <f>C551*1.67</f>
        <v>116.89999999999999</v>
      </c>
      <c r="C551" s="273">
        <v>70</v>
      </c>
      <c r="D551" s="331"/>
    </row>
    <row r="552" spans="1:4" s="82" customFormat="1">
      <c r="A552" s="223" t="s">
        <v>94</v>
      </c>
      <c r="B552" s="128">
        <f>C552*1.33</f>
        <v>23.94</v>
      </c>
      <c r="C552" s="273">
        <v>18</v>
      </c>
      <c r="D552" s="331"/>
    </row>
    <row r="553" spans="1:4" s="82" customFormat="1">
      <c r="A553" s="318" t="s">
        <v>95</v>
      </c>
      <c r="B553" s="334">
        <f>C553*1.19</f>
        <v>13.09</v>
      </c>
      <c r="C553" s="273">
        <v>11</v>
      </c>
      <c r="D553" s="331"/>
    </row>
    <row r="554" spans="1:4" s="82" customFormat="1">
      <c r="A554" s="206" t="s">
        <v>84</v>
      </c>
      <c r="B554" s="5">
        <f>C554</f>
        <v>30</v>
      </c>
      <c r="C554" s="5">
        <v>30</v>
      </c>
      <c r="D554" s="7"/>
    </row>
    <row r="555" spans="1:4" s="82" customFormat="1">
      <c r="A555" s="335" t="s">
        <v>217</v>
      </c>
      <c r="B555" s="5">
        <f>C555</f>
        <v>100</v>
      </c>
      <c r="C555" s="5">
        <v>100</v>
      </c>
      <c r="D555" s="7"/>
    </row>
    <row r="556" spans="1:4" s="82" customFormat="1">
      <c r="A556" s="335" t="s">
        <v>266</v>
      </c>
      <c r="B556" s="5">
        <f>C556</f>
        <v>5</v>
      </c>
      <c r="C556" s="5">
        <v>5</v>
      </c>
      <c r="D556" s="7"/>
    </row>
    <row r="557" spans="1:4" s="82" customFormat="1">
      <c r="A557" s="235" t="s">
        <v>102</v>
      </c>
      <c r="B557" s="5">
        <f>C557</f>
        <v>1.5</v>
      </c>
      <c r="C557" s="5">
        <v>1.5</v>
      </c>
      <c r="D557" s="7"/>
    </row>
    <row r="558" spans="1:4" s="82" customFormat="1">
      <c r="A558" s="506" t="s">
        <v>267</v>
      </c>
      <c r="B558" s="507"/>
      <c r="C558" s="508"/>
      <c r="D558" s="161">
        <v>90</v>
      </c>
    </row>
    <row r="559" spans="1:4" s="82" customFormat="1">
      <c r="A559" s="318" t="s">
        <v>112</v>
      </c>
      <c r="B559" s="233">
        <f>C559*1.05</f>
        <v>67.2</v>
      </c>
      <c r="C559" s="233">
        <f>C560*1.6</f>
        <v>64</v>
      </c>
      <c r="D559" s="274"/>
    </row>
    <row r="560" spans="1:4" s="82" customFormat="1">
      <c r="A560" s="319" t="s">
        <v>143</v>
      </c>
      <c r="B560" s="259"/>
      <c r="C560" s="427">
        <v>40</v>
      </c>
      <c r="D560" s="274"/>
    </row>
    <row r="561" spans="1:4" s="82" customFormat="1">
      <c r="A561" s="245" t="s">
        <v>146</v>
      </c>
      <c r="B561" s="241">
        <f>C561</f>
        <v>5</v>
      </c>
      <c r="C561" s="144">
        <v>5</v>
      </c>
      <c r="D561" s="124"/>
    </row>
    <row r="562" spans="1:4" s="82" customFormat="1">
      <c r="A562" s="223" t="s">
        <v>95</v>
      </c>
      <c r="B562" s="128">
        <f>C562*1.19</f>
        <v>7.14</v>
      </c>
      <c r="C562" s="128">
        <v>6</v>
      </c>
      <c r="D562" s="124"/>
    </row>
    <row r="563" spans="1:4" s="82" customFormat="1">
      <c r="A563" s="223" t="s">
        <v>96</v>
      </c>
      <c r="B563" s="128">
        <f>C563*1.9</f>
        <v>15.2</v>
      </c>
      <c r="C563" s="128">
        <v>8</v>
      </c>
      <c r="D563" s="124"/>
    </row>
    <row r="564" spans="1:4" s="82" customFormat="1">
      <c r="A564" s="210" t="s">
        <v>107</v>
      </c>
      <c r="B564" s="128">
        <f>C564</f>
        <v>2.5</v>
      </c>
      <c r="C564" s="128">
        <v>2.5</v>
      </c>
      <c r="D564" s="124"/>
    </row>
    <row r="565" spans="1:4" s="82" customFormat="1">
      <c r="A565" s="223" t="s">
        <v>90</v>
      </c>
      <c r="B565" s="128">
        <f>C565</f>
        <v>2</v>
      </c>
      <c r="C565" s="128">
        <v>2</v>
      </c>
      <c r="D565" s="124"/>
    </row>
    <row r="566" spans="1:4" s="82" customFormat="1">
      <c r="A566" s="235" t="s">
        <v>102</v>
      </c>
      <c r="B566" s="5">
        <f>C566</f>
        <v>1.2</v>
      </c>
      <c r="C566" s="5">
        <v>1.2</v>
      </c>
      <c r="D566" s="124"/>
    </row>
    <row r="567" spans="1:4" s="82" customFormat="1">
      <c r="A567" s="223" t="s">
        <v>105</v>
      </c>
      <c r="B567" s="128">
        <f>C567</f>
        <v>40</v>
      </c>
      <c r="C567" s="128">
        <v>40</v>
      </c>
      <c r="D567" s="124"/>
    </row>
    <row r="568" spans="1:4" s="82" customFormat="1">
      <c r="A568" s="509" t="s">
        <v>268</v>
      </c>
      <c r="B568" s="509"/>
      <c r="C568" s="509"/>
      <c r="D568" s="139">
        <v>150</v>
      </c>
    </row>
    <row r="569" spans="1:4" s="82" customFormat="1">
      <c r="A569" s="223" t="s">
        <v>101</v>
      </c>
      <c r="B569" s="128">
        <f>C569</f>
        <v>52</v>
      </c>
      <c r="C569" s="128">
        <v>52</v>
      </c>
      <c r="D569" s="143"/>
    </row>
    <row r="570" spans="1:4" s="82" customFormat="1">
      <c r="A570" s="223" t="s">
        <v>105</v>
      </c>
      <c r="B570" s="128">
        <f>C570</f>
        <v>102.5</v>
      </c>
      <c r="C570" s="128">
        <v>102.5</v>
      </c>
      <c r="D570" s="143"/>
    </row>
    <row r="571" spans="1:4" s="82" customFormat="1">
      <c r="A571" s="207" t="s">
        <v>147</v>
      </c>
      <c r="B571" s="128">
        <f>C571</f>
        <v>4</v>
      </c>
      <c r="C571" s="128">
        <v>4</v>
      </c>
      <c r="D571" s="143"/>
    </row>
    <row r="572" spans="1:4" s="82" customFormat="1">
      <c r="A572" s="235" t="s">
        <v>102</v>
      </c>
      <c r="B572" s="144">
        <f>C572</f>
        <v>1.5</v>
      </c>
      <c r="C572" s="144">
        <v>1.5</v>
      </c>
      <c r="D572" s="288"/>
    </row>
    <row r="573" spans="1:4" s="82" customFormat="1">
      <c r="A573" s="491" t="s">
        <v>269</v>
      </c>
      <c r="B573" s="492"/>
      <c r="C573" s="493"/>
      <c r="D573" s="294">
        <v>180</v>
      </c>
    </row>
    <row r="574" spans="1:4" s="82" customFormat="1">
      <c r="A574" s="295" t="s">
        <v>160</v>
      </c>
      <c r="B574" s="237">
        <f>C574</f>
        <v>18</v>
      </c>
      <c r="C574" s="237">
        <v>18</v>
      </c>
      <c r="D574" s="283"/>
    </row>
    <row r="575" spans="1:4" s="82" customFormat="1">
      <c r="A575" s="202" t="s">
        <v>103</v>
      </c>
      <c r="B575" s="128">
        <f>C575</f>
        <v>10</v>
      </c>
      <c r="C575" s="128">
        <v>10</v>
      </c>
      <c r="D575" s="283"/>
    </row>
    <row r="576" spans="1:4" s="82" customFormat="1">
      <c r="A576" s="295" t="s">
        <v>195</v>
      </c>
      <c r="B576" s="128">
        <f>C576</f>
        <v>0.06</v>
      </c>
      <c r="C576" s="128">
        <v>0.06</v>
      </c>
      <c r="D576" s="283"/>
    </row>
    <row r="577" spans="1:4" s="82" customFormat="1">
      <c r="A577" s="295" t="s">
        <v>105</v>
      </c>
      <c r="B577" s="296">
        <f>C577</f>
        <v>180</v>
      </c>
      <c r="C577" s="296">
        <v>180</v>
      </c>
      <c r="D577" s="283"/>
    </row>
    <row r="578" spans="1:4" s="82" customFormat="1">
      <c r="A578" s="215" t="s">
        <v>331</v>
      </c>
      <c r="B578" s="128"/>
      <c r="C578" s="83"/>
      <c r="D578" s="139">
        <v>30</v>
      </c>
    </row>
    <row r="579" spans="1:4" s="82" customFormat="1">
      <c r="A579" s="254" t="s">
        <v>332</v>
      </c>
      <c r="B579" s="126"/>
      <c r="C579" s="126"/>
      <c r="D579" s="130">
        <v>40</v>
      </c>
    </row>
    <row r="580" spans="1:4" ht="19.5">
      <c r="A580" s="4" t="s">
        <v>7</v>
      </c>
      <c r="B580" s="10"/>
      <c r="C580" s="10"/>
      <c r="D580" s="10"/>
    </row>
    <row r="581" spans="1:4">
      <c r="A581" s="349" t="s">
        <v>270</v>
      </c>
      <c r="B581" s="349"/>
      <c r="C581" s="349"/>
      <c r="D581" s="272" t="s">
        <v>190</v>
      </c>
    </row>
    <row r="582" spans="1:4">
      <c r="A582" s="322" t="s">
        <v>210</v>
      </c>
      <c r="B582" s="257">
        <f>C582</f>
        <v>61.42</v>
      </c>
      <c r="C582" s="257">
        <v>61.42</v>
      </c>
      <c r="D582" s="127"/>
    </row>
    <row r="583" spans="1:4">
      <c r="A583" s="202" t="s">
        <v>103</v>
      </c>
      <c r="B583" s="257">
        <f t="shared" ref="B583:B588" si="22">C583</f>
        <v>11</v>
      </c>
      <c r="C583" s="257">
        <v>11</v>
      </c>
      <c r="D583" s="127"/>
    </row>
    <row r="584" spans="1:4">
      <c r="A584" s="206" t="s">
        <v>90</v>
      </c>
      <c r="B584" s="257">
        <f t="shared" si="22"/>
        <v>9.16</v>
      </c>
      <c r="C584" s="257">
        <v>9.16</v>
      </c>
      <c r="D584" s="127"/>
    </row>
    <row r="585" spans="1:4">
      <c r="A585" s="235" t="s">
        <v>102</v>
      </c>
      <c r="B585" s="257">
        <f t="shared" si="22"/>
        <v>0.6</v>
      </c>
      <c r="C585" s="237">
        <v>0.6</v>
      </c>
      <c r="D585" s="127"/>
    </row>
    <row r="586" spans="1:4">
      <c r="A586" s="304" t="s">
        <v>117</v>
      </c>
      <c r="B586" s="257">
        <f t="shared" si="22"/>
        <v>0.9</v>
      </c>
      <c r="C586" s="237">
        <v>0.9</v>
      </c>
      <c r="D586" s="127"/>
    </row>
    <row r="587" spans="1:4">
      <c r="A587" s="206" t="s">
        <v>84</v>
      </c>
      <c r="B587" s="257">
        <f t="shared" si="22"/>
        <v>7.33</v>
      </c>
      <c r="C587" s="237">
        <v>7.33</v>
      </c>
      <c r="D587" s="127"/>
    </row>
    <row r="588" spans="1:4">
      <c r="A588" s="223" t="s">
        <v>105</v>
      </c>
      <c r="B588" s="257">
        <f t="shared" si="22"/>
        <v>18.329999999999998</v>
      </c>
      <c r="C588" s="237">
        <v>18.329999999999998</v>
      </c>
      <c r="D588" s="127"/>
    </row>
    <row r="589" spans="1:4">
      <c r="A589" s="425" t="s">
        <v>99</v>
      </c>
      <c r="B589" s="420"/>
      <c r="C589" s="421">
        <v>110</v>
      </c>
      <c r="D589" s="127"/>
    </row>
    <row r="590" spans="1:4">
      <c r="A590" s="425" t="s">
        <v>327</v>
      </c>
      <c r="B590" s="420"/>
      <c r="C590" s="421">
        <v>10</v>
      </c>
      <c r="D590" s="127"/>
    </row>
    <row r="591" spans="1:4">
      <c r="A591" s="206" t="s">
        <v>147</v>
      </c>
      <c r="B591" s="257">
        <f t="shared" ref="B591" si="23">C591</f>
        <v>2.5</v>
      </c>
      <c r="C591" s="257">
        <v>2.5</v>
      </c>
      <c r="D591" s="127"/>
    </row>
    <row r="592" spans="1:4">
      <c r="A592" s="322" t="s">
        <v>210</v>
      </c>
      <c r="B592" s="257">
        <f>C592</f>
        <v>5</v>
      </c>
      <c r="C592" s="257">
        <v>5</v>
      </c>
      <c r="D592" s="127"/>
    </row>
    <row r="593" spans="1:4">
      <c r="A593" s="202" t="s">
        <v>103</v>
      </c>
      <c r="B593" s="257">
        <f t="shared" ref="B593" si="24">C593</f>
        <v>2.5</v>
      </c>
      <c r="C593" s="257">
        <v>2.5</v>
      </c>
      <c r="D593" s="127"/>
    </row>
    <row r="594" spans="1:4">
      <c r="A594" s="275" t="s">
        <v>135</v>
      </c>
      <c r="B594" s="237">
        <f>C594</f>
        <v>0.8</v>
      </c>
      <c r="C594" s="237">
        <v>0.8</v>
      </c>
      <c r="D594" s="127"/>
    </row>
    <row r="595" spans="1:4">
      <c r="A595" s="162" t="s">
        <v>140</v>
      </c>
      <c r="B595" s="162"/>
      <c r="C595" s="162"/>
      <c r="D595" s="163" t="s">
        <v>82</v>
      </c>
    </row>
    <row r="596" spans="1:4">
      <c r="A596" s="323" t="s">
        <v>141</v>
      </c>
      <c r="B596" s="197">
        <f>C596</f>
        <v>200</v>
      </c>
      <c r="C596" s="197">
        <v>200</v>
      </c>
      <c r="D596" s="164"/>
    </row>
    <row r="597" spans="1:4" ht="18.75">
      <c r="A597" s="74" t="s">
        <v>68</v>
      </c>
      <c r="B597" s="75"/>
      <c r="C597" s="75"/>
      <c r="D597" s="76"/>
    </row>
    <row r="598" spans="1:4" ht="18.75">
      <c r="A598" s="3" t="s">
        <v>16</v>
      </c>
      <c r="B598" s="517"/>
      <c r="C598" s="518"/>
      <c r="D598" s="518"/>
    </row>
    <row r="599" spans="1:4" ht="19.5">
      <c r="A599" s="4" t="s">
        <v>5</v>
      </c>
      <c r="B599" s="4"/>
      <c r="C599" s="4"/>
      <c r="D599" s="68"/>
    </row>
    <row r="600" spans="1:4" s="82" customFormat="1">
      <c r="A600" s="191" t="s">
        <v>272</v>
      </c>
      <c r="B600" s="192"/>
      <c r="C600" s="193"/>
      <c r="D600" s="194" t="s">
        <v>271</v>
      </c>
    </row>
    <row r="601" spans="1:4" s="82" customFormat="1">
      <c r="A601" s="195" t="s">
        <v>315</v>
      </c>
      <c r="B601" s="143">
        <f>C601*1.01</f>
        <v>20.2</v>
      </c>
      <c r="C601" s="143">
        <v>20</v>
      </c>
      <c r="D601" s="124"/>
    </row>
    <row r="602" spans="1:4" s="82" customFormat="1">
      <c r="A602" s="196" t="s">
        <v>333</v>
      </c>
      <c r="B602" s="197">
        <f>C602</f>
        <v>30</v>
      </c>
      <c r="C602" s="197">
        <v>30</v>
      </c>
      <c r="D602" s="124"/>
    </row>
    <row r="603" spans="1:4" s="82" customFormat="1">
      <c r="A603" s="497" t="s">
        <v>273</v>
      </c>
      <c r="B603" s="498"/>
      <c r="C603" s="499"/>
      <c r="D603" s="168" t="s">
        <v>185</v>
      </c>
    </row>
    <row r="604" spans="1:4" s="82" customFormat="1">
      <c r="A604" s="206" t="s">
        <v>219</v>
      </c>
      <c r="B604" s="203">
        <f t="shared" ref="B604:B609" si="25">C604</f>
        <v>23</v>
      </c>
      <c r="C604" s="203">
        <v>23</v>
      </c>
      <c r="D604" s="204"/>
    </row>
    <row r="605" spans="1:4" s="82" customFormat="1">
      <c r="A605" s="205" t="s">
        <v>83</v>
      </c>
      <c r="B605" s="203">
        <f t="shared" si="25"/>
        <v>86</v>
      </c>
      <c r="C605" s="5">
        <v>86</v>
      </c>
      <c r="D605" s="204"/>
    </row>
    <row r="606" spans="1:4" s="189" customFormat="1">
      <c r="A606" s="206" t="s">
        <v>84</v>
      </c>
      <c r="B606" s="203">
        <f t="shared" si="25"/>
        <v>96</v>
      </c>
      <c r="C606" s="5">
        <v>96</v>
      </c>
      <c r="D606" s="204"/>
    </row>
    <row r="607" spans="1:4" s="82" customFormat="1">
      <c r="A607" s="202" t="s">
        <v>103</v>
      </c>
      <c r="B607" s="203">
        <f t="shared" si="25"/>
        <v>4</v>
      </c>
      <c r="C607" s="203">
        <v>4</v>
      </c>
      <c r="D607" s="204"/>
    </row>
    <row r="608" spans="1:4" s="82" customFormat="1">
      <c r="A608" s="235" t="s">
        <v>102</v>
      </c>
      <c r="B608" s="144">
        <f t="shared" si="25"/>
        <v>0.8</v>
      </c>
      <c r="C608" s="144">
        <v>0.8</v>
      </c>
      <c r="D608" s="204"/>
    </row>
    <row r="609" spans="1:5" s="82" customFormat="1">
      <c r="A609" s="207" t="s">
        <v>147</v>
      </c>
      <c r="B609" s="203">
        <f t="shared" si="25"/>
        <v>3</v>
      </c>
      <c r="C609" s="203">
        <v>3</v>
      </c>
      <c r="D609" s="204"/>
      <c r="E609" s="267"/>
    </row>
    <row r="610" spans="1:5" s="82" customFormat="1">
      <c r="A610" s="514" t="s">
        <v>189</v>
      </c>
      <c r="B610" s="515"/>
      <c r="C610" s="516"/>
      <c r="D610" s="272">
        <v>200</v>
      </c>
    </row>
    <row r="611" spans="1:5" s="82" customFormat="1">
      <c r="A611" s="275" t="s">
        <v>111</v>
      </c>
      <c r="B611" s="128">
        <f>C611</f>
        <v>3.5</v>
      </c>
      <c r="C611" s="128">
        <v>3.5</v>
      </c>
      <c r="D611" s="276"/>
    </row>
    <row r="612" spans="1:5" s="82" customFormat="1">
      <c r="A612" s="202" t="s">
        <v>103</v>
      </c>
      <c r="B612" s="128">
        <f>C612</f>
        <v>10</v>
      </c>
      <c r="C612" s="128">
        <v>10</v>
      </c>
      <c r="D612" s="276"/>
    </row>
    <row r="613" spans="1:5" s="82" customFormat="1">
      <c r="A613" s="206" t="s">
        <v>84</v>
      </c>
      <c r="B613" s="128">
        <f>C613</f>
        <v>100</v>
      </c>
      <c r="C613" s="128">
        <v>100</v>
      </c>
      <c r="D613" s="276"/>
    </row>
    <row r="614" spans="1:5" s="82" customFormat="1">
      <c r="A614" s="275" t="s">
        <v>105</v>
      </c>
      <c r="B614" s="273">
        <f>C614</f>
        <v>100</v>
      </c>
      <c r="C614" s="273">
        <v>100</v>
      </c>
      <c r="D614" s="277"/>
    </row>
    <row r="615" spans="1:5" s="82" customFormat="1">
      <c r="A615" s="215" t="s">
        <v>331</v>
      </c>
      <c r="B615" s="128"/>
      <c r="C615" s="83"/>
      <c r="D615" s="139">
        <v>50</v>
      </c>
    </row>
    <row r="616" spans="1:5" ht="19.5">
      <c r="A616" s="4" t="s">
        <v>6</v>
      </c>
      <c r="B616" s="69"/>
      <c r="C616" s="69"/>
      <c r="D616" s="69"/>
    </row>
    <row r="617" spans="1:5" s="82" customFormat="1" ht="18.75">
      <c r="A617" s="279" t="s">
        <v>321</v>
      </c>
      <c r="B617" s="280"/>
      <c r="C617" s="280"/>
      <c r="D617" s="282">
        <v>60</v>
      </c>
    </row>
    <row r="618" spans="1:5" s="82" customFormat="1" ht="18.75">
      <c r="A618" s="223" t="s">
        <v>204</v>
      </c>
      <c r="B618" s="144">
        <f>C618*1.05</f>
        <v>58.800000000000004</v>
      </c>
      <c r="C618" s="144">
        <v>56</v>
      </c>
      <c r="D618" s="281"/>
    </row>
    <row r="619" spans="1:5" s="82" customFormat="1" ht="18.75">
      <c r="A619" s="223" t="s">
        <v>90</v>
      </c>
      <c r="B619" s="128">
        <f>C619</f>
        <v>4</v>
      </c>
      <c r="C619" s="128">
        <v>4</v>
      </c>
      <c r="D619" s="281"/>
    </row>
    <row r="620" spans="1:5" s="82" customFormat="1" ht="18.75">
      <c r="A620" s="235" t="s">
        <v>102</v>
      </c>
      <c r="B620" s="144">
        <f>C620</f>
        <v>0.5</v>
      </c>
      <c r="C620" s="144">
        <v>0.5</v>
      </c>
      <c r="D620" s="281"/>
    </row>
    <row r="621" spans="1:5" s="82" customFormat="1" ht="18.75">
      <c r="A621" s="210" t="s">
        <v>169</v>
      </c>
      <c r="B621" s="128">
        <f>C621*1.35</f>
        <v>0.67500000000000004</v>
      </c>
      <c r="C621" s="144">
        <v>0.5</v>
      </c>
      <c r="D621" s="281"/>
    </row>
    <row r="622" spans="1:5" s="82" customFormat="1" ht="15" customHeight="1">
      <c r="A622" s="513" t="s">
        <v>275</v>
      </c>
      <c r="B622" s="513"/>
      <c r="C622" s="513"/>
      <c r="D622" s="181" t="s">
        <v>274</v>
      </c>
    </row>
    <row r="623" spans="1:5" s="82" customFormat="1">
      <c r="A623" s="318" t="s">
        <v>112</v>
      </c>
      <c r="B623" s="237">
        <f>C623*1.05</f>
        <v>8.4</v>
      </c>
      <c r="C623" s="237">
        <f>C624*1.6</f>
        <v>8</v>
      </c>
      <c r="D623" s="181"/>
    </row>
    <row r="624" spans="1:5" s="82" customFormat="1">
      <c r="A624" s="418" t="s">
        <v>113</v>
      </c>
      <c r="B624" s="419"/>
      <c r="C624" s="421">
        <v>5</v>
      </c>
      <c r="D624" s="181"/>
    </row>
    <row r="625" spans="1:4" s="82" customFormat="1">
      <c r="A625" s="220" t="s">
        <v>136</v>
      </c>
      <c r="B625" s="273">
        <f>C625*1.25</f>
        <v>37.5</v>
      </c>
      <c r="C625" s="273">
        <v>30</v>
      </c>
      <c r="D625" s="331"/>
    </row>
    <row r="626" spans="1:4" s="82" customFormat="1">
      <c r="A626" s="223" t="s">
        <v>93</v>
      </c>
      <c r="B626" s="227">
        <f>C626*1.67</f>
        <v>50.099999999999994</v>
      </c>
      <c r="C626" s="273">
        <v>30</v>
      </c>
      <c r="D626" s="331"/>
    </row>
    <row r="627" spans="1:4" s="82" customFormat="1">
      <c r="A627" s="235" t="s">
        <v>102</v>
      </c>
      <c r="B627" s="144">
        <f>C627</f>
        <v>1.2</v>
      </c>
      <c r="C627" s="144">
        <v>1.2</v>
      </c>
      <c r="D627" s="333"/>
    </row>
    <row r="628" spans="1:4" s="82" customFormat="1">
      <c r="A628" s="223" t="s">
        <v>94</v>
      </c>
      <c r="B628" s="128">
        <f>C628*1.33</f>
        <v>19.950000000000003</v>
      </c>
      <c r="C628" s="273">
        <v>15</v>
      </c>
      <c r="D628" s="331"/>
    </row>
    <row r="629" spans="1:4" s="82" customFormat="1">
      <c r="A629" s="245" t="s">
        <v>146</v>
      </c>
      <c r="B629" s="241">
        <f>C629</f>
        <v>2.5</v>
      </c>
      <c r="C629" s="332">
        <v>2.5</v>
      </c>
      <c r="D629" s="333"/>
    </row>
    <row r="630" spans="1:4" s="82" customFormat="1">
      <c r="A630" s="232" t="s">
        <v>122</v>
      </c>
      <c r="B630" s="332">
        <f>C630</f>
        <v>0.01</v>
      </c>
      <c r="C630" s="332">
        <v>0.01</v>
      </c>
      <c r="D630" s="333"/>
    </row>
    <row r="631" spans="1:4" s="82" customFormat="1">
      <c r="A631" s="318" t="s">
        <v>95</v>
      </c>
      <c r="B631" s="334">
        <f>C631*1.19</f>
        <v>11.899999999999999</v>
      </c>
      <c r="C631" s="273">
        <v>10</v>
      </c>
      <c r="D631" s="331"/>
    </row>
    <row r="632" spans="1:4" s="82" customFormat="1">
      <c r="A632" s="318" t="s">
        <v>173</v>
      </c>
      <c r="B632" s="273">
        <f>C632</f>
        <v>5</v>
      </c>
      <c r="C632" s="273">
        <v>5</v>
      </c>
      <c r="D632" s="331"/>
    </row>
    <row r="633" spans="1:4" s="82" customFormat="1">
      <c r="A633" s="318" t="s">
        <v>105</v>
      </c>
      <c r="B633" s="273">
        <f>C633</f>
        <v>200</v>
      </c>
      <c r="C633" s="273">
        <v>200</v>
      </c>
      <c r="D633" s="331"/>
    </row>
    <row r="634" spans="1:4" s="82" customFormat="1">
      <c r="A634" s="236" t="s">
        <v>97</v>
      </c>
      <c r="B634" s="273">
        <f>C634</f>
        <v>5</v>
      </c>
      <c r="C634" s="273">
        <v>5</v>
      </c>
      <c r="D634" s="331"/>
    </row>
    <row r="635" spans="1:4" s="82" customFormat="1">
      <c r="A635" s="509" t="s">
        <v>276</v>
      </c>
      <c r="B635" s="509"/>
      <c r="C635" s="509"/>
      <c r="D635" s="139">
        <v>90</v>
      </c>
    </row>
    <row r="636" spans="1:4" s="82" customFormat="1">
      <c r="A636" s="252" t="s">
        <v>129</v>
      </c>
      <c r="B636" s="233">
        <f>C636*1.35</f>
        <v>83.7</v>
      </c>
      <c r="C636" s="233">
        <f>C637*1.24</f>
        <v>62</v>
      </c>
      <c r="D636" s="143"/>
    </row>
    <row r="637" spans="1:4" s="82" customFormat="1">
      <c r="A637" s="383" t="s">
        <v>154</v>
      </c>
      <c r="B637" s="379"/>
      <c r="C637" s="409">
        <v>50</v>
      </c>
      <c r="D637" s="143"/>
    </row>
    <row r="638" spans="1:4" s="82" customFormat="1">
      <c r="A638" s="223" t="s">
        <v>90</v>
      </c>
      <c r="B638" s="128">
        <f>C638</f>
        <v>1.5</v>
      </c>
      <c r="C638" s="128">
        <v>1.5</v>
      </c>
      <c r="D638" s="143"/>
    </row>
    <row r="639" spans="1:4" s="82" customFormat="1">
      <c r="A639" s="223" t="s">
        <v>98</v>
      </c>
      <c r="B639" s="128">
        <f>C639</f>
        <v>20</v>
      </c>
      <c r="C639" s="128">
        <v>20</v>
      </c>
      <c r="D639" s="143"/>
    </row>
    <row r="640" spans="1:4" s="82" customFormat="1">
      <c r="A640" s="206" t="s">
        <v>84</v>
      </c>
      <c r="B640" s="128">
        <f>C640</f>
        <v>30</v>
      </c>
      <c r="C640" s="128">
        <v>30</v>
      </c>
      <c r="D640" s="143"/>
    </row>
    <row r="641" spans="1:4" s="82" customFormat="1">
      <c r="A641" s="235" t="s">
        <v>102</v>
      </c>
      <c r="B641" s="128">
        <f>C641</f>
        <v>0.8</v>
      </c>
      <c r="C641" s="128">
        <v>0.8</v>
      </c>
      <c r="D641" s="143"/>
    </row>
    <row r="642" spans="1:4" s="82" customFormat="1">
      <c r="A642" s="279" t="s">
        <v>277</v>
      </c>
      <c r="B642" s="320"/>
      <c r="C642" s="144"/>
      <c r="D642" s="272">
        <v>150</v>
      </c>
    </row>
    <row r="643" spans="1:4" s="82" customFormat="1">
      <c r="A643" s="223" t="s">
        <v>94</v>
      </c>
      <c r="B643" s="128">
        <f>C643*1.33</f>
        <v>19.950000000000003</v>
      </c>
      <c r="C643" s="128">
        <v>15</v>
      </c>
      <c r="D643" s="272"/>
    </row>
    <row r="644" spans="1:4" s="82" customFormat="1">
      <c r="A644" s="223" t="s">
        <v>105</v>
      </c>
      <c r="B644" s="128">
        <f>C644</f>
        <v>82.5</v>
      </c>
      <c r="C644" s="128">
        <v>82.5</v>
      </c>
      <c r="D644" s="272"/>
    </row>
    <row r="645" spans="1:4" s="82" customFormat="1">
      <c r="A645" s="223" t="s">
        <v>131</v>
      </c>
      <c r="B645" s="128">
        <f>C645</f>
        <v>42</v>
      </c>
      <c r="C645" s="128">
        <v>42</v>
      </c>
      <c r="D645" s="272"/>
    </row>
    <row r="646" spans="1:4" s="82" customFormat="1">
      <c r="A646" s="207" t="s">
        <v>147</v>
      </c>
      <c r="B646" s="128">
        <f>C646</f>
        <v>4</v>
      </c>
      <c r="C646" s="128">
        <v>4</v>
      </c>
      <c r="D646" s="272"/>
    </row>
    <row r="647" spans="1:4" s="82" customFormat="1">
      <c r="A647" s="347" t="s">
        <v>95</v>
      </c>
      <c r="B647" s="320">
        <f>C647*1.19</f>
        <v>11.899999999999999</v>
      </c>
      <c r="C647" s="128">
        <v>10</v>
      </c>
      <c r="D647" s="272"/>
    </row>
    <row r="648" spans="1:4" s="82" customFormat="1">
      <c r="A648" s="235" t="s">
        <v>102</v>
      </c>
      <c r="B648" s="128">
        <f>C648</f>
        <v>1.5</v>
      </c>
      <c r="C648" s="128">
        <v>1.5</v>
      </c>
      <c r="D648" s="247"/>
    </row>
    <row r="649" spans="1:4" s="82" customFormat="1">
      <c r="A649" s="514" t="s">
        <v>133</v>
      </c>
      <c r="B649" s="515"/>
      <c r="C649" s="516"/>
      <c r="D649" s="130">
        <v>180</v>
      </c>
    </row>
    <row r="650" spans="1:4" s="82" customFormat="1">
      <c r="A650" s="223" t="s">
        <v>134</v>
      </c>
      <c r="B650" s="128">
        <f>C650</f>
        <v>18</v>
      </c>
      <c r="C650" s="128">
        <v>18</v>
      </c>
      <c r="D650" s="247"/>
    </row>
    <row r="651" spans="1:4" s="82" customFormat="1">
      <c r="A651" s="202" t="s">
        <v>103</v>
      </c>
      <c r="B651" s="128">
        <f>C651</f>
        <v>9</v>
      </c>
      <c r="C651" s="128">
        <v>9</v>
      </c>
      <c r="D651" s="247"/>
    </row>
    <row r="652" spans="1:4" s="82" customFormat="1">
      <c r="A652" s="223" t="s">
        <v>105</v>
      </c>
      <c r="B652" s="128">
        <f>C652</f>
        <v>185</v>
      </c>
      <c r="C652" s="128">
        <v>185</v>
      </c>
      <c r="D652" s="247"/>
    </row>
    <row r="653" spans="1:4" s="82" customFormat="1">
      <c r="A653" s="215" t="s">
        <v>331</v>
      </c>
      <c r="B653" s="128"/>
      <c r="C653" s="83"/>
      <c r="D653" s="139">
        <v>30</v>
      </c>
    </row>
    <row r="654" spans="1:4" s="82" customFormat="1">
      <c r="A654" s="254" t="s">
        <v>332</v>
      </c>
      <c r="B654" s="126"/>
      <c r="C654" s="126"/>
      <c r="D654" s="130">
        <v>40</v>
      </c>
    </row>
    <row r="655" spans="1:4" ht="19.5">
      <c r="A655" s="4" t="s">
        <v>7</v>
      </c>
      <c r="B655" s="10"/>
      <c r="C655" s="10"/>
      <c r="D655" s="10"/>
    </row>
    <row r="656" spans="1:4" s="82" customFormat="1">
      <c r="A656" s="119" t="s">
        <v>211</v>
      </c>
      <c r="B656" s="144"/>
      <c r="C656" s="144"/>
      <c r="D656" s="130">
        <v>50</v>
      </c>
    </row>
    <row r="657" spans="1:4" s="82" customFormat="1">
      <c r="A657" s="322" t="s">
        <v>209</v>
      </c>
      <c r="B657" s="144">
        <f>C657</f>
        <v>62.5</v>
      </c>
      <c r="C657" s="144">
        <v>62.5</v>
      </c>
      <c r="D657" s="247"/>
    </row>
    <row r="658" spans="1:4" s="82" customFormat="1">
      <c r="A658" s="202" t="s">
        <v>103</v>
      </c>
      <c r="B658" s="144">
        <f>C658</f>
        <v>2</v>
      </c>
      <c r="C658" s="144">
        <v>2</v>
      </c>
      <c r="D658" s="247"/>
    </row>
    <row r="659" spans="1:4" s="82" customFormat="1">
      <c r="A659" s="322" t="s">
        <v>210</v>
      </c>
      <c r="B659" s="144">
        <f>C659</f>
        <v>1</v>
      </c>
      <c r="C659" s="144">
        <v>1</v>
      </c>
      <c r="D659" s="247"/>
    </row>
    <row r="660" spans="1:4" s="82" customFormat="1">
      <c r="A660" s="322" t="s">
        <v>98</v>
      </c>
      <c r="B660" s="144">
        <f>C660</f>
        <v>0.6</v>
      </c>
      <c r="C660" s="144">
        <v>0.6</v>
      </c>
      <c r="D660" s="247"/>
    </row>
    <row r="661" spans="1:4" s="82" customFormat="1">
      <c r="A661" s="322" t="s">
        <v>90</v>
      </c>
      <c r="B661" s="144">
        <f>C661</f>
        <v>1</v>
      </c>
      <c r="C661" s="144">
        <v>1</v>
      </c>
      <c r="D661" s="247"/>
    </row>
    <row r="662" spans="1:4" s="82" customFormat="1">
      <c r="A662" s="548" t="s">
        <v>247</v>
      </c>
      <c r="B662" s="549"/>
      <c r="C662" s="550"/>
      <c r="D662" s="157">
        <v>180</v>
      </c>
    </row>
    <row r="663" spans="1:4" s="82" customFormat="1">
      <c r="A663" s="252" t="s">
        <v>316</v>
      </c>
      <c r="B663" s="144">
        <f>C663</f>
        <v>18</v>
      </c>
      <c r="C663" s="144">
        <v>18</v>
      </c>
      <c r="D663" s="288"/>
    </row>
    <row r="664" spans="1:4" s="82" customFormat="1">
      <c r="A664" s="202" t="s">
        <v>103</v>
      </c>
      <c r="B664" s="144">
        <f>C664</f>
        <v>10</v>
      </c>
      <c r="C664" s="144">
        <v>10</v>
      </c>
      <c r="D664" s="288"/>
    </row>
    <row r="665" spans="1:4" s="82" customFormat="1">
      <c r="A665" s="202" t="s">
        <v>105</v>
      </c>
      <c r="B665" s="144">
        <f>C665</f>
        <v>195</v>
      </c>
      <c r="C665" s="144">
        <v>195</v>
      </c>
      <c r="D665" s="288"/>
    </row>
    <row r="666" spans="1:4" s="82" customFormat="1">
      <c r="A666" s="202" t="s">
        <v>246</v>
      </c>
      <c r="B666" s="144">
        <f>C666</f>
        <v>8.6</v>
      </c>
      <c r="C666" s="144">
        <v>8.6</v>
      </c>
      <c r="D666" s="288"/>
    </row>
    <row r="667" spans="1:4" s="82" customFormat="1">
      <c r="A667" s="138" t="s">
        <v>109</v>
      </c>
      <c r="B667" s="214"/>
      <c r="C667" s="214"/>
      <c r="D667" s="139">
        <v>125</v>
      </c>
    </row>
    <row r="668" spans="1:4" ht="18.75">
      <c r="A668" s="74" t="s">
        <v>68</v>
      </c>
      <c r="B668" s="75"/>
      <c r="C668" s="75"/>
      <c r="D668" s="76"/>
    </row>
    <row r="669" spans="1:4" ht="18.75">
      <c r="A669" s="3" t="s">
        <v>71</v>
      </c>
      <c r="B669" s="517"/>
      <c r="C669" s="518"/>
      <c r="D669" s="518"/>
    </row>
    <row r="670" spans="1:4" ht="19.5">
      <c r="A670" s="4" t="s">
        <v>5</v>
      </c>
      <c r="B670" s="4"/>
      <c r="C670" s="4"/>
      <c r="D670" s="68"/>
    </row>
    <row r="671" spans="1:4" s="82" customFormat="1">
      <c r="A671" s="372" t="s">
        <v>280</v>
      </c>
      <c r="B671" s="372"/>
      <c r="C671" s="372"/>
      <c r="D671" s="168" t="s">
        <v>278</v>
      </c>
    </row>
    <row r="672" spans="1:4" s="82" customFormat="1">
      <c r="A672" s="196" t="s">
        <v>333</v>
      </c>
      <c r="B672" s="227">
        <f>C672</f>
        <v>25</v>
      </c>
      <c r="C672" s="227">
        <v>25</v>
      </c>
      <c r="D672" s="230"/>
    </row>
    <row r="673" spans="1:4" s="82" customFormat="1">
      <c r="A673" s="310" t="s">
        <v>279</v>
      </c>
      <c r="B673" s="143">
        <f>C673</f>
        <v>20</v>
      </c>
      <c r="C673" s="143">
        <v>20</v>
      </c>
      <c r="D673" s="255"/>
    </row>
    <row r="674" spans="1:4" s="82" customFormat="1">
      <c r="A674" s="557" t="s">
        <v>289</v>
      </c>
      <c r="B674" s="558"/>
      <c r="C674" s="559"/>
      <c r="D674" s="176" t="s">
        <v>185</v>
      </c>
    </row>
    <row r="675" spans="1:4" s="82" customFormat="1">
      <c r="A675" s="384" t="s">
        <v>300</v>
      </c>
      <c r="B675" s="5">
        <f t="shared" ref="B675:B680" si="26">C675</f>
        <v>25</v>
      </c>
      <c r="C675" s="5">
        <v>25</v>
      </c>
      <c r="D675" s="309"/>
    </row>
    <row r="676" spans="1:4" s="82" customFormat="1">
      <c r="A676" s="384" t="s">
        <v>105</v>
      </c>
      <c r="B676" s="5">
        <f t="shared" si="26"/>
        <v>86</v>
      </c>
      <c r="C676" s="5">
        <v>86</v>
      </c>
      <c r="D676" s="309"/>
    </row>
    <row r="677" spans="1:4" s="82" customFormat="1">
      <c r="A677" s="206" t="s">
        <v>84</v>
      </c>
      <c r="B677" s="5">
        <f t="shared" si="26"/>
        <v>96</v>
      </c>
      <c r="C677" s="5">
        <v>96</v>
      </c>
      <c r="D677" s="309"/>
    </row>
    <row r="678" spans="1:4" s="82" customFormat="1">
      <c r="A678" s="202" t="s">
        <v>103</v>
      </c>
      <c r="B678" s="5">
        <f t="shared" si="26"/>
        <v>4</v>
      </c>
      <c r="C678" s="5">
        <v>4</v>
      </c>
      <c r="D678" s="309"/>
    </row>
    <row r="679" spans="1:4" s="82" customFormat="1">
      <c r="A679" s="235" t="s">
        <v>102</v>
      </c>
      <c r="B679" s="128">
        <f t="shared" si="26"/>
        <v>0.8</v>
      </c>
      <c r="C679" s="128">
        <v>0.8</v>
      </c>
      <c r="D679" s="309"/>
    </row>
    <row r="680" spans="1:4" s="82" customFormat="1">
      <c r="A680" s="207" t="s">
        <v>147</v>
      </c>
      <c r="B680" s="5">
        <f t="shared" si="26"/>
        <v>3</v>
      </c>
      <c r="C680" s="5">
        <v>3</v>
      </c>
      <c r="D680" s="309"/>
    </row>
    <row r="681" spans="1:4" s="82" customFormat="1">
      <c r="A681" s="500" t="s">
        <v>87</v>
      </c>
      <c r="B681" s="501"/>
      <c r="C681" s="502"/>
      <c r="D681" s="311">
        <v>200</v>
      </c>
    </row>
    <row r="682" spans="1:4" s="82" customFormat="1">
      <c r="A682" s="312" t="s">
        <v>88</v>
      </c>
      <c r="B682" s="143">
        <f>C682</f>
        <v>1.5</v>
      </c>
      <c r="C682" s="143">
        <v>1.5</v>
      </c>
      <c r="D682" s="145"/>
    </row>
    <row r="683" spans="1:4" s="82" customFormat="1">
      <c r="A683" s="206" t="s">
        <v>84</v>
      </c>
      <c r="B683" s="143">
        <f>C683</f>
        <v>100</v>
      </c>
      <c r="C683" s="227">
        <v>100</v>
      </c>
      <c r="D683" s="238"/>
    </row>
    <row r="684" spans="1:4" s="82" customFormat="1">
      <c r="A684" s="384" t="s">
        <v>105</v>
      </c>
      <c r="B684" s="5">
        <f>C684</f>
        <v>100</v>
      </c>
      <c r="C684" s="5">
        <v>100</v>
      </c>
      <c r="D684" s="238"/>
    </row>
    <row r="685" spans="1:4" s="82" customFormat="1">
      <c r="A685" s="202" t="s">
        <v>103</v>
      </c>
      <c r="B685" s="143">
        <f>C685</f>
        <v>9</v>
      </c>
      <c r="C685" s="227">
        <v>9</v>
      </c>
      <c r="D685" s="238"/>
    </row>
    <row r="686" spans="1:4" s="82" customFormat="1">
      <c r="A686" s="125" t="s">
        <v>322</v>
      </c>
      <c r="B686" s="125"/>
      <c r="C686" s="125"/>
      <c r="D686" s="209" t="s">
        <v>82</v>
      </c>
    </row>
    <row r="687" spans="1:4" s="82" customFormat="1">
      <c r="A687" s="215" t="s">
        <v>331</v>
      </c>
      <c r="B687" s="128"/>
      <c r="C687" s="83"/>
      <c r="D687" s="139">
        <v>20</v>
      </c>
    </row>
    <row r="688" spans="1:4" ht="19.5">
      <c r="A688" s="4" t="s">
        <v>6</v>
      </c>
      <c r="B688" s="69"/>
      <c r="C688" s="69"/>
      <c r="D688" s="69"/>
    </row>
    <row r="689" spans="1:4" s="82" customFormat="1">
      <c r="A689" s="398" t="s">
        <v>282</v>
      </c>
      <c r="B689" s="399"/>
      <c r="C689" s="400"/>
      <c r="D689" s="401">
        <v>60.435779816513758</v>
      </c>
    </row>
    <row r="690" spans="1:4" s="82" customFormat="1" ht="18.75">
      <c r="A690" s="223" t="s">
        <v>94</v>
      </c>
      <c r="B690" s="128">
        <f>C690*1.33</f>
        <v>32.618250000000003</v>
      </c>
      <c r="C690" s="400">
        <f>C691*1.09</f>
        <v>24.525000000000002</v>
      </c>
      <c r="D690" s="402"/>
    </row>
    <row r="691" spans="1:4" s="82" customFormat="1" ht="18.75">
      <c r="A691" s="390" t="s">
        <v>142</v>
      </c>
      <c r="B691" s="391"/>
      <c r="C691" s="416">
        <v>22.5</v>
      </c>
      <c r="D691" s="402"/>
    </row>
    <row r="692" spans="1:4" s="82" customFormat="1" ht="18.75">
      <c r="A692" s="210" t="s">
        <v>127</v>
      </c>
      <c r="B692" s="144">
        <f>C692*1.33</f>
        <v>33.3431</v>
      </c>
      <c r="C692" s="400">
        <f>C693*1.09</f>
        <v>25.07</v>
      </c>
      <c r="D692" s="402"/>
    </row>
    <row r="693" spans="1:4" s="82" customFormat="1" ht="18.75">
      <c r="A693" s="390" t="s">
        <v>128</v>
      </c>
      <c r="B693" s="391"/>
      <c r="C693" s="417">
        <v>23</v>
      </c>
      <c r="D693" s="402"/>
    </row>
    <row r="694" spans="1:4" s="82" customFormat="1" ht="18.75">
      <c r="A694" s="263" t="s">
        <v>144</v>
      </c>
      <c r="B694" s="264">
        <f>C694*1.54</f>
        <v>20.02</v>
      </c>
      <c r="C694" s="400">
        <v>13</v>
      </c>
      <c r="D694" s="402"/>
    </row>
    <row r="695" spans="1:4" s="82" customFormat="1" ht="18.75">
      <c r="A695" s="235" t="s">
        <v>102</v>
      </c>
      <c r="B695" s="128">
        <f>C695</f>
        <v>0.6</v>
      </c>
      <c r="C695" s="128">
        <v>0.6</v>
      </c>
      <c r="D695" s="402"/>
    </row>
    <row r="696" spans="1:4" s="82" customFormat="1" ht="18.75">
      <c r="A696" s="263" t="s">
        <v>90</v>
      </c>
      <c r="B696" s="264">
        <v>1.5</v>
      </c>
      <c r="C696" s="400">
        <v>1.5</v>
      </c>
      <c r="D696" s="402"/>
    </row>
    <row r="697" spans="1:4" s="82" customFormat="1" ht="15" customHeight="1">
      <c r="A697" s="560" t="s">
        <v>283</v>
      </c>
      <c r="B697" s="561"/>
      <c r="C697" s="562"/>
      <c r="D697" s="194" t="s">
        <v>192</v>
      </c>
    </row>
    <row r="698" spans="1:4" s="82" customFormat="1">
      <c r="A698" s="226" t="s">
        <v>91</v>
      </c>
      <c r="B698" s="227">
        <f>C698*1.1</f>
        <v>15.950000000000001</v>
      </c>
      <c r="C698" s="227">
        <f>C699*1.45</f>
        <v>14.5</v>
      </c>
      <c r="D698" s="194"/>
    </row>
    <row r="699" spans="1:4" s="82" customFormat="1">
      <c r="A699" s="229" t="s">
        <v>171</v>
      </c>
      <c r="B699" s="230"/>
      <c r="C699" s="231">
        <v>10</v>
      </c>
      <c r="D699" s="194"/>
    </row>
    <row r="700" spans="1:4" s="82" customFormat="1">
      <c r="A700" s="223" t="s">
        <v>93</v>
      </c>
      <c r="B700" s="227">
        <f>C700*1.67</f>
        <v>75.149999999999991</v>
      </c>
      <c r="C700" s="143">
        <v>45</v>
      </c>
      <c r="D700" s="283"/>
    </row>
    <row r="701" spans="1:4" s="82" customFormat="1">
      <c r="A701" s="284" t="s">
        <v>145</v>
      </c>
      <c r="B701" s="285">
        <f>C701</f>
        <v>6</v>
      </c>
      <c r="C701" s="285">
        <v>6</v>
      </c>
      <c r="D701" s="283"/>
    </row>
    <row r="702" spans="1:4" s="82" customFormat="1">
      <c r="A702" s="223" t="s">
        <v>94</v>
      </c>
      <c r="B702" s="128">
        <f>C702*1.33</f>
        <v>13.3</v>
      </c>
      <c r="C702" s="128">
        <v>10</v>
      </c>
      <c r="D702" s="286"/>
    </row>
    <row r="703" spans="1:4" s="82" customFormat="1">
      <c r="A703" s="235" t="s">
        <v>102</v>
      </c>
      <c r="B703" s="128">
        <f>C703</f>
        <v>1.2</v>
      </c>
      <c r="C703" s="128">
        <v>1.2</v>
      </c>
      <c r="D703" s="286"/>
    </row>
    <row r="704" spans="1:4" s="82" customFormat="1">
      <c r="A704" s="284" t="s">
        <v>95</v>
      </c>
      <c r="B704" s="285">
        <f>1.19*C704</f>
        <v>9.52</v>
      </c>
      <c r="C704" s="285">
        <v>8</v>
      </c>
      <c r="D704" s="286"/>
    </row>
    <row r="705" spans="1:4" s="82" customFormat="1">
      <c r="A705" s="232" t="s">
        <v>122</v>
      </c>
      <c r="B705" s="285">
        <f>C705</f>
        <v>0.01</v>
      </c>
      <c r="C705" s="285">
        <v>0.01</v>
      </c>
      <c r="D705" s="286"/>
    </row>
    <row r="706" spans="1:4" s="82" customFormat="1">
      <c r="A706" s="287" t="s">
        <v>96</v>
      </c>
      <c r="B706" s="288">
        <f>C706*1.9</f>
        <v>19</v>
      </c>
      <c r="C706" s="288">
        <v>10</v>
      </c>
      <c r="D706" s="286"/>
    </row>
    <row r="707" spans="1:4" s="82" customFormat="1">
      <c r="A707" s="287" t="s">
        <v>173</v>
      </c>
      <c r="B707" s="288">
        <f>C707</f>
        <v>4</v>
      </c>
      <c r="C707" s="288">
        <v>4</v>
      </c>
      <c r="D707" s="286"/>
    </row>
    <row r="708" spans="1:4" s="82" customFormat="1">
      <c r="A708" s="223" t="s">
        <v>83</v>
      </c>
      <c r="B708" s="285">
        <f>C708</f>
        <v>188</v>
      </c>
      <c r="C708" s="285">
        <v>188</v>
      </c>
      <c r="D708" s="286"/>
    </row>
    <row r="709" spans="1:4" s="82" customFormat="1">
      <c r="A709" s="236" t="s">
        <v>97</v>
      </c>
      <c r="B709" s="285">
        <f>C709</f>
        <v>5</v>
      </c>
      <c r="C709" s="285">
        <v>5</v>
      </c>
      <c r="D709" s="286"/>
    </row>
    <row r="710" spans="1:4" s="82" customFormat="1">
      <c r="A710" s="289" t="s">
        <v>169</v>
      </c>
      <c r="B710" s="243">
        <f>C710*1.35</f>
        <v>1.35</v>
      </c>
      <c r="C710" s="243">
        <v>1</v>
      </c>
      <c r="D710" s="222"/>
    </row>
    <row r="711" spans="1:4" s="82" customFormat="1">
      <c r="A711" s="385" t="s">
        <v>284</v>
      </c>
      <c r="B711" s="386"/>
      <c r="C711" s="387"/>
      <c r="D711" s="388" t="s">
        <v>82</v>
      </c>
    </row>
    <row r="712" spans="1:4" s="82" customFormat="1">
      <c r="A712" s="263" t="s">
        <v>281</v>
      </c>
      <c r="B712" s="264">
        <f>C712*1.35</f>
        <v>67.5</v>
      </c>
      <c r="C712" s="264">
        <f>C713*1.25</f>
        <v>50</v>
      </c>
      <c r="D712" s="389"/>
    </row>
    <row r="713" spans="1:4" s="82" customFormat="1">
      <c r="A713" s="390" t="s">
        <v>143</v>
      </c>
      <c r="B713" s="391"/>
      <c r="C713" s="415">
        <v>40</v>
      </c>
      <c r="D713" s="389"/>
    </row>
    <row r="714" spans="1:4" s="82" customFormat="1">
      <c r="A714" s="223" t="s">
        <v>93</v>
      </c>
      <c r="B714" s="227">
        <f>C714*1.67</f>
        <v>217.1</v>
      </c>
      <c r="C714" s="241">
        <v>130</v>
      </c>
      <c r="D714" s="389"/>
    </row>
    <row r="715" spans="1:4" s="82" customFormat="1">
      <c r="A715" s="393" t="s">
        <v>95</v>
      </c>
      <c r="B715" s="394">
        <f>1.19*C715</f>
        <v>11.899999999999999</v>
      </c>
      <c r="C715" s="394">
        <v>10</v>
      </c>
      <c r="D715" s="392"/>
    </row>
    <row r="716" spans="1:4" s="188" customFormat="1">
      <c r="A716" s="223" t="s">
        <v>94</v>
      </c>
      <c r="B716" s="128">
        <f>C716*1.33</f>
        <v>31.92</v>
      </c>
      <c r="C716" s="394">
        <v>24</v>
      </c>
      <c r="D716" s="392"/>
    </row>
    <row r="717" spans="1:4" s="173" customFormat="1">
      <c r="A717" s="232" t="s">
        <v>122</v>
      </c>
      <c r="B717" s="394">
        <f>C717</f>
        <v>0.01</v>
      </c>
      <c r="C717" s="394">
        <v>0.01</v>
      </c>
      <c r="D717" s="392"/>
    </row>
    <row r="718" spans="1:4" s="173" customFormat="1">
      <c r="A718" s="245" t="s">
        <v>146</v>
      </c>
      <c r="B718" s="241">
        <f>C718</f>
        <v>5</v>
      </c>
      <c r="C718" s="394">
        <v>5</v>
      </c>
      <c r="D718" s="392"/>
    </row>
    <row r="719" spans="1:4" s="173" customFormat="1">
      <c r="A719" s="235" t="s">
        <v>102</v>
      </c>
      <c r="B719" s="394">
        <f>C719</f>
        <v>1.5</v>
      </c>
      <c r="C719" s="394">
        <v>1.5</v>
      </c>
      <c r="D719" s="392"/>
    </row>
    <row r="720" spans="1:4" s="173" customFormat="1">
      <c r="A720" s="393" t="s">
        <v>90</v>
      </c>
      <c r="B720" s="394">
        <f>C720</f>
        <v>5</v>
      </c>
      <c r="C720" s="394">
        <v>5</v>
      </c>
      <c r="D720" s="392"/>
    </row>
    <row r="721" spans="1:4" s="173" customFormat="1">
      <c r="A721" s="395" t="s">
        <v>83</v>
      </c>
      <c r="B721" s="396">
        <f>C721</f>
        <v>15</v>
      </c>
      <c r="C721" s="396">
        <v>15</v>
      </c>
      <c r="D721" s="397"/>
    </row>
    <row r="722" spans="1:4" s="173" customFormat="1" ht="14.25">
      <c r="A722" s="527" t="s">
        <v>285</v>
      </c>
      <c r="B722" s="528"/>
      <c r="C722" s="529"/>
      <c r="D722" s="130">
        <v>180</v>
      </c>
    </row>
    <row r="723" spans="1:4" s="173" customFormat="1">
      <c r="A723" s="252" t="s">
        <v>316</v>
      </c>
      <c r="B723" s="147">
        <f>C723</f>
        <v>20</v>
      </c>
      <c r="C723" s="147">
        <v>20</v>
      </c>
      <c r="D723" s="253"/>
    </row>
    <row r="724" spans="1:4" s="187" customFormat="1">
      <c r="A724" s="384" t="s">
        <v>105</v>
      </c>
      <c r="B724" s="5">
        <f>C724</f>
        <v>180</v>
      </c>
      <c r="C724" s="5">
        <v>180</v>
      </c>
      <c r="D724" s="253"/>
    </row>
    <row r="725" spans="1:4" s="173" customFormat="1">
      <c r="A725" s="202" t="s">
        <v>103</v>
      </c>
      <c r="B725" s="147">
        <f>C725</f>
        <v>10</v>
      </c>
      <c r="C725" s="147">
        <v>10</v>
      </c>
      <c r="D725" s="253"/>
    </row>
    <row r="726" spans="1:4" s="173" customFormat="1">
      <c r="A726" s="215" t="s">
        <v>331</v>
      </c>
      <c r="B726" s="128"/>
      <c r="C726" s="83"/>
      <c r="D726" s="139">
        <v>20</v>
      </c>
    </row>
    <row r="727" spans="1:4" s="173" customFormat="1" ht="14.25">
      <c r="A727" s="254" t="s">
        <v>332</v>
      </c>
      <c r="B727" s="126"/>
      <c r="C727" s="126"/>
      <c r="D727" s="130">
        <v>40</v>
      </c>
    </row>
    <row r="728" spans="1:4" ht="19.5">
      <c r="A728" s="4" t="s">
        <v>7</v>
      </c>
      <c r="B728" s="10"/>
      <c r="C728" s="10"/>
      <c r="D728" s="10"/>
    </row>
    <row r="729" spans="1:4" ht="15" customHeight="1">
      <c r="A729" s="180" t="s">
        <v>286</v>
      </c>
      <c r="B729" s="180"/>
      <c r="C729" s="180"/>
      <c r="D729" s="139">
        <v>100</v>
      </c>
    </row>
    <row r="730" spans="1:4" ht="15" customHeight="1">
      <c r="A730" s="412" t="s">
        <v>156</v>
      </c>
      <c r="B730" s="413"/>
      <c r="C730" s="414">
        <f>C731+C732+C733+C736+C737+C738</f>
        <v>102.8</v>
      </c>
      <c r="D730" s="255"/>
    </row>
    <row r="731" spans="1:4" ht="15" customHeight="1">
      <c r="A731" s="340" t="s">
        <v>107</v>
      </c>
      <c r="B731" s="143">
        <f>C731</f>
        <v>56</v>
      </c>
      <c r="C731" s="143">
        <v>56</v>
      </c>
      <c r="D731" s="255"/>
    </row>
    <row r="732" spans="1:4" ht="15" customHeight="1">
      <c r="A732" s="202" t="s">
        <v>103</v>
      </c>
      <c r="B732" s="227">
        <f t="shared" ref="B732:B737" si="27">C732</f>
        <v>10</v>
      </c>
      <c r="C732" s="227">
        <v>10</v>
      </c>
      <c r="D732" s="255"/>
    </row>
    <row r="733" spans="1:4" ht="15" customHeight="1">
      <c r="A733" s="370" t="s">
        <v>90</v>
      </c>
      <c r="B733" s="143">
        <f t="shared" si="27"/>
        <v>8</v>
      </c>
      <c r="C733" s="143">
        <v>8</v>
      </c>
      <c r="D733" s="255"/>
    </row>
    <row r="734" spans="1:4" ht="15" customHeight="1">
      <c r="A734" s="235" t="s">
        <v>102</v>
      </c>
      <c r="B734" s="143">
        <f t="shared" si="27"/>
        <v>0.6</v>
      </c>
      <c r="C734" s="143">
        <v>0.6</v>
      </c>
      <c r="D734" s="255"/>
    </row>
    <row r="735" spans="1:4" ht="15" customHeight="1">
      <c r="A735" s="370" t="s">
        <v>157</v>
      </c>
      <c r="B735" s="143">
        <f t="shared" si="27"/>
        <v>0.8</v>
      </c>
      <c r="C735" s="143">
        <v>0.8</v>
      </c>
      <c r="D735" s="255"/>
    </row>
    <row r="736" spans="1:4" ht="15" customHeight="1">
      <c r="A736" s="370" t="s">
        <v>83</v>
      </c>
      <c r="B736" s="143">
        <f t="shared" si="27"/>
        <v>21.8</v>
      </c>
      <c r="C736" s="143">
        <v>21.8</v>
      </c>
      <c r="D736" s="255"/>
    </row>
    <row r="737" spans="1:4" ht="15" customHeight="1">
      <c r="A737" s="206" t="s">
        <v>84</v>
      </c>
      <c r="B737" s="143">
        <f t="shared" si="27"/>
        <v>7</v>
      </c>
      <c r="C737" s="143">
        <v>7</v>
      </c>
      <c r="D737" s="255"/>
    </row>
    <row r="738" spans="1:4" ht="15" customHeight="1">
      <c r="A738" s="370"/>
      <c r="B738" s="143"/>
      <c r="C738" s="143"/>
      <c r="D738" s="255"/>
    </row>
    <row r="739" spans="1:4" ht="15" customHeight="1">
      <c r="A739" s="412" t="s">
        <v>158</v>
      </c>
      <c r="B739" s="413"/>
      <c r="C739" s="414">
        <v>20</v>
      </c>
      <c r="D739" s="255"/>
    </row>
    <row r="740" spans="1:4" ht="15" customHeight="1">
      <c r="A740" s="207" t="s">
        <v>125</v>
      </c>
      <c r="B740" s="143">
        <f>C740</f>
        <v>20</v>
      </c>
      <c r="C740" s="143">
        <v>20</v>
      </c>
      <c r="D740" s="255"/>
    </row>
    <row r="741" spans="1:4" ht="15" customHeight="1">
      <c r="A741" s="370" t="s">
        <v>287</v>
      </c>
      <c r="B741" s="143">
        <f>C741</f>
        <v>2</v>
      </c>
      <c r="C741" s="143">
        <v>2</v>
      </c>
      <c r="D741" s="255"/>
    </row>
    <row r="742" spans="1:4" ht="15" customHeight="1">
      <c r="A742" s="275" t="s">
        <v>159</v>
      </c>
      <c r="B742" s="143">
        <f>C742</f>
        <v>1.4</v>
      </c>
      <c r="C742" s="143">
        <v>1.4</v>
      </c>
      <c r="D742" s="255"/>
    </row>
    <row r="743" spans="1:4">
      <c r="A743" s="412" t="s">
        <v>118</v>
      </c>
      <c r="B743" s="413"/>
      <c r="C743" s="414">
        <v>120</v>
      </c>
      <c r="D743" s="255"/>
    </row>
    <row r="744" spans="1:4">
      <c r="A744" s="370" t="s">
        <v>135</v>
      </c>
      <c r="B744" s="143">
        <f>C744</f>
        <v>0.7</v>
      </c>
      <c r="C744" s="143">
        <v>0.7</v>
      </c>
      <c r="D744" s="255"/>
    </row>
    <row r="745" spans="1:4">
      <c r="A745" s="494" t="s">
        <v>288</v>
      </c>
      <c r="B745" s="495"/>
      <c r="C745" s="496"/>
      <c r="D745" s="209" t="s">
        <v>182</v>
      </c>
    </row>
    <row r="746" spans="1:4">
      <c r="A746" s="210" t="s">
        <v>166</v>
      </c>
      <c r="B746" s="211">
        <f>C746</f>
        <v>0.5</v>
      </c>
      <c r="C746" s="211">
        <v>0.5</v>
      </c>
      <c r="D746" s="143"/>
    </row>
    <row r="747" spans="1:4">
      <c r="A747" s="202" t="s">
        <v>103</v>
      </c>
      <c r="B747" s="211">
        <f>C747</f>
        <v>10</v>
      </c>
      <c r="C747" s="211">
        <v>10</v>
      </c>
      <c r="D747" s="143"/>
    </row>
    <row r="748" spans="1:4">
      <c r="A748" s="263" t="s">
        <v>126</v>
      </c>
      <c r="B748" s="211">
        <f>C748*1.14</f>
        <v>2.2799999999999998</v>
      </c>
      <c r="C748" s="211">
        <v>2</v>
      </c>
      <c r="D748" s="143"/>
    </row>
    <row r="749" spans="1:4">
      <c r="A749" s="213" t="s">
        <v>105</v>
      </c>
      <c r="B749" s="214">
        <f>C749</f>
        <v>200</v>
      </c>
      <c r="C749" s="214">
        <v>200</v>
      </c>
      <c r="D749" s="143"/>
    </row>
    <row r="750" spans="1:4" ht="18.75">
      <c r="A750" s="74" t="s">
        <v>68</v>
      </c>
      <c r="B750" s="75"/>
      <c r="C750" s="75"/>
      <c r="D750" s="76"/>
    </row>
    <row r="751" spans="1:4" ht="18.75">
      <c r="A751" s="519" t="s">
        <v>73</v>
      </c>
      <c r="B751" s="520"/>
      <c r="C751" s="520"/>
      <c r="D751" s="520"/>
    </row>
    <row r="752" spans="1:4" ht="18.75">
      <c r="A752" s="3" t="s">
        <v>72</v>
      </c>
      <c r="B752" s="517"/>
      <c r="C752" s="518"/>
      <c r="D752" s="518"/>
    </row>
    <row r="753" spans="1:5" ht="19.5">
      <c r="A753" s="4" t="s">
        <v>5</v>
      </c>
      <c r="B753" s="4"/>
      <c r="C753" s="4"/>
      <c r="D753" s="68"/>
    </row>
    <row r="754" spans="1:5" s="82" customFormat="1">
      <c r="A754" s="307" t="s">
        <v>85</v>
      </c>
      <c r="B754" s="288"/>
      <c r="C754" s="288"/>
      <c r="D754" s="209" t="s">
        <v>236</v>
      </c>
    </row>
    <row r="755" spans="1:5" s="82" customFormat="1">
      <c r="A755" s="196" t="s">
        <v>333</v>
      </c>
      <c r="B755" s="288">
        <f>C755</f>
        <v>20</v>
      </c>
      <c r="C755" s="288">
        <v>20</v>
      </c>
      <c r="D755" s="209"/>
    </row>
    <row r="756" spans="1:5" s="82" customFormat="1">
      <c r="A756" s="207" t="s">
        <v>147</v>
      </c>
      <c r="B756" s="288">
        <f>C756</f>
        <v>8</v>
      </c>
      <c r="C756" s="143">
        <v>8</v>
      </c>
      <c r="D756" s="283"/>
    </row>
    <row r="757" spans="1:5" s="82" customFormat="1">
      <c r="A757" s="497" t="s">
        <v>239</v>
      </c>
      <c r="B757" s="498"/>
      <c r="C757" s="499"/>
      <c r="D757" s="168" t="s">
        <v>185</v>
      </c>
    </row>
    <row r="758" spans="1:5" s="82" customFormat="1">
      <c r="A758" s="202" t="s">
        <v>237</v>
      </c>
      <c r="B758" s="203">
        <f t="shared" ref="B758:B763" si="28">C758</f>
        <v>28</v>
      </c>
      <c r="C758" s="203">
        <v>28</v>
      </c>
      <c r="D758" s="204"/>
    </row>
    <row r="759" spans="1:5" s="82" customFormat="1">
      <c r="A759" s="205" t="s">
        <v>83</v>
      </c>
      <c r="B759" s="203">
        <f t="shared" si="28"/>
        <v>86</v>
      </c>
      <c r="C759" s="5">
        <v>86</v>
      </c>
      <c r="D759" s="204"/>
    </row>
    <row r="760" spans="1:5" s="82" customFormat="1">
      <c r="A760" s="206" t="s">
        <v>84</v>
      </c>
      <c r="B760" s="203">
        <f t="shared" si="28"/>
        <v>96</v>
      </c>
      <c r="C760" s="5">
        <v>96</v>
      </c>
      <c r="D760" s="204"/>
    </row>
    <row r="761" spans="1:5" s="82" customFormat="1">
      <c r="A761" s="202" t="s">
        <v>103</v>
      </c>
      <c r="B761" s="203">
        <f t="shared" si="28"/>
        <v>5</v>
      </c>
      <c r="C761" s="203">
        <v>5</v>
      </c>
      <c r="D761" s="204"/>
    </row>
    <row r="762" spans="1:5" s="82" customFormat="1">
      <c r="A762" s="235" t="s">
        <v>102</v>
      </c>
      <c r="B762" s="144">
        <f t="shared" si="28"/>
        <v>0.8</v>
      </c>
      <c r="C762" s="144">
        <v>0.8</v>
      </c>
      <c r="D762" s="204"/>
    </row>
    <row r="763" spans="1:5" s="82" customFormat="1">
      <c r="A763" s="207" t="s">
        <v>147</v>
      </c>
      <c r="B763" s="227">
        <f t="shared" si="28"/>
        <v>3</v>
      </c>
      <c r="C763" s="227">
        <v>3</v>
      </c>
      <c r="D763" s="204"/>
    </row>
    <row r="764" spans="1:5" s="82" customFormat="1">
      <c r="A764" s="509" t="s">
        <v>110</v>
      </c>
      <c r="B764" s="509"/>
      <c r="C764" s="509"/>
      <c r="D764" s="272" t="s">
        <v>82</v>
      </c>
    </row>
    <row r="765" spans="1:5" s="82" customFormat="1">
      <c r="A765" s="210" t="s">
        <v>238</v>
      </c>
      <c r="B765" s="144">
        <f>C765</f>
        <v>3.5</v>
      </c>
      <c r="C765" s="144">
        <v>3.5</v>
      </c>
      <c r="D765" s="288"/>
      <c r="E765" s="267"/>
    </row>
    <row r="766" spans="1:5" s="82" customFormat="1">
      <c r="A766" s="210" t="s">
        <v>105</v>
      </c>
      <c r="B766" s="144">
        <f>C766</f>
        <v>100</v>
      </c>
      <c r="C766" s="144">
        <v>100</v>
      </c>
      <c r="D766" s="288"/>
    </row>
    <row r="767" spans="1:5" s="82" customFormat="1">
      <c r="A767" s="202" t="s">
        <v>103</v>
      </c>
      <c r="B767" s="144">
        <f>C767</f>
        <v>9</v>
      </c>
      <c r="C767" s="144">
        <v>9</v>
      </c>
      <c r="D767" s="288"/>
    </row>
    <row r="768" spans="1:5" s="82" customFormat="1">
      <c r="A768" s="206" t="s">
        <v>84</v>
      </c>
      <c r="B768" s="128">
        <f>C768</f>
        <v>100</v>
      </c>
      <c r="C768" s="128">
        <v>100</v>
      </c>
      <c r="D768" s="288"/>
    </row>
    <row r="769" spans="1:6" s="82" customFormat="1">
      <c r="A769" s="215" t="s">
        <v>331</v>
      </c>
      <c r="B769" s="128"/>
      <c r="C769" s="83"/>
      <c r="D769" s="139">
        <v>30</v>
      </c>
    </row>
    <row r="770" spans="1:6" s="82" customFormat="1">
      <c r="A770" s="125" t="s">
        <v>323</v>
      </c>
      <c r="B770" s="125"/>
      <c r="C770" s="125"/>
      <c r="D770" s="209" t="s">
        <v>324</v>
      </c>
    </row>
    <row r="771" spans="1:6" ht="19.5">
      <c r="A771" s="4" t="s">
        <v>6</v>
      </c>
      <c r="B771" s="69"/>
      <c r="C771" s="69"/>
      <c r="D771" s="69"/>
    </row>
    <row r="772" spans="1:6" s="82" customFormat="1">
      <c r="A772" s="217" t="s">
        <v>290</v>
      </c>
      <c r="B772" s="218"/>
      <c r="C772" s="218"/>
      <c r="D772" s="219">
        <v>60</v>
      </c>
    </row>
    <row r="773" spans="1:6" s="187" customFormat="1">
      <c r="A773" s="220" t="s">
        <v>136</v>
      </c>
      <c r="B773" s="221">
        <f>C773*1.25</f>
        <v>72.5</v>
      </c>
      <c r="C773" s="221">
        <v>58</v>
      </c>
      <c r="D773" s="222"/>
      <c r="E773" s="267"/>
      <c r="F773" s="267"/>
    </row>
    <row r="774" spans="1:6" s="82" customFormat="1">
      <c r="A774" s="357" t="s">
        <v>104</v>
      </c>
      <c r="B774" s="128">
        <f>C774</f>
        <v>0.2</v>
      </c>
      <c r="C774" s="128">
        <v>0.2</v>
      </c>
      <c r="D774" s="222"/>
    </row>
    <row r="775" spans="1:6" s="187" customFormat="1">
      <c r="A775" s="235" t="s">
        <v>102</v>
      </c>
      <c r="B775" s="224">
        <f>C775</f>
        <v>0.8</v>
      </c>
      <c r="C775" s="224">
        <v>0.8</v>
      </c>
      <c r="D775" s="222"/>
    </row>
    <row r="776" spans="1:6" s="173" customFormat="1">
      <c r="A776" s="202" t="s">
        <v>103</v>
      </c>
      <c r="B776" s="224">
        <f>C776</f>
        <v>1</v>
      </c>
      <c r="C776" s="224">
        <v>1</v>
      </c>
      <c r="D776" s="222"/>
    </row>
    <row r="777" spans="1:6" s="173" customFormat="1">
      <c r="A777" s="225" t="s">
        <v>90</v>
      </c>
      <c r="B777" s="224">
        <f>C777</f>
        <v>3</v>
      </c>
      <c r="C777" s="224">
        <v>3</v>
      </c>
      <c r="D777" s="222"/>
    </row>
    <row r="778" spans="1:6" s="173" customFormat="1">
      <c r="A778" s="223" t="s">
        <v>83</v>
      </c>
      <c r="B778" s="128">
        <f>C778</f>
        <v>2</v>
      </c>
      <c r="C778" s="128">
        <v>2</v>
      </c>
      <c r="D778" s="222"/>
    </row>
    <row r="779" spans="1:6" s="173" customFormat="1">
      <c r="A779" s="210" t="s">
        <v>169</v>
      </c>
      <c r="B779" s="128">
        <f>C779*1.35</f>
        <v>2.0250000000000004</v>
      </c>
      <c r="C779" s="144">
        <v>1.5</v>
      </c>
      <c r="D779" s="222"/>
    </row>
    <row r="780" spans="1:6" s="173" customFormat="1" ht="14.25" customHeight="1">
      <c r="A780" s="491" t="s">
        <v>293</v>
      </c>
      <c r="B780" s="492"/>
      <c r="C780" s="551"/>
      <c r="D780" s="271" t="s">
        <v>274</v>
      </c>
    </row>
    <row r="781" spans="1:6" s="173" customFormat="1">
      <c r="A781" s="318" t="s">
        <v>112</v>
      </c>
      <c r="B781" s="233">
        <f>C781*1.05</f>
        <v>8.4</v>
      </c>
      <c r="C781" s="233">
        <f>C782*1.6</f>
        <v>8</v>
      </c>
      <c r="D781" s="271"/>
    </row>
    <row r="782" spans="1:6" s="173" customFormat="1">
      <c r="A782" s="319" t="s">
        <v>113</v>
      </c>
      <c r="B782" s="259"/>
      <c r="C782" s="409">
        <v>5</v>
      </c>
      <c r="D782" s="271"/>
    </row>
    <row r="783" spans="1:6" s="173" customFormat="1">
      <c r="A783" s="210" t="s">
        <v>127</v>
      </c>
      <c r="B783" s="144">
        <f>C783*1.33</f>
        <v>66.5</v>
      </c>
      <c r="C783" s="273">
        <v>50</v>
      </c>
      <c r="D783" s="331"/>
    </row>
    <row r="784" spans="1:6" s="173" customFormat="1">
      <c r="A784" s="223" t="s">
        <v>93</v>
      </c>
      <c r="B784" s="227">
        <f>C784*1.67</f>
        <v>50.099999999999994</v>
      </c>
      <c r="C784" s="273">
        <v>30</v>
      </c>
      <c r="D784" s="331"/>
    </row>
    <row r="785" spans="1:4" s="173" customFormat="1">
      <c r="A785" s="235" t="s">
        <v>102</v>
      </c>
      <c r="B785" s="144">
        <f>C785</f>
        <v>1.2</v>
      </c>
      <c r="C785" s="144">
        <v>1.2</v>
      </c>
      <c r="D785" s="333"/>
    </row>
    <row r="786" spans="1:4" s="173" customFormat="1">
      <c r="A786" s="223" t="s">
        <v>94</v>
      </c>
      <c r="B786" s="128">
        <f>C786*1.33</f>
        <v>10.64</v>
      </c>
      <c r="C786" s="273">
        <v>8</v>
      </c>
      <c r="D786" s="331"/>
    </row>
    <row r="787" spans="1:4" s="173" customFormat="1">
      <c r="A787" s="318" t="s">
        <v>95</v>
      </c>
      <c r="B787" s="334">
        <f>C787*1.19</f>
        <v>8.33</v>
      </c>
      <c r="C787" s="273">
        <v>7</v>
      </c>
      <c r="D787" s="331"/>
    </row>
    <row r="788" spans="1:4" s="173" customFormat="1">
      <c r="A788" s="245" t="s">
        <v>146</v>
      </c>
      <c r="B788" s="241">
        <f>C788</f>
        <v>2.5</v>
      </c>
      <c r="C788" s="273">
        <v>2.5</v>
      </c>
      <c r="D788" s="331"/>
    </row>
    <row r="789" spans="1:4" s="173" customFormat="1">
      <c r="A789" s="223" t="s">
        <v>83</v>
      </c>
      <c r="B789" s="285">
        <f>C789</f>
        <v>188</v>
      </c>
      <c r="C789" s="285">
        <v>188</v>
      </c>
      <c r="D789" s="331"/>
    </row>
    <row r="790" spans="1:4" s="173" customFormat="1">
      <c r="A790" s="318" t="s">
        <v>173</v>
      </c>
      <c r="B790" s="273">
        <f>C790</f>
        <v>4</v>
      </c>
      <c r="C790" s="273">
        <v>4</v>
      </c>
      <c r="D790" s="331"/>
    </row>
    <row r="791" spans="1:4" s="173" customFormat="1">
      <c r="A791" s="236" t="s">
        <v>97</v>
      </c>
      <c r="B791" s="273">
        <f>C791</f>
        <v>5</v>
      </c>
      <c r="C791" s="273">
        <v>5</v>
      </c>
      <c r="D791" s="141"/>
    </row>
    <row r="792" spans="1:4" s="173" customFormat="1" ht="14.25">
      <c r="A792" s="552" t="s">
        <v>291</v>
      </c>
      <c r="B792" s="552"/>
      <c r="C792" s="552"/>
      <c r="D792" s="239">
        <v>90</v>
      </c>
    </row>
    <row r="793" spans="1:4" s="173" customFormat="1">
      <c r="A793" s="240" t="s">
        <v>175</v>
      </c>
      <c r="B793" s="241">
        <f>C793*1.1</f>
        <v>60.72</v>
      </c>
      <c r="C793" s="241">
        <f>C794*1.38</f>
        <v>55.199999999999996</v>
      </c>
      <c r="D793" s="242"/>
    </row>
    <row r="794" spans="1:4" s="173" customFormat="1">
      <c r="A794" s="405" t="s">
        <v>176</v>
      </c>
      <c r="B794" s="406"/>
      <c r="C794" s="410">
        <v>40</v>
      </c>
      <c r="D794" s="242"/>
    </row>
    <row r="795" spans="1:4" s="173" customFormat="1">
      <c r="A795" s="403" t="s">
        <v>177</v>
      </c>
      <c r="B795" s="241">
        <f>C795</f>
        <v>5</v>
      </c>
      <c r="C795" s="241">
        <v>5</v>
      </c>
      <c r="D795" s="242"/>
    </row>
    <row r="796" spans="1:4" s="173" customFormat="1">
      <c r="A796" s="223" t="s">
        <v>94</v>
      </c>
      <c r="B796" s="128">
        <f>C796*1.33</f>
        <v>13.3</v>
      </c>
      <c r="C796" s="243">
        <v>10</v>
      </c>
      <c r="D796" s="244"/>
    </row>
    <row r="797" spans="1:4" s="173" customFormat="1">
      <c r="A797" s="210" t="s">
        <v>95</v>
      </c>
      <c r="B797" s="243">
        <f>C797*1.19</f>
        <v>7.14</v>
      </c>
      <c r="C797" s="243">
        <v>6</v>
      </c>
      <c r="D797" s="244"/>
    </row>
    <row r="798" spans="1:4" s="173" customFormat="1">
      <c r="A798" s="235" t="s">
        <v>102</v>
      </c>
      <c r="B798" s="144">
        <f>C798</f>
        <v>1.2</v>
      </c>
      <c r="C798" s="144">
        <v>1.2</v>
      </c>
      <c r="D798" s="244"/>
    </row>
    <row r="799" spans="1:4" s="173" customFormat="1">
      <c r="A799" s="407" t="s">
        <v>178</v>
      </c>
      <c r="B799" s="406"/>
      <c r="C799" s="411">
        <v>50</v>
      </c>
      <c r="D799" s="244"/>
    </row>
    <row r="800" spans="1:4" s="173" customFormat="1">
      <c r="A800" s="355" t="s">
        <v>107</v>
      </c>
      <c r="B800" s="241">
        <f>C800</f>
        <v>3.8</v>
      </c>
      <c r="C800" s="241">
        <v>3.8</v>
      </c>
      <c r="D800" s="222"/>
    </row>
    <row r="801" spans="1:4" s="173" customFormat="1">
      <c r="A801" s="240" t="s">
        <v>105</v>
      </c>
      <c r="B801" s="241">
        <f>C801</f>
        <v>40</v>
      </c>
      <c r="C801" s="241">
        <v>40</v>
      </c>
      <c r="D801" s="222"/>
    </row>
    <row r="802" spans="1:4" s="173" customFormat="1">
      <c r="A802" s="245" t="s">
        <v>146</v>
      </c>
      <c r="B802" s="241">
        <f>C802</f>
        <v>5</v>
      </c>
      <c r="C802" s="241">
        <v>5</v>
      </c>
      <c r="D802" s="222"/>
    </row>
    <row r="803" spans="1:4" s="173" customFormat="1">
      <c r="A803" s="210"/>
      <c r="B803" s="243"/>
      <c r="C803" s="243"/>
      <c r="D803" s="404"/>
    </row>
    <row r="804" spans="1:4" s="173" customFormat="1" ht="14.25">
      <c r="A804" s="542" t="s">
        <v>183</v>
      </c>
      <c r="B804" s="543"/>
      <c r="C804" s="544"/>
      <c r="D804" s="246">
        <v>150</v>
      </c>
    </row>
    <row r="805" spans="1:4" s="82" customFormat="1">
      <c r="A805" s="210" t="s">
        <v>179</v>
      </c>
      <c r="B805" s="144">
        <f>C805</f>
        <v>50</v>
      </c>
      <c r="C805" s="144">
        <v>50</v>
      </c>
      <c r="D805" s="247"/>
    </row>
    <row r="806" spans="1:4" s="82" customFormat="1">
      <c r="A806" s="235" t="s">
        <v>102</v>
      </c>
      <c r="B806" s="144">
        <f>C806</f>
        <v>1.2</v>
      </c>
      <c r="C806" s="144">
        <v>1.2</v>
      </c>
      <c r="D806" s="247"/>
    </row>
    <row r="807" spans="1:4" s="82" customFormat="1">
      <c r="A807" s="210" t="s">
        <v>105</v>
      </c>
      <c r="B807" s="144">
        <f>C807</f>
        <v>157.5</v>
      </c>
      <c r="C807" s="144">
        <v>157.5</v>
      </c>
      <c r="D807" s="247"/>
    </row>
    <row r="808" spans="1:4" s="82" customFormat="1">
      <c r="A808" s="207" t="s">
        <v>147</v>
      </c>
      <c r="B808" s="144">
        <f>C808</f>
        <v>5</v>
      </c>
      <c r="C808" s="144">
        <v>5</v>
      </c>
      <c r="D808" s="247"/>
    </row>
    <row r="809" spans="1:4" s="82" customFormat="1">
      <c r="A809" s="513" t="s">
        <v>256</v>
      </c>
      <c r="B809" s="513"/>
      <c r="C809" s="513"/>
      <c r="D809" s="294">
        <v>180</v>
      </c>
    </row>
    <row r="810" spans="1:4" s="82" customFormat="1">
      <c r="A810" s="321" t="s">
        <v>233</v>
      </c>
      <c r="B810" s="237">
        <f>C810*1.13</f>
        <v>22.599999999999998</v>
      </c>
      <c r="C810" s="237">
        <v>20</v>
      </c>
      <c r="D810" s="283"/>
    </row>
    <row r="811" spans="1:4" s="82" customFormat="1">
      <c r="A811" s="202" t="s">
        <v>103</v>
      </c>
      <c r="B811" s="128">
        <f>C811</f>
        <v>9</v>
      </c>
      <c r="C811" s="128">
        <v>9</v>
      </c>
      <c r="D811" s="283"/>
    </row>
    <row r="812" spans="1:4" s="82" customFormat="1">
      <c r="A812" s="295" t="s">
        <v>105</v>
      </c>
      <c r="B812" s="296">
        <f>C812</f>
        <v>170</v>
      </c>
      <c r="C812" s="296">
        <v>170</v>
      </c>
      <c r="D812" s="283"/>
    </row>
    <row r="813" spans="1:4" s="82" customFormat="1">
      <c r="A813" s="223" t="s">
        <v>195</v>
      </c>
      <c r="B813" s="144">
        <f>C813</f>
        <v>0.05</v>
      </c>
      <c r="C813" s="144">
        <v>0.05</v>
      </c>
      <c r="D813" s="329"/>
    </row>
    <row r="814" spans="1:4" s="82" customFormat="1">
      <c r="A814" s="215" t="s">
        <v>331</v>
      </c>
      <c r="B814" s="128"/>
      <c r="C814" s="83"/>
      <c r="D814" s="139">
        <v>30</v>
      </c>
    </row>
    <row r="815" spans="1:4" s="82" customFormat="1">
      <c r="A815" s="72"/>
      <c r="B815" s="78"/>
      <c r="C815" s="78"/>
      <c r="D815" s="14"/>
    </row>
    <row r="816" spans="1:4" ht="19.5">
      <c r="A816" s="4" t="s">
        <v>7</v>
      </c>
      <c r="B816" s="10"/>
      <c r="C816" s="10"/>
      <c r="D816" s="10"/>
    </row>
    <row r="817" spans="1:4" s="82" customFormat="1">
      <c r="A817" s="545" t="s">
        <v>292</v>
      </c>
      <c r="B817" s="546"/>
      <c r="C817" s="122"/>
      <c r="D817" s="209" t="s">
        <v>190</v>
      </c>
    </row>
    <row r="818" spans="1:4" s="82" customFormat="1">
      <c r="A818" s="355" t="s">
        <v>107</v>
      </c>
      <c r="B818" s="83">
        <f t="shared" ref="B818:B823" si="29">C818</f>
        <v>18.8</v>
      </c>
      <c r="C818" s="203">
        <v>18.8</v>
      </c>
      <c r="D818" s="468"/>
    </row>
    <row r="819" spans="1:4" s="82" customFormat="1">
      <c r="A819" s="235" t="s">
        <v>102</v>
      </c>
      <c r="B819" s="83">
        <f t="shared" si="29"/>
        <v>0.16</v>
      </c>
      <c r="C819" s="203">
        <v>0.16</v>
      </c>
      <c r="D819" s="468"/>
    </row>
    <row r="820" spans="1:4" s="82" customFormat="1">
      <c r="A820" s="202" t="s">
        <v>103</v>
      </c>
      <c r="B820" s="83">
        <f t="shared" si="29"/>
        <v>25.9</v>
      </c>
      <c r="C820" s="203">
        <v>25.9</v>
      </c>
      <c r="D820" s="468"/>
    </row>
    <row r="821" spans="1:4" s="82" customFormat="1">
      <c r="A821" s="356" t="s">
        <v>98</v>
      </c>
      <c r="B821" s="83">
        <f t="shared" si="29"/>
        <v>25.83</v>
      </c>
      <c r="C821" s="203">
        <v>25.83</v>
      </c>
      <c r="D821" s="468"/>
    </row>
    <row r="822" spans="1:4" s="82" customFormat="1">
      <c r="A822" s="357" t="s">
        <v>106</v>
      </c>
      <c r="B822" s="175">
        <f t="shared" si="29"/>
        <v>0.22</v>
      </c>
      <c r="C822" s="257">
        <v>0.22</v>
      </c>
      <c r="D822" s="468"/>
    </row>
    <row r="823" spans="1:4" s="82" customFormat="1">
      <c r="A823" s="357" t="s">
        <v>104</v>
      </c>
      <c r="B823" s="175">
        <f t="shared" si="29"/>
        <v>0.15</v>
      </c>
      <c r="C823" s="257">
        <v>0.15</v>
      </c>
      <c r="D823" s="468"/>
    </row>
    <row r="824" spans="1:4" s="82" customFormat="1">
      <c r="A824" s="321" t="s">
        <v>233</v>
      </c>
      <c r="B824" s="143">
        <f>C824*1.143</f>
        <v>74.409299999999988</v>
      </c>
      <c r="C824" s="227">
        <v>65.099999999999994</v>
      </c>
      <c r="D824" s="468"/>
    </row>
    <row r="825" spans="1:4" s="82" customFormat="1">
      <c r="A825" s="258" t="s">
        <v>118</v>
      </c>
      <c r="B825" s="341"/>
      <c r="C825" s="345">
        <f>SUM(C818:C824)</f>
        <v>136.16</v>
      </c>
      <c r="D825" s="468"/>
    </row>
    <row r="826" spans="1:4" s="82" customFormat="1">
      <c r="A826" s="403" t="s">
        <v>177</v>
      </c>
      <c r="B826" s="241">
        <f>C826</f>
        <v>0.8</v>
      </c>
      <c r="C826" s="241">
        <v>0.8</v>
      </c>
      <c r="D826" s="242"/>
    </row>
    <row r="827" spans="1:4" s="82" customFormat="1">
      <c r="A827" s="532" t="s">
        <v>235</v>
      </c>
      <c r="B827" s="532"/>
      <c r="C827" s="532"/>
      <c r="D827" s="306">
        <v>200</v>
      </c>
    </row>
    <row r="828" spans="1:4" s="82" customFormat="1">
      <c r="A828" s="210" t="s">
        <v>166</v>
      </c>
      <c r="B828" s="144">
        <f>C828</f>
        <v>0.5</v>
      </c>
      <c r="C828" s="144">
        <v>0.5</v>
      </c>
      <c r="D828" s="288"/>
    </row>
    <row r="829" spans="1:4" s="82" customFormat="1">
      <c r="A829" s="210" t="s">
        <v>105</v>
      </c>
      <c r="B829" s="144">
        <f>C829</f>
        <v>200</v>
      </c>
      <c r="C829" s="144">
        <v>200</v>
      </c>
      <c r="D829" s="288"/>
    </row>
    <row r="830" spans="1:4" s="82" customFormat="1">
      <c r="A830" s="202" t="s">
        <v>103</v>
      </c>
      <c r="B830" s="144">
        <f>C830</f>
        <v>8</v>
      </c>
      <c r="C830" s="144">
        <v>8</v>
      </c>
      <c r="D830" s="288"/>
    </row>
    <row r="831" spans="1:4" ht="18.75">
      <c r="A831" s="74" t="s">
        <v>68</v>
      </c>
      <c r="B831" s="75"/>
      <c r="C831" s="75"/>
      <c r="D831" s="76"/>
    </row>
    <row r="832" spans="1:4" ht="18.75">
      <c r="A832" s="3" t="s">
        <v>79</v>
      </c>
      <c r="B832" s="517"/>
      <c r="C832" s="518"/>
      <c r="D832" s="518"/>
    </row>
    <row r="833" spans="1:4" ht="19.5">
      <c r="A833" s="4" t="s">
        <v>5</v>
      </c>
      <c r="B833" s="4"/>
      <c r="C833" s="4"/>
      <c r="D833" s="68"/>
    </row>
    <row r="834" spans="1:4" s="82" customFormat="1">
      <c r="A834" s="191" t="s">
        <v>294</v>
      </c>
      <c r="B834" s="192"/>
      <c r="C834" s="193"/>
      <c r="D834" s="194" t="s">
        <v>200</v>
      </c>
    </row>
    <row r="835" spans="1:4" s="82" customFormat="1">
      <c r="A835" s="195" t="s">
        <v>315</v>
      </c>
      <c r="B835" s="143">
        <f>C835*1.01</f>
        <v>10.1</v>
      </c>
      <c r="C835" s="143">
        <v>10</v>
      </c>
      <c r="D835" s="124"/>
    </row>
    <row r="836" spans="1:4" s="82" customFormat="1">
      <c r="A836" s="196" t="s">
        <v>333</v>
      </c>
      <c r="B836" s="197">
        <f>C836</f>
        <v>30</v>
      </c>
      <c r="C836" s="197">
        <v>30</v>
      </c>
      <c r="D836" s="124"/>
    </row>
    <row r="837" spans="1:4" s="82" customFormat="1">
      <c r="A837" s="154" t="s">
        <v>262</v>
      </c>
      <c r="B837" s="155"/>
      <c r="C837" s="156"/>
      <c r="D837" s="168" t="s">
        <v>185</v>
      </c>
    </row>
    <row r="838" spans="1:4" s="82" customFormat="1">
      <c r="A838" s="202" t="s">
        <v>186</v>
      </c>
      <c r="B838" s="203">
        <f t="shared" ref="B838:B843" si="30">C838</f>
        <v>30</v>
      </c>
      <c r="C838" s="203">
        <v>30</v>
      </c>
      <c r="D838" s="204"/>
    </row>
    <row r="839" spans="1:4" s="82" customFormat="1">
      <c r="A839" s="205" t="s">
        <v>83</v>
      </c>
      <c r="B839" s="203">
        <f t="shared" si="30"/>
        <v>86</v>
      </c>
      <c r="C839" s="5">
        <v>86</v>
      </c>
      <c r="D839" s="204"/>
    </row>
    <row r="840" spans="1:4" s="82" customFormat="1">
      <c r="A840" s="206" t="s">
        <v>84</v>
      </c>
      <c r="B840" s="203">
        <f t="shared" si="30"/>
        <v>96</v>
      </c>
      <c r="C840" s="5">
        <v>96</v>
      </c>
      <c r="D840" s="204"/>
    </row>
    <row r="841" spans="1:4" s="82" customFormat="1">
      <c r="A841" s="202" t="s">
        <v>103</v>
      </c>
      <c r="B841" s="203">
        <f t="shared" si="30"/>
        <v>5</v>
      </c>
      <c r="C841" s="203">
        <v>5</v>
      </c>
      <c r="D841" s="204"/>
    </row>
    <row r="842" spans="1:4" s="82" customFormat="1">
      <c r="A842" s="235" t="s">
        <v>102</v>
      </c>
      <c r="B842" s="175">
        <f t="shared" si="30"/>
        <v>0.8</v>
      </c>
      <c r="C842" s="175">
        <v>0.8</v>
      </c>
      <c r="D842" s="204"/>
    </row>
    <row r="843" spans="1:4" s="82" customFormat="1">
      <c r="A843" s="207" t="s">
        <v>147</v>
      </c>
      <c r="B843" s="203">
        <f t="shared" si="30"/>
        <v>3</v>
      </c>
      <c r="C843" s="203">
        <v>3</v>
      </c>
      <c r="D843" s="204"/>
    </row>
    <row r="844" spans="1:4" s="82" customFormat="1">
      <c r="A844" s="494" t="s">
        <v>225</v>
      </c>
      <c r="B844" s="495"/>
      <c r="C844" s="496"/>
      <c r="D844" s="209">
        <v>200</v>
      </c>
    </row>
    <row r="845" spans="1:4" s="82" customFormat="1">
      <c r="A845" s="210" t="s">
        <v>166</v>
      </c>
      <c r="B845" s="211">
        <f>C845</f>
        <v>1.5</v>
      </c>
      <c r="C845" s="211">
        <v>1.5</v>
      </c>
      <c r="D845" s="143"/>
    </row>
    <row r="846" spans="1:4" s="82" customFormat="1">
      <c r="A846" s="202" t="s">
        <v>103</v>
      </c>
      <c r="B846" s="211">
        <f>C846</f>
        <v>9</v>
      </c>
      <c r="C846" s="211">
        <v>9</v>
      </c>
      <c r="D846" s="143"/>
    </row>
    <row r="847" spans="1:4" s="82" customFormat="1">
      <c r="A847" s="206" t="s">
        <v>84</v>
      </c>
      <c r="B847" s="212">
        <f>C847</f>
        <v>60</v>
      </c>
      <c r="C847" s="212">
        <v>60</v>
      </c>
      <c r="D847" s="143"/>
    </row>
    <row r="848" spans="1:4" s="82" customFormat="1">
      <c r="A848" s="213" t="s">
        <v>105</v>
      </c>
      <c r="B848" s="214">
        <f>C848</f>
        <v>140</v>
      </c>
      <c r="C848" s="214">
        <v>140</v>
      </c>
      <c r="D848" s="143"/>
    </row>
    <row r="849" spans="1:4" s="82" customFormat="1">
      <c r="A849" s="215" t="s">
        <v>331</v>
      </c>
      <c r="B849" s="128"/>
      <c r="C849" s="83"/>
      <c r="D849" s="139">
        <v>60</v>
      </c>
    </row>
    <row r="850" spans="1:4" s="82" customFormat="1">
      <c r="A850" s="140"/>
      <c r="B850" s="81"/>
      <c r="C850" s="81"/>
      <c r="D850" s="120"/>
    </row>
    <row r="851" spans="1:4" ht="19.5">
      <c r="A851" s="4" t="s">
        <v>6</v>
      </c>
      <c r="B851" s="69"/>
      <c r="C851" s="69"/>
      <c r="D851" s="69"/>
    </row>
    <row r="852" spans="1:4" s="82" customFormat="1" ht="18.75">
      <c r="A852" s="126" t="s">
        <v>243</v>
      </c>
      <c r="B852" s="280"/>
      <c r="C852" s="280"/>
      <c r="D852" s="282">
        <v>60</v>
      </c>
    </row>
    <row r="853" spans="1:4" s="82" customFormat="1" ht="18.75">
      <c r="A853" s="223" t="s">
        <v>94</v>
      </c>
      <c r="B853" s="128">
        <f>C853*1.33</f>
        <v>66.5</v>
      </c>
      <c r="C853" s="144">
        <v>50</v>
      </c>
      <c r="D853" s="281"/>
    </row>
    <row r="854" spans="1:4" s="82" customFormat="1" ht="18.75">
      <c r="A854" s="321" t="s">
        <v>233</v>
      </c>
      <c r="B854" s="144">
        <f>C854*1.13</f>
        <v>9.0399999999999991</v>
      </c>
      <c r="C854" s="144">
        <v>8</v>
      </c>
      <c r="D854" s="281"/>
    </row>
    <row r="855" spans="1:4" s="82" customFormat="1" ht="18.75">
      <c r="A855" s="210" t="s">
        <v>90</v>
      </c>
      <c r="B855" s="144">
        <f>C855</f>
        <v>2</v>
      </c>
      <c r="C855" s="144">
        <v>2</v>
      </c>
      <c r="D855" s="281"/>
    </row>
    <row r="856" spans="1:4" s="82" customFormat="1" ht="18.75">
      <c r="A856" s="210" t="s">
        <v>240</v>
      </c>
      <c r="B856" s="144">
        <f>C856*1.52</f>
        <v>0.76</v>
      </c>
      <c r="C856" s="144">
        <v>0.5</v>
      </c>
      <c r="D856" s="281"/>
    </row>
    <row r="857" spans="1:4" s="187" customFormat="1">
      <c r="A857" s="202" t="s">
        <v>103</v>
      </c>
      <c r="B857" s="243">
        <f>C857</f>
        <v>1</v>
      </c>
      <c r="C857" s="369">
        <v>1</v>
      </c>
      <c r="D857" s="222"/>
    </row>
    <row r="858" spans="1:4" s="173" customFormat="1" ht="14.25">
      <c r="A858" s="510" t="s">
        <v>265</v>
      </c>
      <c r="B858" s="511"/>
      <c r="C858" s="512"/>
      <c r="D858" s="311">
        <v>220</v>
      </c>
    </row>
    <row r="859" spans="1:4" s="173" customFormat="1">
      <c r="A859" s="223" t="s">
        <v>93</v>
      </c>
      <c r="B859" s="227">
        <f>C859*1.67</f>
        <v>116.89999999999999</v>
      </c>
      <c r="C859" s="273">
        <v>70</v>
      </c>
      <c r="D859" s="331"/>
    </row>
    <row r="860" spans="1:4" s="173" customFormat="1">
      <c r="A860" s="223" t="s">
        <v>94</v>
      </c>
      <c r="B860" s="128">
        <f>C860*1.33</f>
        <v>23.94</v>
      </c>
      <c r="C860" s="273">
        <v>18</v>
      </c>
      <c r="D860" s="331"/>
    </row>
    <row r="861" spans="1:4" s="173" customFormat="1">
      <c r="A861" s="318" t="s">
        <v>95</v>
      </c>
      <c r="B861" s="334">
        <f>C861*1.19</f>
        <v>13.09</v>
      </c>
      <c r="C861" s="273">
        <v>11</v>
      </c>
      <c r="D861" s="331"/>
    </row>
    <row r="862" spans="1:4" s="173" customFormat="1">
      <c r="A862" s="206" t="s">
        <v>84</v>
      </c>
      <c r="B862" s="5">
        <f>C862</f>
        <v>30</v>
      </c>
      <c r="C862" s="5">
        <v>30</v>
      </c>
      <c r="D862" s="7"/>
    </row>
    <row r="863" spans="1:4" s="173" customFormat="1">
      <c r="A863" s="335" t="s">
        <v>217</v>
      </c>
      <c r="B863" s="5">
        <f>C863</f>
        <v>100</v>
      </c>
      <c r="C863" s="5">
        <v>100</v>
      </c>
      <c r="D863" s="7"/>
    </row>
    <row r="864" spans="1:4" s="173" customFormat="1">
      <c r="A864" s="335" t="s">
        <v>266</v>
      </c>
      <c r="B864" s="5">
        <f>C864</f>
        <v>5</v>
      </c>
      <c r="C864" s="5">
        <v>5</v>
      </c>
      <c r="D864" s="7"/>
    </row>
    <row r="865" spans="1:4" s="173" customFormat="1">
      <c r="A865" s="235" t="s">
        <v>102</v>
      </c>
      <c r="B865" s="5">
        <f>C865</f>
        <v>1.5</v>
      </c>
      <c r="C865" s="5">
        <v>1.5</v>
      </c>
      <c r="D865" s="7"/>
    </row>
    <row r="866" spans="1:4" s="173" customFormat="1" ht="14.25">
      <c r="A866" s="336" t="s">
        <v>296</v>
      </c>
      <c r="B866" s="337"/>
      <c r="C866" s="338"/>
      <c r="D866" s="127">
        <v>90</v>
      </c>
    </row>
    <row r="867" spans="1:4" s="173" customFormat="1">
      <c r="A867" s="339" t="s">
        <v>218</v>
      </c>
      <c r="B867" s="227">
        <f>C867*1.02</f>
        <v>76.5</v>
      </c>
      <c r="C867" s="227">
        <v>75</v>
      </c>
      <c r="D867" s="158"/>
    </row>
    <row r="868" spans="1:4" s="173" customFormat="1">
      <c r="A868" s="206" t="s">
        <v>95</v>
      </c>
      <c r="B868" s="233">
        <f>C868*1.19</f>
        <v>9.52</v>
      </c>
      <c r="C868" s="203">
        <v>8</v>
      </c>
      <c r="D868" s="158"/>
    </row>
    <row r="869" spans="1:4" s="173" customFormat="1">
      <c r="A869" s="206" t="s">
        <v>219</v>
      </c>
      <c r="B869" s="233">
        <f>C869</f>
        <v>4</v>
      </c>
      <c r="C869" s="203">
        <v>4</v>
      </c>
      <c r="D869" s="158"/>
    </row>
    <row r="870" spans="1:4" s="173" customFormat="1">
      <c r="A870" s="344" t="s">
        <v>295</v>
      </c>
      <c r="B870" s="379"/>
      <c r="C870" s="346">
        <f>C869*2.5</f>
        <v>10</v>
      </c>
      <c r="D870" s="158"/>
    </row>
    <row r="871" spans="1:4" s="173" customFormat="1">
      <c r="A871" s="206" t="s">
        <v>98</v>
      </c>
      <c r="B871" s="233">
        <f>C871</f>
        <v>2</v>
      </c>
      <c r="C871" s="203">
        <v>2</v>
      </c>
      <c r="D871" s="158"/>
    </row>
    <row r="872" spans="1:4" s="173" customFormat="1">
      <c r="A872" s="220" t="s">
        <v>136</v>
      </c>
      <c r="B872" s="233">
        <f>C872*1.25</f>
        <v>17.5</v>
      </c>
      <c r="C872" s="203">
        <v>14</v>
      </c>
      <c r="D872" s="158"/>
    </row>
    <row r="873" spans="1:4" s="173" customFormat="1">
      <c r="A873" s="344" t="s">
        <v>99</v>
      </c>
      <c r="B873" s="341"/>
      <c r="C873" s="346">
        <f>C872+C871+C870+C868+C867</f>
        <v>109</v>
      </c>
      <c r="D873" s="158"/>
    </row>
    <row r="874" spans="1:4" s="173" customFormat="1">
      <c r="A874" s="340" t="s">
        <v>107</v>
      </c>
      <c r="B874" s="203">
        <f>C874</f>
        <v>5</v>
      </c>
      <c r="C874" s="203">
        <v>5</v>
      </c>
      <c r="D874" s="158"/>
    </row>
    <row r="875" spans="1:4" s="173" customFormat="1">
      <c r="A875" s="206" t="s">
        <v>90</v>
      </c>
      <c r="B875" s="233">
        <f>C875</f>
        <v>2</v>
      </c>
      <c r="C875" s="227">
        <v>2</v>
      </c>
      <c r="D875" s="158"/>
    </row>
    <row r="876" spans="1:4" s="173" customFormat="1" ht="14.25">
      <c r="A876" s="150" t="s">
        <v>197</v>
      </c>
      <c r="B876" s="151"/>
      <c r="C876" s="152"/>
      <c r="D876" s="272">
        <v>150</v>
      </c>
    </row>
    <row r="877" spans="1:4" s="173" customFormat="1">
      <c r="A877" s="223" t="s">
        <v>93</v>
      </c>
      <c r="B877" s="227">
        <f>C877*1.67</f>
        <v>213.76</v>
      </c>
      <c r="C877" s="128">
        <v>128</v>
      </c>
      <c r="D877" s="276"/>
    </row>
    <row r="878" spans="1:4" s="173" customFormat="1">
      <c r="A878" s="235" t="s">
        <v>102</v>
      </c>
      <c r="B878" s="5">
        <f>C878</f>
        <v>1.5</v>
      </c>
      <c r="C878" s="5">
        <v>1.5</v>
      </c>
      <c r="D878" s="276"/>
    </row>
    <row r="879" spans="1:4" s="187" customFormat="1">
      <c r="A879" s="206" t="s">
        <v>84</v>
      </c>
      <c r="B879" s="128">
        <f>C879*1.05</f>
        <v>23.625</v>
      </c>
      <c r="C879" s="128">
        <v>22.5</v>
      </c>
      <c r="D879" s="276"/>
    </row>
    <row r="880" spans="1:4" s="173" customFormat="1">
      <c r="A880" s="207" t="s">
        <v>147</v>
      </c>
      <c r="B880" s="128">
        <f>C880</f>
        <v>5</v>
      </c>
      <c r="C880" s="128">
        <v>5</v>
      </c>
      <c r="D880" s="124"/>
    </row>
    <row r="881" spans="1:4" s="173" customFormat="1" ht="14.25">
      <c r="A881" s="527" t="s">
        <v>285</v>
      </c>
      <c r="B881" s="528"/>
      <c r="C881" s="529"/>
      <c r="D881" s="130">
        <v>180</v>
      </c>
    </row>
    <row r="882" spans="1:4" s="173" customFormat="1">
      <c r="A882" s="252" t="s">
        <v>316</v>
      </c>
      <c r="B882" s="147">
        <f>C882</f>
        <v>20</v>
      </c>
      <c r="C882" s="147">
        <v>20</v>
      </c>
      <c r="D882" s="253"/>
    </row>
    <row r="883" spans="1:4" s="173" customFormat="1">
      <c r="A883" s="213" t="s">
        <v>105</v>
      </c>
      <c r="B883" s="214">
        <f>C883</f>
        <v>180</v>
      </c>
      <c r="C883" s="214">
        <v>180</v>
      </c>
      <c r="D883" s="253"/>
    </row>
    <row r="884" spans="1:4" s="173" customFormat="1">
      <c r="A884" s="202" t="s">
        <v>103</v>
      </c>
      <c r="B884" s="147">
        <f>C884</f>
        <v>10</v>
      </c>
      <c r="C884" s="147">
        <v>10</v>
      </c>
      <c r="D884" s="253"/>
    </row>
    <row r="885" spans="1:4" s="173" customFormat="1">
      <c r="A885" s="215" t="s">
        <v>331</v>
      </c>
      <c r="B885" s="128"/>
      <c r="C885" s="83"/>
      <c r="D885" s="139">
        <v>20</v>
      </c>
    </row>
    <row r="886" spans="1:4" s="173" customFormat="1" ht="14.25">
      <c r="A886" s="254" t="s">
        <v>332</v>
      </c>
      <c r="B886" s="126"/>
      <c r="C886" s="126"/>
      <c r="D886" s="130">
        <v>40</v>
      </c>
    </row>
    <row r="887" spans="1:4" ht="19.5">
      <c r="A887" s="4" t="s">
        <v>7</v>
      </c>
      <c r="B887" s="10"/>
      <c r="C887" s="10"/>
      <c r="D887" s="10"/>
    </row>
    <row r="888" spans="1:4" s="187" customFormat="1">
      <c r="A888" s="119" t="s">
        <v>297</v>
      </c>
      <c r="B888" s="144"/>
      <c r="C888" s="144"/>
      <c r="D888" s="130">
        <v>50</v>
      </c>
    </row>
    <row r="889" spans="1:4" s="173" customFormat="1">
      <c r="A889" s="322" t="s">
        <v>209</v>
      </c>
      <c r="B889" s="144">
        <f t="shared" ref="B889:B893" si="31">C889</f>
        <v>52.5</v>
      </c>
      <c r="C889" s="144">
        <v>52.5</v>
      </c>
      <c r="D889" s="247"/>
    </row>
    <row r="890" spans="1:4" s="173" customFormat="1">
      <c r="A890" s="207" t="s">
        <v>125</v>
      </c>
      <c r="B890" s="143">
        <f>C890</f>
        <v>10</v>
      </c>
      <c r="C890" s="144">
        <v>10</v>
      </c>
      <c r="D890" s="247"/>
    </row>
    <row r="891" spans="1:4" s="173" customFormat="1">
      <c r="A891" s="322" t="s">
        <v>210</v>
      </c>
      <c r="B891" s="144">
        <f t="shared" si="31"/>
        <v>0.5</v>
      </c>
      <c r="C891" s="144">
        <v>0.5</v>
      </c>
      <c r="D891" s="247"/>
    </row>
    <row r="892" spans="1:4" s="173" customFormat="1">
      <c r="A892" s="322" t="s">
        <v>98</v>
      </c>
      <c r="B892" s="144">
        <f t="shared" si="31"/>
        <v>0.6</v>
      </c>
      <c r="C892" s="144">
        <v>0.6</v>
      </c>
      <c r="D892" s="247"/>
    </row>
    <row r="893" spans="1:4" s="173" customFormat="1">
      <c r="A893" s="322" t="s">
        <v>90</v>
      </c>
      <c r="B893" s="144">
        <f t="shared" si="31"/>
        <v>1</v>
      </c>
      <c r="C893" s="144">
        <v>1</v>
      </c>
      <c r="D893" s="247"/>
    </row>
    <row r="894" spans="1:4" s="173" customFormat="1" ht="14.25">
      <c r="A894" s="514" t="s">
        <v>298</v>
      </c>
      <c r="B894" s="515"/>
      <c r="C894" s="516"/>
      <c r="D894" s="130">
        <v>180</v>
      </c>
    </row>
    <row r="895" spans="1:4" s="173" customFormat="1">
      <c r="A895" s="223" t="s">
        <v>116</v>
      </c>
      <c r="B895" s="128">
        <f>C895</f>
        <v>20</v>
      </c>
      <c r="C895" s="128">
        <v>20</v>
      </c>
      <c r="D895" s="247"/>
    </row>
    <row r="896" spans="1:4" s="173" customFormat="1">
      <c r="A896" s="202" t="s">
        <v>103</v>
      </c>
      <c r="B896" s="128">
        <f>C896</f>
        <v>9</v>
      </c>
      <c r="C896" s="128">
        <v>9</v>
      </c>
      <c r="D896" s="247"/>
    </row>
    <row r="897" spans="1:4" s="173" customFormat="1">
      <c r="A897" s="223" t="s">
        <v>105</v>
      </c>
      <c r="B897" s="128">
        <f>C897</f>
        <v>185</v>
      </c>
      <c r="C897" s="128">
        <v>185</v>
      </c>
      <c r="D897" s="247"/>
    </row>
    <row r="898" spans="1:4" s="173" customFormat="1">
      <c r="A898" s="138" t="s">
        <v>109</v>
      </c>
      <c r="B898" s="214"/>
      <c r="C898" s="214"/>
      <c r="D898" s="139">
        <v>125</v>
      </c>
    </row>
    <row r="899" spans="1:4" ht="18.75">
      <c r="A899" s="74" t="s">
        <v>68</v>
      </c>
      <c r="B899" s="75"/>
      <c r="C899" s="75"/>
      <c r="D899" s="76"/>
    </row>
    <row r="900" spans="1:4" ht="18.75">
      <c r="A900" s="3" t="s">
        <v>80</v>
      </c>
      <c r="B900" s="517"/>
      <c r="C900" s="518"/>
      <c r="D900" s="518"/>
    </row>
    <row r="901" spans="1:4" ht="19.5">
      <c r="A901" s="4" t="s">
        <v>5</v>
      </c>
      <c r="B901" s="4"/>
      <c r="C901" s="4"/>
      <c r="D901" s="68"/>
    </row>
    <row r="902" spans="1:4" s="82" customFormat="1">
      <c r="A902" s="372" t="s">
        <v>250</v>
      </c>
      <c r="B902" s="372"/>
      <c r="C902" s="372"/>
      <c r="D902" s="168" t="s">
        <v>249</v>
      </c>
    </row>
    <row r="903" spans="1:4" s="82" customFormat="1">
      <c r="A903" s="196" t="s">
        <v>333</v>
      </c>
      <c r="B903" s="227">
        <f>C903</f>
        <v>20</v>
      </c>
      <c r="C903" s="227">
        <v>20</v>
      </c>
      <c r="D903" s="230"/>
    </row>
    <row r="904" spans="1:4" s="82" customFormat="1">
      <c r="A904" s="207" t="s">
        <v>125</v>
      </c>
      <c r="B904" s="143">
        <f>C904</f>
        <v>20</v>
      </c>
      <c r="C904" s="143">
        <v>20</v>
      </c>
      <c r="D904" s="255"/>
    </row>
    <row r="905" spans="1:4" s="82" customFormat="1">
      <c r="A905" s="497" t="s">
        <v>299</v>
      </c>
      <c r="B905" s="498"/>
      <c r="C905" s="499"/>
      <c r="D905" s="168" t="s">
        <v>185</v>
      </c>
    </row>
    <row r="906" spans="1:4" s="82" customFormat="1">
      <c r="A906" s="202" t="s">
        <v>300</v>
      </c>
      <c r="B906" s="203">
        <f>C906</f>
        <v>25</v>
      </c>
      <c r="C906" s="203">
        <v>25</v>
      </c>
      <c r="D906" s="204"/>
    </row>
    <row r="907" spans="1:4" s="82" customFormat="1">
      <c r="A907" s="205" t="s">
        <v>83</v>
      </c>
      <c r="B907" s="203">
        <f>C907</f>
        <v>86</v>
      </c>
      <c r="C907" s="5">
        <v>86</v>
      </c>
      <c r="D907" s="204"/>
    </row>
    <row r="908" spans="1:4" s="82" customFormat="1">
      <c r="A908" s="206" t="s">
        <v>84</v>
      </c>
      <c r="B908" s="203">
        <f>C908</f>
        <v>96</v>
      </c>
      <c r="C908" s="5">
        <v>96</v>
      </c>
      <c r="D908" s="204"/>
    </row>
    <row r="909" spans="1:4" s="82" customFormat="1">
      <c r="A909" s="235" t="s">
        <v>102</v>
      </c>
      <c r="B909" s="83">
        <f t="shared" ref="B909" si="32">C909</f>
        <v>0.8</v>
      </c>
      <c r="C909" s="83">
        <v>0.8</v>
      </c>
      <c r="D909" s="204"/>
    </row>
    <row r="910" spans="1:4" s="82" customFormat="1">
      <c r="A910" s="202" t="s">
        <v>103</v>
      </c>
      <c r="B910" s="203">
        <f>C910</f>
        <v>5</v>
      </c>
      <c r="C910" s="203">
        <v>5</v>
      </c>
      <c r="D910" s="204"/>
    </row>
    <row r="911" spans="1:4" s="82" customFormat="1">
      <c r="A911" s="207" t="s">
        <v>147</v>
      </c>
      <c r="B911" s="203">
        <f>C911</f>
        <v>3</v>
      </c>
      <c r="C911" s="203">
        <v>3</v>
      </c>
      <c r="D911" s="204"/>
    </row>
    <row r="912" spans="1:4" s="82" customFormat="1">
      <c r="A912" s="500" t="s">
        <v>252</v>
      </c>
      <c r="B912" s="501"/>
      <c r="C912" s="502"/>
      <c r="D912" s="311">
        <v>200</v>
      </c>
    </row>
    <row r="913" spans="1:4" s="82" customFormat="1">
      <c r="A913" s="312" t="s">
        <v>88</v>
      </c>
      <c r="B913" s="143">
        <f>C913</f>
        <v>1.5</v>
      </c>
      <c r="C913" s="143">
        <v>1.5</v>
      </c>
      <c r="D913" s="145"/>
    </row>
    <row r="914" spans="1:4" s="82" customFormat="1">
      <c r="A914" s="206" t="s">
        <v>84</v>
      </c>
      <c r="B914" s="143">
        <f>C914</f>
        <v>100</v>
      </c>
      <c r="C914" s="227">
        <v>100</v>
      </c>
      <c r="D914" s="238"/>
    </row>
    <row r="915" spans="1:4" s="82" customFormat="1">
      <c r="A915" s="202" t="s">
        <v>105</v>
      </c>
      <c r="B915" s="144">
        <f t="shared" ref="B915" si="33">C915</f>
        <v>100</v>
      </c>
      <c r="C915" s="144">
        <v>100</v>
      </c>
      <c r="D915" s="238"/>
    </row>
    <row r="916" spans="1:4" s="82" customFormat="1">
      <c r="A916" s="202" t="s">
        <v>103</v>
      </c>
      <c r="B916" s="143">
        <f>C916</f>
        <v>8</v>
      </c>
      <c r="C916" s="227">
        <v>8</v>
      </c>
      <c r="D916" s="238"/>
    </row>
    <row r="917" spans="1:4" s="82" customFormat="1">
      <c r="A917" s="198" t="s">
        <v>162</v>
      </c>
      <c r="B917" s="199"/>
      <c r="C917" s="200"/>
      <c r="D917" s="201">
        <v>40</v>
      </c>
    </row>
    <row r="918" spans="1:4" s="82" customFormat="1">
      <c r="A918" s="322" t="s">
        <v>98</v>
      </c>
      <c r="B918" s="197">
        <f>C918</f>
        <v>40</v>
      </c>
      <c r="C918" s="200">
        <v>40</v>
      </c>
      <c r="D918" s="124"/>
    </row>
    <row r="919" spans="1:4" s="82" customFormat="1">
      <c r="A919" s="215" t="s">
        <v>331</v>
      </c>
      <c r="B919" s="128"/>
      <c r="C919" s="83"/>
      <c r="D919" s="139">
        <v>30</v>
      </c>
    </row>
    <row r="920" spans="1:4" s="82" customFormat="1">
      <c r="A920" s="140"/>
      <c r="B920" s="81"/>
      <c r="C920" s="81"/>
      <c r="D920" s="120"/>
    </row>
    <row r="921" spans="1:4" ht="19.5">
      <c r="A921" s="4" t="s">
        <v>6</v>
      </c>
      <c r="B921" s="69"/>
      <c r="C921" s="69"/>
      <c r="D921" s="69"/>
    </row>
    <row r="922" spans="1:4" s="82" customFormat="1" ht="18.75">
      <c r="A922" s="305" t="s">
        <v>301</v>
      </c>
      <c r="B922" s="280"/>
      <c r="C922" s="280"/>
      <c r="D922" s="282">
        <v>60</v>
      </c>
    </row>
    <row r="923" spans="1:4" s="82" customFormat="1" ht="18.75">
      <c r="A923" s="210" t="s">
        <v>127</v>
      </c>
      <c r="B923" s="144">
        <f>C923*1.33</f>
        <v>75.384400000000014</v>
      </c>
      <c r="C923" s="144">
        <f>C924*1.09</f>
        <v>56.680000000000007</v>
      </c>
      <c r="D923" s="281"/>
    </row>
    <row r="924" spans="1:4" s="82" customFormat="1" ht="18.75">
      <c r="A924" s="441" t="s">
        <v>128</v>
      </c>
      <c r="B924" s="129"/>
      <c r="C924" s="129">
        <v>52</v>
      </c>
      <c r="D924" s="281"/>
    </row>
    <row r="925" spans="1:4" s="82" customFormat="1" ht="18.75">
      <c r="A925" s="195" t="s">
        <v>315</v>
      </c>
      <c r="B925" s="243">
        <f>C925*1.01</f>
        <v>8.08</v>
      </c>
      <c r="C925" s="243">
        <v>8</v>
      </c>
      <c r="D925" s="281"/>
    </row>
    <row r="926" spans="1:4" s="82" customFormat="1" ht="18.75">
      <c r="A926" s="235" t="s">
        <v>102</v>
      </c>
      <c r="B926" s="233">
        <f>C926</f>
        <v>0.4</v>
      </c>
      <c r="C926" s="233">
        <v>0.4</v>
      </c>
      <c r="D926" s="281"/>
    </row>
    <row r="927" spans="1:4" s="82" customFormat="1" ht="18.75">
      <c r="A927" s="205" t="s">
        <v>169</v>
      </c>
      <c r="B927" s="442">
        <f>C927*1.35</f>
        <v>0.81</v>
      </c>
      <c r="C927" s="442">
        <v>0.6</v>
      </c>
      <c r="D927" s="281"/>
    </row>
    <row r="928" spans="1:4" s="82" customFormat="1">
      <c r="A928" s="545" t="s">
        <v>248</v>
      </c>
      <c r="B928" s="547"/>
      <c r="C928" s="546"/>
      <c r="D928" s="127">
        <v>220</v>
      </c>
    </row>
    <row r="929" spans="1:4" s="82" customFormat="1">
      <c r="A929" s="226" t="s">
        <v>91</v>
      </c>
      <c r="B929" s="227">
        <f>C929*1.1</f>
        <v>15.950000000000001</v>
      </c>
      <c r="C929" s="227">
        <f>C930*1.45</f>
        <v>14.5</v>
      </c>
      <c r="D929" s="127"/>
    </row>
    <row r="930" spans="1:4" s="82" customFormat="1">
      <c r="A930" s="229" t="s">
        <v>171</v>
      </c>
      <c r="B930" s="230"/>
      <c r="C930" s="231">
        <v>10</v>
      </c>
      <c r="D930" s="127"/>
    </row>
    <row r="931" spans="1:4" s="82" customFormat="1">
      <c r="A931" s="358" t="s">
        <v>241</v>
      </c>
      <c r="B931" s="143">
        <f>C931</f>
        <v>10</v>
      </c>
      <c r="C931" s="143">
        <v>10</v>
      </c>
      <c r="D931" s="143"/>
    </row>
    <row r="932" spans="1:4" s="82" customFormat="1">
      <c r="A932" s="223" t="s">
        <v>94</v>
      </c>
      <c r="B932" s="128">
        <f>C932*1.33</f>
        <v>13.3</v>
      </c>
      <c r="C932" s="128">
        <v>10</v>
      </c>
      <c r="D932" s="143"/>
    </row>
    <row r="933" spans="1:4" s="82" customFormat="1">
      <c r="A933" s="359" t="s">
        <v>95</v>
      </c>
      <c r="B933" s="360">
        <f>C933*1.19</f>
        <v>9.52</v>
      </c>
      <c r="C933" s="360">
        <v>8</v>
      </c>
      <c r="D933" s="143"/>
    </row>
    <row r="934" spans="1:4" s="82" customFormat="1">
      <c r="A934" s="361" t="s">
        <v>173</v>
      </c>
      <c r="B934" s="285">
        <f>C934</f>
        <v>4</v>
      </c>
      <c r="C934" s="285">
        <v>4</v>
      </c>
      <c r="D934" s="143"/>
    </row>
    <row r="935" spans="1:4" s="82" customFormat="1">
      <c r="A935" s="223" t="s">
        <v>93</v>
      </c>
      <c r="B935" s="227">
        <f>C935*1.67</f>
        <v>83.5</v>
      </c>
      <c r="C935" s="285">
        <v>50</v>
      </c>
      <c r="D935" s="143"/>
    </row>
    <row r="936" spans="1:4" s="82" customFormat="1">
      <c r="A936" s="235" t="s">
        <v>102</v>
      </c>
      <c r="B936" s="285">
        <f>C936</f>
        <v>1.5</v>
      </c>
      <c r="C936" s="285">
        <v>1.5</v>
      </c>
      <c r="D936" s="143"/>
    </row>
    <row r="937" spans="1:4" s="82" customFormat="1">
      <c r="A937" s="223" t="s">
        <v>83</v>
      </c>
      <c r="B937" s="360">
        <f>C937</f>
        <v>180</v>
      </c>
      <c r="C937" s="360">
        <v>180</v>
      </c>
      <c r="D937" s="143"/>
    </row>
    <row r="938" spans="1:4" s="82" customFormat="1">
      <c r="A938" s="443" t="s">
        <v>302</v>
      </c>
      <c r="B938" s="444"/>
      <c r="C938" s="331"/>
      <c r="D938" s="311">
        <v>200</v>
      </c>
    </row>
    <row r="939" spans="1:4" s="82" customFormat="1">
      <c r="A939" s="321" t="s">
        <v>208</v>
      </c>
      <c r="B939" s="233">
        <f>C939*1.05</f>
        <v>44.1</v>
      </c>
      <c r="C939" s="233">
        <f>C940*1.4</f>
        <v>42</v>
      </c>
      <c r="D939" s="445"/>
    </row>
    <row r="940" spans="1:4" s="82" customFormat="1">
      <c r="A940" s="446" t="s">
        <v>92</v>
      </c>
      <c r="B940" s="233"/>
      <c r="C940" s="445">
        <v>30</v>
      </c>
      <c r="D940" s="445"/>
    </row>
    <row r="941" spans="1:4" s="82" customFormat="1">
      <c r="A941" s="223" t="s">
        <v>93</v>
      </c>
      <c r="B941" s="227">
        <f>C941*1.67</f>
        <v>128.03889999999998</v>
      </c>
      <c r="C941" s="233">
        <v>76.67</v>
      </c>
      <c r="D941" s="445"/>
    </row>
    <row r="942" spans="1:4" s="82" customFormat="1">
      <c r="A942" s="223" t="s">
        <v>94</v>
      </c>
      <c r="B942" s="128">
        <f>C942*1.33</f>
        <v>36.947400000000002</v>
      </c>
      <c r="C942" s="253">
        <v>27.78</v>
      </c>
      <c r="D942" s="445"/>
    </row>
    <row r="943" spans="1:4" s="82" customFormat="1">
      <c r="A943" s="220" t="s">
        <v>136</v>
      </c>
      <c r="B943" s="253">
        <f>C943*1.25</f>
        <v>84.724999999999994</v>
      </c>
      <c r="C943" s="253">
        <v>67.78</v>
      </c>
      <c r="D943" s="445"/>
    </row>
    <row r="944" spans="1:4" s="82" customFormat="1">
      <c r="A944" s="205" t="s">
        <v>95</v>
      </c>
      <c r="B944" s="233">
        <f>C944*1.19</f>
        <v>15.8627</v>
      </c>
      <c r="C944" s="233">
        <v>13.33</v>
      </c>
      <c r="D944" s="445"/>
    </row>
    <row r="945" spans="1:4" s="82" customFormat="1">
      <c r="A945" s="232" t="s">
        <v>122</v>
      </c>
      <c r="B945" s="233">
        <f>C945</f>
        <v>0.01</v>
      </c>
      <c r="C945" s="253">
        <v>0.01</v>
      </c>
      <c r="D945" s="445"/>
    </row>
    <row r="946" spans="1:4" s="82" customFormat="1">
      <c r="A946" s="245" t="s">
        <v>146</v>
      </c>
      <c r="B946" s="241">
        <f>C946</f>
        <v>5</v>
      </c>
      <c r="C946" s="233">
        <v>5</v>
      </c>
      <c r="D946" s="445"/>
    </row>
    <row r="947" spans="1:4" s="82" customFormat="1">
      <c r="A947" s="235" t="s">
        <v>102</v>
      </c>
      <c r="B947" s="233">
        <f>C947</f>
        <v>1.6</v>
      </c>
      <c r="C947" s="233">
        <v>1.6</v>
      </c>
      <c r="D947" s="445"/>
    </row>
    <row r="948" spans="1:4" s="82" customFormat="1">
      <c r="A948" s="322" t="s">
        <v>90</v>
      </c>
      <c r="B948" s="233">
        <f>C948</f>
        <v>5</v>
      </c>
      <c r="C948" s="233">
        <v>5</v>
      </c>
      <c r="D948" s="445"/>
    </row>
    <row r="949" spans="1:4" s="82" customFormat="1">
      <c r="A949" s="513" t="s">
        <v>256</v>
      </c>
      <c r="B949" s="513"/>
      <c r="C949" s="513"/>
      <c r="D949" s="294">
        <v>180</v>
      </c>
    </row>
    <row r="950" spans="1:4" s="82" customFormat="1">
      <c r="A950" s="321" t="s">
        <v>233</v>
      </c>
      <c r="B950" s="237">
        <f>C950*1.13</f>
        <v>22.599999999999998</v>
      </c>
      <c r="C950" s="237">
        <v>20</v>
      </c>
      <c r="D950" s="283"/>
    </row>
    <row r="951" spans="1:4" s="82" customFormat="1">
      <c r="A951" s="202" t="s">
        <v>103</v>
      </c>
      <c r="B951" s="128">
        <f>C951</f>
        <v>9</v>
      </c>
      <c r="C951" s="128">
        <v>9</v>
      </c>
      <c r="D951" s="283"/>
    </row>
    <row r="952" spans="1:4" s="82" customFormat="1">
      <c r="A952" s="295" t="s">
        <v>105</v>
      </c>
      <c r="B952" s="296">
        <f>C952</f>
        <v>170</v>
      </c>
      <c r="C952" s="296">
        <v>170</v>
      </c>
      <c r="D952" s="283"/>
    </row>
    <row r="953" spans="1:4" s="189" customFormat="1">
      <c r="A953" s="223" t="s">
        <v>195</v>
      </c>
      <c r="B953" s="144">
        <f>C953</f>
        <v>0.05</v>
      </c>
      <c r="C953" s="144">
        <v>0.05</v>
      </c>
      <c r="D953" s="329"/>
    </row>
    <row r="954" spans="1:4" s="82" customFormat="1">
      <c r="A954" s="215" t="s">
        <v>331</v>
      </c>
      <c r="B954" s="128"/>
      <c r="C954" s="83"/>
      <c r="D954" s="139">
        <v>20</v>
      </c>
    </row>
    <row r="955" spans="1:4" s="82" customFormat="1">
      <c r="A955" s="254" t="s">
        <v>332</v>
      </c>
      <c r="B955" s="126"/>
      <c r="C955" s="126"/>
      <c r="D955" s="130">
        <v>40</v>
      </c>
    </row>
    <row r="956" spans="1:4" ht="19.5">
      <c r="A956" s="4" t="s">
        <v>7</v>
      </c>
      <c r="B956" s="10"/>
      <c r="C956" s="10"/>
      <c r="D956" s="10"/>
    </row>
    <row r="957" spans="1:4" ht="28.5">
      <c r="A957" s="183" t="s">
        <v>149</v>
      </c>
      <c r="B957" s="184"/>
      <c r="C957" s="185"/>
      <c r="D957" s="168" t="s">
        <v>150</v>
      </c>
    </row>
    <row r="958" spans="1:4">
      <c r="A958" s="300" t="s">
        <v>151</v>
      </c>
      <c r="B958" s="143">
        <f>C958</f>
        <v>174</v>
      </c>
      <c r="C958" s="83">
        <v>174</v>
      </c>
      <c r="D958" s="123"/>
    </row>
    <row r="959" spans="1:4">
      <c r="A959" s="301" t="s">
        <v>90</v>
      </c>
      <c r="B959" s="5">
        <f t="shared" ref="B959:B960" si="34">C959</f>
        <v>0.6</v>
      </c>
      <c r="C959" s="5">
        <v>0.6</v>
      </c>
      <c r="D959" s="302"/>
    </row>
    <row r="960" spans="1:4">
      <c r="A960" s="303" t="s">
        <v>152</v>
      </c>
      <c r="B960" s="5">
        <f t="shared" si="34"/>
        <v>20</v>
      </c>
      <c r="C960" s="5">
        <v>20</v>
      </c>
      <c r="D960" s="302"/>
    </row>
    <row r="961" spans="1:4">
      <c r="A961" s="553" t="s">
        <v>259</v>
      </c>
      <c r="B961" s="553"/>
      <c r="C961" s="553"/>
      <c r="D961" s="306">
        <v>200</v>
      </c>
    </row>
    <row r="962" spans="1:4">
      <c r="A962" s="210" t="s">
        <v>166</v>
      </c>
      <c r="B962" s="144">
        <f>C962</f>
        <v>0.5</v>
      </c>
      <c r="C962" s="144">
        <v>0.5</v>
      </c>
      <c r="D962" s="288"/>
    </row>
    <row r="963" spans="1:4">
      <c r="A963" s="210" t="s">
        <v>105</v>
      </c>
      <c r="B963" s="144">
        <f>C963</f>
        <v>200</v>
      </c>
      <c r="C963" s="144">
        <v>200</v>
      </c>
      <c r="D963" s="288"/>
    </row>
    <row r="964" spans="1:4">
      <c r="A964" s="202" t="s">
        <v>103</v>
      </c>
      <c r="B964" s="144">
        <f>C964</f>
        <v>10</v>
      </c>
      <c r="C964" s="144">
        <v>10</v>
      </c>
      <c r="D964" s="288"/>
    </row>
    <row r="965" spans="1:4">
      <c r="A965" s="202" t="s">
        <v>242</v>
      </c>
      <c r="B965" s="144">
        <f>C965</f>
        <v>2</v>
      </c>
      <c r="C965" s="144">
        <v>2</v>
      </c>
      <c r="D965" s="288"/>
    </row>
    <row r="966" spans="1:4" ht="18.75">
      <c r="A966" s="74" t="s">
        <v>68</v>
      </c>
      <c r="B966" s="75"/>
      <c r="C966" s="75"/>
      <c r="D966" s="76"/>
    </row>
    <row r="967" spans="1:4" ht="18.75">
      <c r="A967" s="3" t="s">
        <v>81</v>
      </c>
      <c r="B967" s="517"/>
      <c r="C967" s="518"/>
      <c r="D967" s="518"/>
    </row>
    <row r="968" spans="1:4" ht="19.5">
      <c r="A968" s="4" t="s">
        <v>5</v>
      </c>
      <c r="B968" s="4"/>
      <c r="C968" s="4"/>
      <c r="D968" s="68"/>
    </row>
    <row r="969" spans="1:4" s="82" customFormat="1" ht="15" customHeight="1">
      <c r="A969" s="191" t="s">
        <v>161</v>
      </c>
      <c r="B969" s="192"/>
      <c r="C969" s="193"/>
      <c r="D969" s="194" t="s">
        <v>303</v>
      </c>
    </row>
    <row r="970" spans="1:4" s="82" customFormat="1">
      <c r="A970" s="195" t="s">
        <v>315</v>
      </c>
      <c r="B970" s="143">
        <f>C970*1.01</f>
        <v>15.15</v>
      </c>
      <c r="C970" s="143">
        <v>15</v>
      </c>
      <c r="D970" s="124"/>
    </row>
    <row r="971" spans="1:4" s="82" customFormat="1">
      <c r="A971" s="196" t="s">
        <v>333</v>
      </c>
      <c r="B971" s="197">
        <f>C971</f>
        <v>25</v>
      </c>
      <c r="C971" s="197">
        <v>25</v>
      </c>
      <c r="D971" s="124"/>
    </row>
    <row r="972" spans="1:4" s="82" customFormat="1">
      <c r="A972" s="497" t="s">
        <v>304</v>
      </c>
      <c r="B972" s="498"/>
      <c r="C972" s="499"/>
      <c r="D972" s="168" t="s">
        <v>185</v>
      </c>
    </row>
    <row r="973" spans="1:4" s="82" customFormat="1">
      <c r="A973" s="202" t="s">
        <v>213</v>
      </c>
      <c r="B973" s="203">
        <f t="shared" ref="B973:B978" si="35">C973</f>
        <v>28</v>
      </c>
      <c r="C973" s="203">
        <v>28</v>
      </c>
      <c r="D973" s="204"/>
    </row>
    <row r="974" spans="1:4" s="82" customFormat="1">
      <c r="A974" s="205" t="s">
        <v>83</v>
      </c>
      <c r="B974" s="203">
        <f t="shared" si="35"/>
        <v>86</v>
      </c>
      <c r="C974" s="5">
        <v>86</v>
      </c>
      <c r="D974" s="204"/>
    </row>
    <row r="975" spans="1:4" s="82" customFormat="1">
      <c r="A975" s="206" t="s">
        <v>84</v>
      </c>
      <c r="B975" s="203">
        <f t="shared" si="35"/>
        <v>96</v>
      </c>
      <c r="C975" s="5">
        <v>96</v>
      </c>
      <c r="D975" s="204"/>
    </row>
    <row r="976" spans="1:4" s="82" customFormat="1">
      <c r="A976" s="235" t="s">
        <v>102</v>
      </c>
      <c r="B976" s="135">
        <f t="shared" si="35"/>
        <v>0.8</v>
      </c>
      <c r="C976" s="135">
        <v>0.8</v>
      </c>
      <c r="D976" s="204"/>
    </row>
    <row r="977" spans="1:5" s="82" customFormat="1">
      <c r="A977" s="202" t="s">
        <v>103</v>
      </c>
      <c r="B977" s="203">
        <f t="shared" si="35"/>
        <v>4</v>
      </c>
      <c r="C977" s="203">
        <v>4</v>
      </c>
      <c r="D977" s="204"/>
    </row>
    <row r="978" spans="1:5" s="82" customFormat="1">
      <c r="A978" s="207" t="s">
        <v>147</v>
      </c>
      <c r="B978" s="203">
        <f t="shared" si="35"/>
        <v>3</v>
      </c>
      <c r="C978" s="203">
        <v>3</v>
      </c>
      <c r="D978" s="204"/>
    </row>
    <row r="979" spans="1:5" s="82" customFormat="1">
      <c r="A979" s="509" t="s">
        <v>110</v>
      </c>
      <c r="B979" s="509"/>
      <c r="C979" s="509"/>
      <c r="D979" s="272" t="s">
        <v>82</v>
      </c>
    </row>
    <row r="980" spans="1:5" s="82" customFormat="1">
      <c r="A980" s="210" t="s">
        <v>238</v>
      </c>
      <c r="B980" s="144">
        <f>C980</f>
        <v>3.5</v>
      </c>
      <c r="C980" s="144">
        <v>3.5</v>
      </c>
      <c r="D980" s="288"/>
    </row>
    <row r="981" spans="1:5" s="82" customFormat="1">
      <c r="A981" s="210" t="s">
        <v>105</v>
      </c>
      <c r="B981" s="144">
        <f>C981</f>
        <v>100</v>
      </c>
      <c r="C981" s="144">
        <v>100</v>
      </c>
      <c r="D981" s="288"/>
    </row>
    <row r="982" spans="1:5" s="82" customFormat="1">
      <c r="A982" s="202" t="s">
        <v>103</v>
      </c>
      <c r="B982" s="144">
        <f>C982</f>
        <v>10</v>
      </c>
      <c r="C982" s="144">
        <v>10</v>
      </c>
      <c r="D982" s="288"/>
    </row>
    <row r="983" spans="1:5" s="82" customFormat="1">
      <c r="A983" s="206" t="s">
        <v>84</v>
      </c>
      <c r="B983" s="128">
        <f>C983</f>
        <v>100</v>
      </c>
      <c r="C983" s="128">
        <v>100</v>
      </c>
      <c r="D983" s="288"/>
    </row>
    <row r="984" spans="1:5" s="82" customFormat="1">
      <c r="A984" s="215" t="s">
        <v>331</v>
      </c>
      <c r="B984" s="128"/>
      <c r="C984" s="83"/>
      <c r="D984" s="139">
        <v>60</v>
      </c>
    </row>
    <row r="985" spans="1:5" ht="19.5">
      <c r="A985" s="4" t="s">
        <v>6</v>
      </c>
      <c r="B985" s="69"/>
      <c r="C985" s="69"/>
      <c r="D985" s="69"/>
    </row>
    <row r="986" spans="1:5" s="187" customFormat="1" ht="18.75">
      <c r="A986" s="324" t="s">
        <v>221</v>
      </c>
      <c r="B986" s="325"/>
      <c r="C986" s="325"/>
      <c r="D986" s="326">
        <v>60</v>
      </c>
      <c r="E986" s="189"/>
    </row>
    <row r="987" spans="1:5" s="173" customFormat="1" ht="18.75">
      <c r="A987" s="223" t="s">
        <v>94</v>
      </c>
      <c r="B987" s="128">
        <f>C987*1.33</f>
        <v>72.485000000000014</v>
      </c>
      <c r="C987" s="147">
        <f>C988*1.09</f>
        <v>54.500000000000007</v>
      </c>
      <c r="D987" s="328"/>
      <c r="E987" s="82"/>
    </row>
    <row r="988" spans="1:5" s="173" customFormat="1" ht="18.75">
      <c r="A988" s="375" t="s">
        <v>142</v>
      </c>
      <c r="B988" s="376"/>
      <c r="C988" s="429">
        <v>50</v>
      </c>
      <c r="D988" s="328"/>
      <c r="E988" s="82"/>
    </row>
    <row r="989" spans="1:5" s="173" customFormat="1" ht="18.75">
      <c r="A989" s="195" t="s">
        <v>315</v>
      </c>
      <c r="B989" s="147">
        <f>C989*1.01</f>
        <v>8.08</v>
      </c>
      <c r="C989" s="147">
        <v>8</v>
      </c>
      <c r="D989" s="328"/>
      <c r="E989" s="82"/>
    </row>
    <row r="990" spans="1:5" s="173" customFormat="1" ht="18.75">
      <c r="A990" s="235" t="s">
        <v>102</v>
      </c>
      <c r="B990" s="83">
        <f>C990</f>
        <v>0.5</v>
      </c>
      <c r="C990" s="83">
        <v>0.5</v>
      </c>
      <c r="D990" s="328"/>
      <c r="E990" s="82"/>
    </row>
    <row r="991" spans="1:5" s="173" customFormat="1" ht="18.75">
      <c r="A991" s="327" t="s">
        <v>90</v>
      </c>
      <c r="B991" s="147">
        <f>C991</f>
        <v>2</v>
      </c>
      <c r="C991" s="147">
        <v>2</v>
      </c>
      <c r="D991" s="328"/>
      <c r="E991" s="187"/>
    </row>
    <row r="992" spans="1:5" s="82" customFormat="1" ht="18.75">
      <c r="A992" s="327" t="s">
        <v>169</v>
      </c>
      <c r="B992" s="147">
        <f>C992*1.35</f>
        <v>0.81</v>
      </c>
      <c r="C992" s="147">
        <v>0.6</v>
      </c>
      <c r="D992" s="328"/>
      <c r="E992" s="173"/>
    </row>
    <row r="993" spans="1:5" s="82" customFormat="1">
      <c r="A993" s="510" t="s">
        <v>222</v>
      </c>
      <c r="B993" s="511"/>
      <c r="C993" s="512"/>
      <c r="D993" s="311" t="s">
        <v>216</v>
      </c>
      <c r="E993" s="173"/>
    </row>
    <row r="994" spans="1:5" s="82" customFormat="1">
      <c r="A994" s="330" t="s">
        <v>124</v>
      </c>
      <c r="B994" s="257">
        <f>C994*1.1</f>
        <v>16.104000000000003</v>
      </c>
      <c r="C994" s="257">
        <v>14.64</v>
      </c>
      <c r="D994" s="311"/>
      <c r="E994" s="173"/>
    </row>
    <row r="995" spans="1:5" s="82" customFormat="1">
      <c r="A995" s="223" t="s">
        <v>93</v>
      </c>
      <c r="B995" s="227">
        <f>C995*1.67</f>
        <v>133.6</v>
      </c>
      <c r="C995" s="273">
        <v>80</v>
      </c>
      <c r="D995" s="331"/>
      <c r="E995" s="173"/>
    </row>
    <row r="996" spans="1:5" s="82" customFormat="1">
      <c r="A996" s="223" t="s">
        <v>94</v>
      </c>
      <c r="B996" s="128">
        <f>C996*1.33</f>
        <v>23.94</v>
      </c>
      <c r="C996" s="273">
        <v>18</v>
      </c>
      <c r="D996" s="331"/>
      <c r="E996" s="173"/>
    </row>
    <row r="997" spans="1:5" s="82" customFormat="1">
      <c r="A997" s="318" t="s">
        <v>95</v>
      </c>
      <c r="B997" s="334">
        <f>C997*1.19</f>
        <v>14.28</v>
      </c>
      <c r="C997" s="273">
        <v>12</v>
      </c>
      <c r="D997" s="331"/>
      <c r="E997" s="173"/>
    </row>
    <row r="998" spans="1:5" s="82" customFormat="1">
      <c r="A998" s="206" t="s">
        <v>84</v>
      </c>
      <c r="B998" s="5">
        <f>C998</f>
        <v>30</v>
      </c>
      <c r="C998" s="5">
        <v>30</v>
      </c>
      <c r="D998" s="7"/>
      <c r="E998" s="173"/>
    </row>
    <row r="999" spans="1:5" s="82" customFormat="1">
      <c r="A999" s="335" t="s">
        <v>217</v>
      </c>
      <c r="B999" s="5">
        <f>C999</f>
        <v>80</v>
      </c>
      <c r="C999" s="5">
        <v>80</v>
      </c>
      <c r="D999" s="7"/>
      <c r="E999" s="173"/>
    </row>
    <row r="1000" spans="1:5" s="82" customFormat="1">
      <c r="A1000" s="207" t="s">
        <v>147</v>
      </c>
      <c r="B1000" s="5">
        <f>C1000</f>
        <v>3</v>
      </c>
      <c r="C1000" s="5">
        <v>3</v>
      </c>
      <c r="D1000" s="7"/>
      <c r="E1000" s="173"/>
    </row>
    <row r="1001" spans="1:5" s="82" customFormat="1">
      <c r="A1001" s="235" t="s">
        <v>102</v>
      </c>
      <c r="B1001" s="83">
        <f>C1001</f>
        <v>1.5</v>
      </c>
      <c r="C1001" s="83">
        <v>1.5</v>
      </c>
      <c r="D1001" s="269"/>
      <c r="E1001" s="173"/>
    </row>
    <row r="1002" spans="1:5" s="82" customFormat="1">
      <c r="A1002" s="196" t="s">
        <v>333</v>
      </c>
      <c r="B1002" s="83">
        <f>C1002*1.6</f>
        <v>16</v>
      </c>
      <c r="C1002" s="83">
        <v>10</v>
      </c>
      <c r="D1002" s="269"/>
      <c r="E1002" s="173"/>
    </row>
    <row r="1003" spans="1:5" s="82" customFormat="1">
      <c r="A1003" s="336" t="s">
        <v>223</v>
      </c>
      <c r="B1003" s="337"/>
      <c r="C1003" s="338"/>
      <c r="D1003" s="127" t="s">
        <v>123</v>
      </c>
      <c r="E1003" s="173"/>
    </row>
    <row r="1004" spans="1:5" s="82" customFormat="1">
      <c r="A1004" s="339" t="s">
        <v>218</v>
      </c>
      <c r="B1004" s="227">
        <f>C1004*1.02</f>
        <v>67.534199999999998</v>
      </c>
      <c r="C1004" s="227">
        <v>66.209999999999994</v>
      </c>
      <c r="D1004" s="158"/>
      <c r="E1004" s="173"/>
    </row>
    <row r="1005" spans="1:5" s="82" customFormat="1">
      <c r="A1005" s="206" t="s">
        <v>95</v>
      </c>
      <c r="B1005" s="233">
        <f>C1005*1.19</f>
        <v>14.6846</v>
      </c>
      <c r="C1005" s="203">
        <v>12.34</v>
      </c>
      <c r="D1005" s="158"/>
      <c r="E1005" s="187"/>
    </row>
    <row r="1006" spans="1:5" s="82" customFormat="1">
      <c r="A1006" s="206" t="s">
        <v>219</v>
      </c>
      <c r="B1006" s="233">
        <f>C1006</f>
        <v>8.36</v>
      </c>
      <c r="C1006" s="203">
        <v>8.36</v>
      </c>
      <c r="D1006" s="158"/>
      <c r="E1006" s="173"/>
    </row>
    <row r="1007" spans="1:5" s="82" customFormat="1">
      <c r="A1007" s="235" t="s">
        <v>102</v>
      </c>
      <c r="B1007" s="83">
        <f>C1007</f>
        <v>0.9</v>
      </c>
      <c r="C1007" s="83">
        <v>0.9</v>
      </c>
      <c r="D1007" s="158"/>
      <c r="E1007" s="173"/>
    </row>
    <row r="1008" spans="1:5" s="82" customFormat="1">
      <c r="A1008" s="206" t="s">
        <v>98</v>
      </c>
      <c r="B1008" s="233">
        <f>C1008</f>
        <v>2.31</v>
      </c>
      <c r="C1008" s="203">
        <v>2.31</v>
      </c>
      <c r="D1008" s="158"/>
      <c r="E1008" s="173"/>
    </row>
    <row r="1009" spans="1:5" s="82" customFormat="1">
      <c r="A1009" s="340" t="s">
        <v>107</v>
      </c>
      <c r="B1009" s="203">
        <f>C1009</f>
        <v>6.4</v>
      </c>
      <c r="C1009" s="203">
        <v>6.4</v>
      </c>
      <c r="D1009" s="158"/>
      <c r="E1009" s="173"/>
    </row>
    <row r="1010" spans="1:5" s="82" customFormat="1">
      <c r="A1010" s="344" t="s">
        <v>99</v>
      </c>
      <c r="B1010" s="345"/>
      <c r="C1010" s="346">
        <v>106.2</v>
      </c>
      <c r="D1010" s="158"/>
      <c r="E1010" s="173"/>
    </row>
    <row r="1011" spans="1:5" s="82" customFormat="1">
      <c r="A1011" s="206" t="s">
        <v>90</v>
      </c>
      <c r="B1011" s="233">
        <f>C1011</f>
        <v>0.8</v>
      </c>
      <c r="C1011" s="227">
        <v>0.8</v>
      </c>
      <c r="D1011" s="158"/>
      <c r="E1011" s="187"/>
    </row>
    <row r="1012" spans="1:5" s="82" customFormat="1">
      <c r="A1012" s="418" t="s">
        <v>220</v>
      </c>
      <c r="B1012" s="430"/>
      <c r="C1012" s="431">
        <v>30</v>
      </c>
      <c r="D1012" s="158"/>
      <c r="E1012" s="173"/>
    </row>
    <row r="1013" spans="1:5" s="82" customFormat="1">
      <c r="A1013" s="210" t="s">
        <v>107</v>
      </c>
      <c r="B1013" s="128">
        <f>C1013</f>
        <v>2.5</v>
      </c>
      <c r="C1013" s="128">
        <v>2.5</v>
      </c>
      <c r="D1013" s="158"/>
      <c r="E1013" s="173"/>
    </row>
    <row r="1014" spans="1:5" s="82" customFormat="1">
      <c r="A1014" s="235" t="s">
        <v>102</v>
      </c>
      <c r="B1014" s="83">
        <f>C1014</f>
        <v>0.3</v>
      </c>
      <c r="C1014" s="83">
        <v>0.3</v>
      </c>
      <c r="D1014" s="158"/>
      <c r="E1014" s="173"/>
    </row>
    <row r="1015" spans="1:5" s="82" customFormat="1">
      <c r="A1015" s="342" t="s">
        <v>105</v>
      </c>
      <c r="B1015" s="128">
        <f>C1015</f>
        <v>22.5</v>
      </c>
      <c r="C1015" s="343">
        <v>22.5</v>
      </c>
      <c r="D1015" s="158"/>
      <c r="E1015" s="173"/>
    </row>
    <row r="1016" spans="1:5" s="82" customFormat="1">
      <c r="A1016" s="245" t="s">
        <v>146</v>
      </c>
      <c r="B1016" s="241">
        <f>C1016</f>
        <v>6</v>
      </c>
      <c r="C1016" s="128">
        <v>6</v>
      </c>
      <c r="D1016" s="158"/>
    </row>
    <row r="1017" spans="1:5" s="82" customFormat="1">
      <c r="A1017" s="513" t="s">
        <v>132</v>
      </c>
      <c r="B1017" s="513"/>
      <c r="C1017" s="513"/>
      <c r="D1017" s="181">
        <v>150</v>
      </c>
    </row>
    <row r="1018" spans="1:5" s="82" customFormat="1">
      <c r="A1018" s="347" t="s">
        <v>131</v>
      </c>
      <c r="B1018" s="128">
        <f>C1018</f>
        <v>52.5</v>
      </c>
      <c r="C1018" s="128">
        <v>52.5</v>
      </c>
      <c r="D1018" s="348"/>
      <c r="E1018"/>
    </row>
    <row r="1019" spans="1:5" s="187" customFormat="1">
      <c r="A1019" s="235" t="s">
        <v>102</v>
      </c>
      <c r="B1019" s="83">
        <f>C1019</f>
        <v>1.2</v>
      </c>
      <c r="C1019" s="83">
        <v>1.2</v>
      </c>
      <c r="D1019" s="348"/>
      <c r="E1019"/>
    </row>
    <row r="1020" spans="1:5" s="173" customFormat="1">
      <c r="A1020" s="207" t="s">
        <v>147</v>
      </c>
      <c r="B1020" s="128">
        <f>C1020</f>
        <v>5</v>
      </c>
      <c r="C1020" s="128">
        <v>5</v>
      </c>
      <c r="D1020" s="348"/>
      <c r="E1020" s="189"/>
    </row>
    <row r="1021" spans="1:5" s="173" customFormat="1">
      <c r="A1021" s="514" t="s">
        <v>115</v>
      </c>
      <c r="B1021" s="515"/>
      <c r="C1021" s="516"/>
      <c r="D1021" s="130">
        <v>180</v>
      </c>
      <c r="E1021" s="82"/>
    </row>
    <row r="1022" spans="1:5" s="173" customFormat="1">
      <c r="A1022" s="223" t="s">
        <v>116</v>
      </c>
      <c r="B1022" s="128">
        <f>C1022</f>
        <v>20</v>
      </c>
      <c r="C1022" s="128">
        <v>20</v>
      </c>
      <c r="D1022" s="247"/>
      <c r="E1022" s="82"/>
    </row>
    <row r="1023" spans="1:5" s="173" customFormat="1">
      <c r="A1023" s="202" t="s">
        <v>103</v>
      </c>
      <c r="B1023" s="128">
        <f>C1023</f>
        <v>8</v>
      </c>
      <c r="C1023" s="128">
        <v>8</v>
      </c>
      <c r="D1023" s="247"/>
      <c r="E1023" s="82"/>
    </row>
    <row r="1024" spans="1:5" s="173" customFormat="1">
      <c r="A1024" s="223" t="s">
        <v>105</v>
      </c>
      <c r="B1024" s="128">
        <f>C1024</f>
        <v>185</v>
      </c>
      <c r="C1024" s="128">
        <v>185</v>
      </c>
      <c r="D1024" s="247"/>
      <c r="E1024" s="82"/>
    </row>
    <row r="1025" spans="1:5" s="173" customFormat="1">
      <c r="A1025" s="215" t="s">
        <v>331</v>
      </c>
      <c r="B1025" s="128"/>
      <c r="C1025" s="83"/>
      <c r="D1025" s="139">
        <v>40</v>
      </c>
      <c r="E1025" s="82"/>
    </row>
    <row r="1026" spans="1:5" s="173" customFormat="1">
      <c r="A1026" s="254" t="s">
        <v>332</v>
      </c>
      <c r="B1026" s="126"/>
      <c r="C1026" s="126"/>
      <c r="D1026" s="130">
        <v>25</v>
      </c>
      <c r="E1026" s="82"/>
    </row>
    <row r="1027" spans="1:5" ht="19.5">
      <c r="A1027" s="4" t="s">
        <v>7</v>
      </c>
      <c r="B1027" s="10"/>
      <c r="C1027" s="10"/>
      <c r="D1027" s="10"/>
    </row>
    <row r="1028" spans="1:5" s="82" customFormat="1">
      <c r="A1028" s="80" t="s">
        <v>307</v>
      </c>
      <c r="B1028" s="80"/>
      <c r="C1028" s="80"/>
      <c r="D1028" s="153">
        <v>100</v>
      </c>
    </row>
    <row r="1029" spans="1:5" s="82" customFormat="1">
      <c r="A1029" s="450" t="s">
        <v>305</v>
      </c>
      <c r="B1029" s="420"/>
      <c r="C1029" s="421">
        <v>70</v>
      </c>
      <c r="D1029" s="79"/>
    </row>
    <row r="1030" spans="1:5" s="82" customFormat="1">
      <c r="A1030" s="340" t="s">
        <v>107</v>
      </c>
      <c r="B1030" s="128">
        <f t="shared" ref="B1030:B1036" si="36">C1030</f>
        <v>38.200000000000003</v>
      </c>
      <c r="C1030" s="83">
        <v>38.200000000000003</v>
      </c>
      <c r="D1030" s="14"/>
    </row>
    <row r="1031" spans="1:5" s="82" customFormat="1">
      <c r="A1031" s="202" t="s">
        <v>103</v>
      </c>
      <c r="B1031" s="128">
        <f t="shared" si="36"/>
        <v>5</v>
      </c>
      <c r="C1031" s="237">
        <v>5</v>
      </c>
      <c r="D1031" s="14"/>
    </row>
    <row r="1032" spans="1:5" s="82" customFormat="1">
      <c r="A1032" s="321" t="s">
        <v>90</v>
      </c>
      <c r="B1032" s="128">
        <f t="shared" si="36"/>
        <v>9.1</v>
      </c>
      <c r="C1032" s="237">
        <v>9.1</v>
      </c>
      <c r="D1032" s="14"/>
    </row>
    <row r="1033" spans="1:5" s="82" customFormat="1">
      <c r="A1033" s="235" t="s">
        <v>102</v>
      </c>
      <c r="B1033" s="128">
        <f t="shared" si="36"/>
        <v>0.35</v>
      </c>
      <c r="C1033" s="237">
        <v>0.35</v>
      </c>
      <c r="D1033" s="14"/>
    </row>
    <row r="1034" spans="1:5" s="82" customFormat="1">
      <c r="A1034" s="304" t="s">
        <v>117</v>
      </c>
      <c r="B1034" s="448">
        <f t="shared" si="36"/>
        <v>0.5</v>
      </c>
      <c r="C1034" s="448">
        <v>0.5</v>
      </c>
      <c r="D1034" s="14"/>
    </row>
    <row r="1035" spans="1:5" s="82" customFormat="1">
      <c r="A1035" s="206"/>
      <c r="B1035" s="237"/>
      <c r="C1035" s="237"/>
      <c r="D1035" s="14"/>
    </row>
    <row r="1036" spans="1:5" s="82" customFormat="1">
      <c r="A1036" s="370" t="s">
        <v>105</v>
      </c>
      <c r="B1036" s="237">
        <f t="shared" si="36"/>
        <v>18.399999999999999</v>
      </c>
      <c r="C1036" s="237">
        <v>18.399999999999999</v>
      </c>
      <c r="D1036" s="14"/>
    </row>
    <row r="1037" spans="1:5" s="82" customFormat="1">
      <c r="A1037" s="450" t="s">
        <v>308</v>
      </c>
      <c r="B1037" s="451"/>
      <c r="C1037" s="420"/>
      <c r="D1037" s="79"/>
    </row>
    <row r="1038" spans="1:5" s="82" customFormat="1">
      <c r="A1038" s="223" t="s">
        <v>93</v>
      </c>
      <c r="B1038" s="227">
        <f>C1038*1.67</f>
        <v>75.149999999999991</v>
      </c>
      <c r="C1038" s="237">
        <v>45</v>
      </c>
      <c r="D1038" s="79"/>
    </row>
    <row r="1039" spans="1:5" s="82" customFormat="1">
      <c r="A1039" s="206" t="s">
        <v>84</v>
      </c>
      <c r="B1039" s="237">
        <f>C1039*1.05</f>
        <v>2.625</v>
      </c>
      <c r="C1039" s="237">
        <v>2.5</v>
      </c>
      <c r="D1039" s="79"/>
    </row>
    <row r="1040" spans="1:5" s="82" customFormat="1">
      <c r="A1040" s="207" t="s">
        <v>147</v>
      </c>
      <c r="B1040" s="237">
        <f>C1040</f>
        <v>1.2</v>
      </c>
      <c r="C1040" s="237">
        <v>1.2</v>
      </c>
      <c r="D1040" s="79"/>
    </row>
    <row r="1041" spans="1:4" s="82" customFormat="1">
      <c r="A1041" s="235" t="s">
        <v>102</v>
      </c>
      <c r="B1041" s="237">
        <f t="shared" ref="B1041:B1047" si="37">C1041</f>
        <v>0.3</v>
      </c>
      <c r="C1041" s="237">
        <v>0.3</v>
      </c>
      <c r="D1041" s="79"/>
    </row>
    <row r="1042" spans="1:4" s="82" customFormat="1">
      <c r="A1042" s="452" t="s">
        <v>309</v>
      </c>
      <c r="B1042" s="420"/>
      <c r="C1042" s="420">
        <v>48.7</v>
      </c>
      <c r="D1042" s="79"/>
    </row>
    <row r="1043" spans="1:4" s="82" customFormat="1">
      <c r="A1043" s="220" t="s">
        <v>306</v>
      </c>
      <c r="B1043" s="237">
        <f t="shared" si="37"/>
        <v>0.7</v>
      </c>
      <c r="C1043" s="237">
        <v>0.7</v>
      </c>
      <c r="D1043" s="79"/>
    </row>
    <row r="1044" spans="1:4" s="82" customFormat="1">
      <c r="A1044" s="318" t="s">
        <v>310</v>
      </c>
      <c r="B1044" s="273">
        <f>C1044</f>
        <v>1.3</v>
      </c>
      <c r="C1044" s="273">
        <v>1.3</v>
      </c>
      <c r="D1044" s="79"/>
    </row>
    <row r="1045" spans="1:4" s="82" customFormat="1">
      <c r="A1045" s="319" t="s">
        <v>99</v>
      </c>
      <c r="B1045" s="453"/>
      <c r="C1045" s="454">
        <v>120</v>
      </c>
      <c r="D1045" s="79"/>
    </row>
    <row r="1046" spans="1:4" s="187" customFormat="1">
      <c r="A1046" s="275" t="s">
        <v>159</v>
      </c>
      <c r="B1046" s="273">
        <f>C1046</f>
        <v>2</v>
      </c>
      <c r="C1046" s="273">
        <v>2</v>
      </c>
      <c r="D1046" s="73"/>
    </row>
    <row r="1047" spans="1:4" s="82" customFormat="1">
      <c r="A1047" s="449" t="s">
        <v>135</v>
      </c>
      <c r="B1047" s="237">
        <f t="shared" si="37"/>
        <v>1</v>
      </c>
      <c r="C1047" s="237">
        <v>1</v>
      </c>
      <c r="D1047" s="79"/>
    </row>
    <row r="1048" spans="1:4" s="82" customFormat="1">
      <c r="A1048" s="162" t="s">
        <v>140</v>
      </c>
      <c r="B1048" s="162"/>
      <c r="C1048" s="162"/>
      <c r="D1048" s="163" t="s">
        <v>82</v>
      </c>
    </row>
    <row r="1049" spans="1:4" s="82" customFormat="1">
      <c r="A1049" s="323" t="s">
        <v>141</v>
      </c>
      <c r="B1049" s="197">
        <f>C1049</f>
        <v>200</v>
      </c>
      <c r="C1049" s="197">
        <v>200</v>
      </c>
      <c r="D1049" s="164"/>
    </row>
    <row r="1050" spans="1:4" ht="18.75">
      <c r="A1050" s="74" t="s">
        <v>68</v>
      </c>
      <c r="B1050" s="75"/>
      <c r="C1050" s="75"/>
      <c r="D1050" s="76"/>
    </row>
    <row r="1051" spans="1:4" ht="18.75">
      <c r="A1051" s="3" t="s">
        <v>74</v>
      </c>
      <c r="B1051" s="517"/>
      <c r="C1051" s="518"/>
      <c r="D1051" s="518"/>
    </row>
    <row r="1052" spans="1:4" ht="19.5">
      <c r="A1052" s="4" t="s">
        <v>5</v>
      </c>
      <c r="B1052" s="4"/>
      <c r="C1052" s="4"/>
      <c r="D1052" s="68"/>
    </row>
    <row r="1053" spans="1:4" s="82" customFormat="1">
      <c r="A1053" s="307" t="s">
        <v>85</v>
      </c>
      <c r="B1053" s="288"/>
      <c r="C1053" s="288"/>
      <c r="D1053" s="209" t="s">
        <v>236</v>
      </c>
    </row>
    <row r="1054" spans="1:4" s="82" customFormat="1">
      <c r="A1054" s="196" t="s">
        <v>333</v>
      </c>
      <c r="B1054" s="288">
        <f>C1054</f>
        <v>20</v>
      </c>
      <c r="C1054" s="288">
        <v>20</v>
      </c>
      <c r="D1054" s="209"/>
    </row>
    <row r="1055" spans="1:4" s="82" customFormat="1">
      <c r="A1055" s="207" t="s">
        <v>147</v>
      </c>
      <c r="B1055" s="288">
        <f>C1055</f>
        <v>8</v>
      </c>
      <c r="C1055" s="143">
        <v>8</v>
      </c>
      <c r="D1055" s="283"/>
    </row>
    <row r="1056" spans="1:4" s="82" customFormat="1">
      <c r="A1056" s="497" t="s">
        <v>228</v>
      </c>
      <c r="B1056" s="498"/>
      <c r="C1056" s="499"/>
      <c r="D1056" s="168" t="s">
        <v>185</v>
      </c>
    </row>
    <row r="1057" spans="1:4" s="82" customFormat="1">
      <c r="A1057" s="206" t="s">
        <v>219</v>
      </c>
      <c r="B1057" s="203">
        <f>C1057</f>
        <v>25</v>
      </c>
      <c r="C1057" s="203">
        <v>25</v>
      </c>
      <c r="D1057" s="204"/>
    </row>
    <row r="1058" spans="1:4" s="82" customFormat="1">
      <c r="A1058" s="205" t="s">
        <v>83</v>
      </c>
      <c r="B1058" s="203">
        <f>C1058</f>
        <v>86</v>
      </c>
      <c r="C1058" s="5">
        <v>86</v>
      </c>
      <c r="D1058" s="204"/>
    </row>
    <row r="1059" spans="1:4" s="82" customFormat="1">
      <c r="A1059" s="206" t="s">
        <v>84</v>
      </c>
      <c r="B1059" s="203">
        <f>C1059</f>
        <v>96</v>
      </c>
      <c r="C1059" s="5">
        <v>96</v>
      </c>
      <c r="D1059" s="204"/>
    </row>
    <row r="1060" spans="1:4" s="82" customFormat="1">
      <c r="A1060" s="202" t="s">
        <v>103</v>
      </c>
      <c r="B1060" s="203">
        <f>C1060</f>
        <v>4</v>
      </c>
      <c r="C1060" s="203">
        <v>4</v>
      </c>
      <c r="D1060" s="204"/>
    </row>
    <row r="1061" spans="1:4" s="82" customFormat="1">
      <c r="A1061" s="235" t="s">
        <v>102</v>
      </c>
      <c r="B1061" s="257">
        <f t="shared" ref="B1061" si="38">C1061</f>
        <v>0.8</v>
      </c>
      <c r="C1061" s="237">
        <v>0.8</v>
      </c>
      <c r="D1061" s="204"/>
    </row>
    <row r="1062" spans="1:4" s="82" customFormat="1">
      <c r="A1062" s="207" t="s">
        <v>147</v>
      </c>
      <c r="B1062" s="203">
        <f>C1062</f>
        <v>3</v>
      </c>
      <c r="C1062" s="203">
        <v>3</v>
      </c>
      <c r="D1062" s="204"/>
    </row>
    <row r="1063" spans="1:4" s="82" customFormat="1">
      <c r="A1063" s="500" t="s">
        <v>87</v>
      </c>
      <c r="B1063" s="501"/>
      <c r="C1063" s="502"/>
      <c r="D1063" s="311">
        <v>200</v>
      </c>
    </row>
    <row r="1064" spans="1:4" s="82" customFormat="1">
      <c r="A1064" s="312" t="s">
        <v>88</v>
      </c>
      <c r="B1064" s="143">
        <f>C1064</f>
        <v>1.5</v>
      </c>
      <c r="C1064" s="143">
        <v>1.5</v>
      </c>
      <c r="D1064" s="145"/>
    </row>
    <row r="1065" spans="1:4" s="82" customFormat="1">
      <c r="A1065" s="206" t="s">
        <v>84</v>
      </c>
      <c r="B1065" s="143">
        <f>C1065</f>
        <v>100</v>
      </c>
      <c r="C1065" s="227">
        <v>100</v>
      </c>
      <c r="D1065" s="238"/>
    </row>
    <row r="1066" spans="1:4" s="82" customFormat="1">
      <c r="A1066" s="213" t="s">
        <v>105</v>
      </c>
      <c r="B1066" s="214">
        <f>C1066</f>
        <v>100</v>
      </c>
      <c r="C1066" s="214">
        <v>100</v>
      </c>
      <c r="D1066" s="238"/>
    </row>
    <row r="1067" spans="1:4" s="82" customFormat="1">
      <c r="A1067" s="202" t="s">
        <v>103</v>
      </c>
      <c r="B1067" s="143">
        <f>C1067</f>
        <v>9</v>
      </c>
      <c r="C1067" s="227">
        <v>9</v>
      </c>
      <c r="D1067" s="238"/>
    </row>
    <row r="1068" spans="1:4" s="82" customFormat="1">
      <c r="A1068" s="278" t="s">
        <v>119</v>
      </c>
      <c r="B1068" s="278"/>
      <c r="C1068" s="278"/>
      <c r="D1068" s="130">
        <v>120</v>
      </c>
    </row>
    <row r="1069" spans="1:4" s="82" customFormat="1">
      <c r="A1069" s="215" t="s">
        <v>331</v>
      </c>
      <c r="B1069" s="128"/>
      <c r="C1069" s="83"/>
      <c r="D1069" s="139">
        <v>30</v>
      </c>
    </row>
    <row r="1070" spans="1:4" ht="19.5">
      <c r="A1070" s="4" t="s">
        <v>6</v>
      </c>
      <c r="B1070" s="69"/>
      <c r="C1070" s="69"/>
      <c r="D1070" s="69"/>
    </row>
    <row r="1071" spans="1:4" ht="28.5">
      <c r="A1071" s="217" t="s">
        <v>170</v>
      </c>
      <c r="B1071" s="218"/>
      <c r="C1071" s="218"/>
      <c r="D1071" s="219">
        <v>60</v>
      </c>
    </row>
    <row r="1072" spans="1:4">
      <c r="A1072" s="220" t="s">
        <v>136</v>
      </c>
      <c r="B1072" s="221">
        <f>C1072*1.25</f>
        <v>66.25</v>
      </c>
      <c r="C1072" s="221">
        <v>53</v>
      </c>
      <c r="D1072" s="222"/>
    </row>
    <row r="1073" spans="1:4">
      <c r="A1073" s="223" t="s">
        <v>94</v>
      </c>
      <c r="B1073" s="128">
        <f>C1073*1.33</f>
        <v>9.31</v>
      </c>
      <c r="C1073" s="128">
        <v>7</v>
      </c>
      <c r="D1073" s="222"/>
    </row>
    <row r="1074" spans="1:4">
      <c r="A1074" s="357" t="s">
        <v>104</v>
      </c>
      <c r="B1074" s="128">
        <f>C1074</f>
        <v>0.1</v>
      </c>
      <c r="C1074" s="128">
        <v>0.1</v>
      </c>
      <c r="D1074" s="222"/>
    </row>
    <row r="1075" spans="1:4">
      <c r="A1075" s="235" t="s">
        <v>102</v>
      </c>
      <c r="B1075" s="224">
        <f>C1075</f>
        <v>0.7</v>
      </c>
      <c r="C1075" s="224">
        <v>0.7</v>
      </c>
      <c r="D1075" s="222"/>
    </row>
    <row r="1076" spans="1:4">
      <c r="A1076" s="202" t="s">
        <v>103</v>
      </c>
      <c r="B1076" s="224">
        <f>C1076</f>
        <v>2</v>
      </c>
      <c r="C1076" s="224">
        <v>2</v>
      </c>
      <c r="D1076" s="222"/>
    </row>
    <row r="1077" spans="1:4">
      <c r="A1077" s="225" t="s">
        <v>90</v>
      </c>
      <c r="B1077" s="224">
        <f>C1077</f>
        <v>4</v>
      </c>
      <c r="C1077" s="224">
        <v>4</v>
      </c>
      <c r="D1077" s="222"/>
    </row>
    <row r="1078" spans="1:4">
      <c r="A1078" s="223" t="s">
        <v>83</v>
      </c>
      <c r="B1078" s="128">
        <f>C1078</f>
        <v>2.64</v>
      </c>
      <c r="C1078" s="128">
        <v>2.64</v>
      </c>
      <c r="D1078" s="222"/>
    </row>
    <row r="1079" spans="1:4">
      <c r="A1079" s="210" t="s">
        <v>169</v>
      </c>
      <c r="B1079" s="128">
        <f>C1079*1.35</f>
        <v>0.67500000000000004</v>
      </c>
      <c r="C1079" s="144">
        <v>0.5</v>
      </c>
      <c r="D1079" s="222"/>
    </row>
    <row r="1080" spans="1:4">
      <c r="A1080" s="503" t="s">
        <v>311</v>
      </c>
      <c r="B1080" s="504"/>
      <c r="C1080" s="505"/>
      <c r="D1080" s="374" t="s">
        <v>216</v>
      </c>
    </row>
    <row r="1081" spans="1:4">
      <c r="A1081" s="223" t="s">
        <v>93</v>
      </c>
      <c r="B1081" s="227">
        <f>C1081*1.67</f>
        <v>83.5</v>
      </c>
      <c r="C1081" s="128">
        <v>50</v>
      </c>
      <c r="D1081" s="115"/>
    </row>
    <row r="1082" spans="1:4">
      <c r="A1082" s="223" t="s">
        <v>114</v>
      </c>
      <c r="B1082" s="128">
        <f>C1082</f>
        <v>20</v>
      </c>
      <c r="C1082" s="128">
        <v>20</v>
      </c>
      <c r="D1082" s="115"/>
    </row>
    <row r="1083" spans="1:4">
      <c r="A1083" s="223" t="s">
        <v>173</v>
      </c>
      <c r="B1083" s="128">
        <f>C1083</f>
        <v>5</v>
      </c>
      <c r="C1083" s="128">
        <v>5</v>
      </c>
      <c r="D1083" s="115"/>
    </row>
    <row r="1084" spans="1:4">
      <c r="A1084" s="223" t="s">
        <v>95</v>
      </c>
      <c r="B1084" s="128">
        <f>C1084*1.19</f>
        <v>9.52</v>
      </c>
      <c r="C1084" s="128">
        <v>8</v>
      </c>
      <c r="D1084" s="115"/>
    </row>
    <row r="1085" spans="1:4">
      <c r="A1085" s="223" t="s">
        <v>94</v>
      </c>
      <c r="B1085" s="128">
        <f>C1085*1.33</f>
        <v>17.29</v>
      </c>
      <c r="C1085" s="128">
        <v>13</v>
      </c>
      <c r="D1085" s="115"/>
    </row>
    <row r="1086" spans="1:4">
      <c r="A1086" s="235" t="s">
        <v>102</v>
      </c>
      <c r="B1086" s="128">
        <f>C1086</f>
        <v>1.5</v>
      </c>
      <c r="C1086" s="128">
        <v>1.5</v>
      </c>
      <c r="D1086" s="115"/>
    </row>
    <row r="1087" spans="1:4">
      <c r="A1087" s="223" t="s">
        <v>312</v>
      </c>
      <c r="B1087" s="128">
        <f>C1087</f>
        <v>175</v>
      </c>
      <c r="C1087" s="128">
        <v>175</v>
      </c>
      <c r="D1087" s="115"/>
    </row>
    <row r="1088" spans="1:4">
      <c r="A1088" s="196" t="s">
        <v>333</v>
      </c>
      <c r="B1088" s="128">
        <f>C1088*1.6</f>
        <v>16</v>
      </c>
      <c r="C1088" s="128">
        <v>10</v>
      </c>
      <c r="D1088" s="115"/>
    </row>
    <row r="1089" spans="1:5">
      <c r="A1089" s="506" t="s">
        <v>267</v>
      </c>
      <c r="B1089" s="507"/>
      <c r="C1089" s="508"/>
      <c r="D1089" s="161">
        <v>90</v>
      </c>
      <c r="E1089" s="82"/>
    </row>
    <row r="1090" spans="1:5">
      <c r="A1090" s="318" t="s">
        <v>112</v>
      </c>
      <c r="B1090" s="233">
        <f>C1090*1.05</f>
        <v>67.2</v>
      </c>
      <c r="C1090" s="233">
        <f>C1091*1.6</f>
        <v>64</v>
      </c>
      <c r="D1090" s="274"/>
      <c r="E1090" s="82"/>
    </row>
    <row r="1091" spans="1:5">
      <c r="A1091" s="319" t="s">
        <v>143</v>
      </c>
      <c r="B1091" s="259"/>
      <c r="C1091" s="427">
        <v>40</v>
      </c>
      <c r="D1091" s="274"/>
      <c r="E1091" s="82"/>
    </row>
    <row r="1092" spans="1:5">
      <c r="A1092" s="245" t="s">
        <v>146</v>
      </c>
      <c r="B1092" s="241">
        <f>C1092</f>
        <v>5</v>
      </c>
      <c r="C1092" s="144">
        <v>5</v>
      </c>
      <c r="D1092" s="124"/>
      <c r="E1092" s="82"/>
    </row>
    <row r="1093" spans="1:5">
      <c r="A1093" s="223" t="s">
        <v>95</v>
      </c>
      <c r="B1093" s="128">
        <f>C1093*1.19</f>
        <v>7.14</v>
      </c>
      <c r="C1093" s="128">
        <v>6</v>
      </c>
      <c r="D1093" s="124"/>
      <c r="E1093" s="82"/>
    </row>
    <row r="1094" spans="1:5">
      <c r="A1094" s="223" t="s">
        <v>96</v>
      </c>
      <c r="B1094" s="128">
        <f>C1094*1.9</f>
        <v>19</v>
      </c>
      <c r="C1094" s="128">
        <v>10</v>
      </c>
      <c r="D1094" s="124"/>
      <c r="E1094" s="82"/>
    </row>
    <row r="1095" spans="1:5">
      <c r="A1095" s="210" t="s">
        <v>107</v>
      </c>
      <c r="B1095" s="128">
        <f>C1095</f>
        <v>2.5</v>
      </c>
      <c r="C1095" s="128">
        <v>2.5</v>
      </c>
      <c r="D1095" s="124"/>
      <c r="E1095" s="82"/>
    </row>
    <row r="1096" spans="1:5">
      <c r="A1096" s="223" t="s">
        <v>90</v>
      </c>
      <c r="B1096" s="128">
        <f>C1096</f>
        <v>2</v>
      </c>
      <c r="C1096" s="128">
        <v>2</v>
      </c>
      <c r="D1096" s="124"/>
      <c r="E1096" s="82"/>
    </row>
    <row r="1097" spans="1:5">
      <c r="A1097" s="235" t="s">
        <v>102</v>
      </c>
      <c r="B1097" s="5">
        <f>C1097</f>
        <v>1.2</v>
      </c>
      <c r="C1097" s="5">
        <v>1.2</v>
      </c>
      <c r="D1097" s="124"/>
      <c r="E1097" s="82"/>
    </row>
    <row r="1098" spans="1:5">
      <c r="A1098" s="223" t="s">
        <v>105</v>
      </c>
      <c r="B1098" s="128">
        <f>C1098</f>
        <v>40</v>
      </c>
      <c r="C1098" s="128">
        <v>40</v>
      </c>
      <c r="D1098" s="124"/>
      <c r="E1098" s="82"/>
    </row>
    <row r="1099" spans="1:5">
      <c r="A1099" s="509" t="s">
        <v>268</v>
      </c>
      <c r="B1099" s="509"/>
      <c r="C1099" s="509"/>
      <c r="D1099" s="139">
        <v>150</v>
      </c>
      <c r="E1099" s="82"/>
    </row>
    <row r="1100" spans="1:5">
      <c r="A1100" s="223" t="s">
        <v>101</v>
      </c>
      <c r="B1100" s="128">
        <f>C1100</f>
        <v>52</v>
      </c>
      <c r="C1100" s="128">
        <v>52</v>
      </c>
      <c r="D1100" s="143"/>
      <c r="E1100" s="82"/>
    </row>
    <row r="1101" spans="1:5">
      <c r="A1101" s="223" t="s">
        <v>105</v>
      </c>
      <c r="B1101" s="128">
        <f>C1101</f>
        <v>102.5</v>
      </c>
      <c r="C1101" s="128">
        <v>102.5</v>
      </c>
      <c r="D1101" s="143"/>
      <c r="E1101" s="82"/>
    </row>
    <row r="1102" spans="1:5">
      <c r="A1102" s="207" t="s">
        <v>147</v>
      </c>
      <c r="B1102" s="128">
        <f>C1102</f>
        <v>4</v>
      </c>
      <c r="C1102" s="128">
        <v>4</v>
      </c>
      <c r="D1102" s="143"/>
      <c r="E1102" s="82"/>
    </row>
    <row r="1103" spans="1:5">
      <c r="A1103" s="235" t="s">
        <v>102</v>
      </c>
      <c r="B1103" s="144">
        <f>C1103</f>
        <v>1.5</v>
      </c>
      <c r="C1103" s="144">
        <v>1.5</v>
      </c>
      <c r="D1103" s="288"/>
      <c r="E1103" s="82"/>
    </row>
    <row r="1104" spans="1:5">
      <c r="A1104" s="491" t="s">
        <v>269</v>
      </c>
      <c r="B1104" s="492"/>
      <c r="C1104" s="493"/>
      <c r="D1104" s="294">
        <v>180</v>
      </c>
      <c r="E1104" s="82"/>
    </row>
    <row r="1105" spans="1:5">
      <c r="A1105" s="295" t="s">
        <v>160</v>
      </c>
      <c r="B1105" s="237">
        <f>C1105</f>
        <v>18</v>
      </c>
      <c r="C1105" s="237">
        <v>18</v>
      </c>
      <c r="D1105" s="283"/>
      <c r="E1105" s="82"/>
    </row>
    <row r="1106" spans="1:5">
      <c r="A1106" s="202" t="s">
        <v>103</v>
      </c>
      <c r="B1106" s="128">
        <f>C1106</f>
        <v>10</v>
      </c>
      <c r="C1106" s="128">
        <v>10</v>
      </c>
      <c r="D1106" s="283"/>
      <c r="E1106" s="82"/>
    </row>
    <row r="1107" spans="1:5">
      <c r="A1107" s="295" t="s">
        <v>195</v>
      </c>
      <c r="B1107" s="128">
        <f>C1107</f>
        <v>0.06</v>
      </c>
      <c r="C1107" s="128">
        <v>0.06</v>
      </c>
      <c r="D1107" s="283"/>
      <c r="E1107" s="82"/>
    </row>
    <row r="1108" spans="1:5">
      <c r="A1108" s="295" t="s">
        <v>105</v>
      </c>
      <c r="B1108" s="237">
        <f>C1108</f>
        <v>180</v>
      </c>
      <c r="C1108" s="237">
        <v>180</v>
      </c>
      <c r="D1108" s="283"/>
      <c r="E1108" s="82"/>
    </row>
    <row r="1109" spans="1:5">
      <c r="A1109" s="215"/>
      <c r="B1109" s="128"/>
      <c r="C1109" s="83"/>
      <c r="D1109" s="139"/>
      <c r="E1109" s="82"/>
    </row>
    <row r="1110" spans="1:5">
      <c r="A1110" s="254" t="s">
        <v>332</v>
      </c>
      <c r="B1110" s="126"/>
      <c r="C1110" s="126"/>
      <c r="D1110" s="130">
        <v>40</v>
      </c>
      <c r="E1110" s="82"/>
    </row>
    <row r="1111" spans="1:5" ht="19.5">
      <c r="A1111" s="4" t="s">
        <v>7</v>
      </c>
      <c r="B1111" s="10"/>
      <c r="C1111" s="10"/>
      <c r="D1111" s="10"/>
    </row>
    <row r="1112" spans="1:5" s="82" customFormat="1">
      <c r="A1112" s="455" t="s">
        <v>313</v>
      </c>
      <c r="B1112" s="456"/>
      <c r="C1112" s="456"/>
      <c r="D1112" s="457">
        <v>100</v>
      </c>
    </row>
    <row r="1113" spans="1:5" s="82" customFormat="1">
      <c r="A1113" s="340" t="s">
        <v>107</v>
      </c>
      <c r="B1113" s="448">
        <f t="shared" ref="B1113:B1117" si="39">C1113</f>
        <v>67</v>
      </c>
      <c r="C1113" s="448">
        <v>67</v>
      </c>
      <c r="D1113" s="447"/>
    </row>
    <row r="1114" spans="1:5" s="82" customFormat="1">
      <c r="A1114" s="202" t="s">
        <v>103</v>
      </c>
      <c r="B1114" s="458">
        <f t="shared" si="39"/>
        <v>5</v>
      </c>
      <c r="C1114" s="458">
        <v>5</v>
      </c>
      <c r="D1114" s="447"/>
    </row>
    <row r="1115" spans="1:5" s="82" customFormat="1">
      <c r="A1115" s="322" t="s">
        <v>90</v>
      </c>
      <c r="B1115" s="458">
        <f t="shared" si="39"/>
        <v>10</v>
      </c>
      <c r="C1115" s="458">
        <v>10</v>
      </c>
      <c r="D1115" s="447"/>
    </row>
    <row r="1116" spans="1:5" s="82" customFormat="1">
      <c r="A1116" s="235" t="s">
        <v>102</v>
      </c>
      <c r="B1116" s="448">
        <f t="shared" si="39"/>
        <v>0.6</v>
      </c>
      <c r="C1116" s="448">
        <v>0.6</v>
      </c>
      <c r="D1116" s="447"/>
    </row>
    <row r="1117" spans="1:5" s="82" customFormat="1">
      <c r="A1117" s="304" t="s">
        <v>117</v>
      </c>
      <c r="B1117" s="448">
        <f t="shared" si="39"/>
        <v>0.8</v>
      </c>
      <c r="C1117" s="448">
        <v>0.8</v>
      </c>
      <c r="D1117" s="447"/>
    </row>
    <row r="1118" spans="1:5" s="82" customFormat="1">
      <c r="A1118" s="295" t="s">
        <v>105</v>
      </c>
      <c r="B1118" s="143">
        <f>C1118</f>
        <v>25</v>
      </c>
      <c r="C1118" s="448">
        <v>25</v>
      </c>
      <c r="D1118" s="447"/>
    </row>
    <row r="1119" spans="1:5" s="82" customFormat="1">
      <c r="A1119" s="206" t="s">
        <v>84</v>
      </c>
      <c r="B1119" s="83">
        <f>C1119</f>
        <v>9.4</v>
      </c>
      <c r="C1119" s="448">
        <v>9.4</v>
      </c>
      <c r="D1119" s="447"/>
    </row>
    <row r="1120" spans="1:5" s="82" customFormat="1">
      <c r="A1120" s="459" t="s">
        <v>314</v>
      </c>
      <c r="B1120" s="460"/>
      <c r="C1120" s="464">
        <v>115</v>
      </c>
      <c r="D1120" s="447"/>
    </row>
    <row r="1121" spans="1:4" s="82" customFormat="1">
      <c r="A1121" s="202" t="s">
        <v>103</v>
      </c>
      <c r="B1121" s="253">
        <f>C1121</f>
        <v>5</v>
      </c>
      <c r="C1121" s="227">
        <v>5</v>
      </c>
      <c r="D1121" s="447"/>
    </row>
    <row r="1122" spans="1:4" s="82" customFormat="1">
      <c r="A1122" s="322" t="s">
        <v>90</v>
      </c>
      <c r="B1122" s="253">
        <f>C1122</f>
        <v>0.8</v>
      </c>
      <c r="C1122" s="227">
        <v>0.8</v>
      </c>
      <c r="D1122" s="447"/>
    </row>
    <row r="1123" spans="1:4" s="82" customFormat="1">
      <c r="A1123" s="340" t="s">
        <v>107</v>
      </c>
      <c r="B1123" s="285">
        <f>C1123</f>
        <v>2</v>
      </c>
      <c r="C1123" s="143">
        <v>2</v>
      </c>
      <c r="D1123" s="447"/>
    </row>
    <row r="1124" spans="1:4" s="82" customFormat="1">
      <c r="A1124" s="461" t="s">
        <v>118</v>
      </c>
      <c r="B1124" s="462"/>
      <c r="C1124" s="463">
        <v>120</v>
      </c>
      <c r="D1124" s="447"/>
    </row>
    <row r="1125" spans="1:4" s="82" customFormat="1">
      <c r="A1125" s="494" t="s">
        <v>225</v>
      </c>
      <c r="B1125" s="495"/>
      <c r="C1125" s="496"/>
      <c r="D1125" s="209">
        <v>200</v>
      </c>
    </row>
    <row r="1126" spans="1:4" s="82" customFormat="1">
      <c r="A1126" s="210" t="s">
        <v>166</v>
      </c>
      <c r="B1126" s="211">
        <f>C1126</f>
        <v>0.5</v>
      </c>
      <c r="C1126" s="211">
        <v>0.5</v>
      </c>
      <c r="D1126" s="143"/>
    </row>
    <row r="1127" spans="1:4" s="82" customFormat="1">
      <c r="A1127" s="202" t="s">
        <v>103</v>
      </c>
      <c r="B1127" s="211">
        <f>C1127</f>
        <v>10</v>
      </c>
      <c r="C1127" s="211">
        <v>10</v>
      </c>
      <c r="D1127" s="143"/>
    </row>
    <row r="1128" spans="1:4" s="82" customFormat="1">
      <c r="A1128" s="206" t="s">
        <v>84</v>
      </c>
      <c r="B1128" s="212">
        <f>C1128</f>
        <v>60</v>
      </c>
      <c r="C1128" s="212">
        <v>60</v>
      </c>
      <c r="D1128" s="143"/>
    </row>
    <row r="1129" spans="1:4" s="82" customFormat="1">
      <c r="A1129" s="213" t="s">
        <v>105</v>
      </c>
      <c r="B1129" s="214">
        <f>C1129</f>
        <v>140</v>
      </c>
      <c r="C1129" s="214">
        <v>140</v>
      </c>
      <c r="D1129" s="143"/>
    </row>
    <row r="1130" spans="1:4" ht="18.75">
      <c r="A1130" s="74" t="s">
        <v>68</v>
      </c>
      <c r="B1130" s="75"/>
      <c r="C1130" s="75"/>
      <c r="D1130" s="76"/>
    </row>
    <row r="1133" spans="1:4" ht="15.75">
      <c r="A1133" s="471" t="s">
        <v>330</v>
      </c>
      <c r="B1133" s="469"/>
      <c r="C1133" s="469"/>
      <c r="D1133" s="469"/>
    </row>
    <row r="1138" spans="4:9" ht="18.75">
      <c r="F1138" s="182"/>
      <c r="G1138" s="182"/>
      <c r="H1138" s="182"/>
      <c r="I1138" s="182"/>
    </row>
    <row r="1140" spans="4:9" ht="15.75">
      <c r="D1140" s="469"/>
    </row>
    <row r="1141" spans="4:9" ht="18.75">
      <c r="F1141" s="182"/>
      <c r="G1141" s="182"/>
      <c r="H1141" s="182"/>
      <c r="I1141" s="182"/>
    </row>
  </sheetData>
  <autoFilter ref="A1:A1130"/>
  <mergeCells count="102">
    <mergeCell ref="A722:C722"/>
    <mergeCell ref="A745:C745"/>
    <mergeCell ref="A757:C757"/>
    <mergeCell ref="A764:C764"/>
    <mergeCell ref="A603:C603"/>
    <mergeCell ref="A610:C610"/>
    <mergeCell ref="A622:C622"/>
    <mergeCell ref="A635:C635"/>
    <mergeCell ref="A649:C649"/>
    <mergeCell ref="A662:C662"/>
    <mergeCell ref="A674:C674"/>
    <mergeCell ref="A681:C681"/>
    <mergeCell ref="A697:C697"/>
    <mergeCell ref="B752:D752"/>
    <mergeCell ref="A489:C489"/>
    <mergeCell ref="A502:C502"/>
    <mergeCell ref="A514:C514"/>
    <mergeCell ref="A533:C533"/>
    <mergeCell ref="A540:C540"/>
    <mergeCell ref="A550:C550"/>
    <mergeCell ref="A558:C558"/>
    <mergeCell ref="A568:C568"/>
    <mergeCell ref="A573:C573"/>
    <mergeCell ref="B520:D520"/>
    <mergeCell ref="B900:D900"/>
    <mergeCell ref="B967:D967"/>
    <mergeCell ref="A780:C780"/>
    <mergeCell ref="A792:C792"/>
    <mergeCell ref="A804:C804"/>
    <mergeCell ref="A809:C809"/>
    <mergeCell ref="A817:B817"/>
    <mergeCell ref="A827:C827"/>
    <mergeCell ref="A844:C844"/>
    <mergeCell ref="A858:C858"/>
    <mergeCell ref="A881:C881"/>
    <mergeCell ref="A894:C894"/>
    <mergeCell ref="A905:C905"/>
    <mergeCell ref="A912:C912"/>
    <mergeCell ref="A928:C928"/>
    <mergeCell ref="A949:C949"/>
    <mergeCell ref="A961:C961"/>
    <mergeCell ref="A6:D6"/>
    <mergeCell ref="A11:D11"/>
    <mergeCell ref="A7:D7"/>
    <mergeCell ref="D9:D10"/>
    <mergeCell ref="A9:A10"/>
    <mergeCell ref="B9:B10"/>
    <mergeCell ref="C9:C10"/>
    <mergeCell ref="A8:D8"/>
    <mergeCell ref="B832:D832"/>
    <mergeCell ref="A304:C304"/>
    <mergeCell ref="A308:C308"/>
    <mergeCell ref="A315:C315"/>
    <mergeCell ref="A324:C324"/>
    <mergeCell ref="A333:C333"/>
    <mergeCell ref="A338:C338"/>
    <mergeCell ref="A351:B351"/>
    <mergeCell ref="B302:D302"/>
    <mergeCell ref="A360:C360"/>
    <mergeCell ref="A371:C371"/>
    <mergeCell ref="A378:C378"/>
    <mergeCell ref="A392:C392"/>
    <mergeCell ref="A402:C402"/>
    <mergeCell ref="A430:C430"/>
    <mergeCell ref="A442:C442"/>
    <mergeCell ref="B12:D12"/>
    <mergeCell ref="A365:D365"/>
    <mergeCell ref="A751:D751"/>
    <mergeCell ref="B88:D88"/>
    <mergeCell ref="B157:D157"/>
    <mergeCell ref="B598:D598"/>
    <mergeCell ref="B669:D669"/>
    <mergeCell ref="A127:C127"/>
    <mergeCell ref="A175:C175"/>
    <mergeCell ref="A180:C180"/>
    <mergeCell ref="A101:C101"/>
    <mergeCell ref="A38:B38"/>
    <mergeCell ref="A204:C204"/>
    <mergeCell ref="A228:C228"/>
    <mergeCell ref="A235:C235"/>
    <mergeCell ref="A250:C250"/>
    <mergeCell ref="A274:C274"/>
    <mergeCell ref="B223:D223"/>
    <mergeCell ref="A278:C278"/>
    <mergeCell ref="A296:C296"/>
    <mergeCell ref="A449:C449"/>
    <mergeCell ref="A463:C463"/>
    <mergeCell ref="B366:D366"/>
    <mergeCell ref="B437:D437"/>
    <mergeCell ref="A1104:C1104"/>
    <mergeCell ref="A1125:C1125"/>
    <mergeCell ref="A1056:C1056"/>
    <mergeCell ref="A1063:C1063"/>
    <mergeCell ref="A1080:C1080"/>
    <mergeCell ref="A1089:C1089"/>
    <mergeCell ref="A1099:C1099"/>
    <mergeCell ref="A972:C972"/>
    <mergeCell ref="A979:C979"/>
    <mergeCell ref="A993:C993"/>
    <mergeCell ref="A1017:C1017"/>
    <mergeCell ref="A1021:C1021"/>
    <mergeCell ref="B1051:D1051"/>
  </mergeCells>
  <pageMargins left="1.299212598425197" right="0.70866141732283472" top="0.35433070866141736" bottom="0" header="0.31496062992125984" footer="0.31496062992125984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Накопительная</vt:lpstr>
      <vt:lpstr>Меню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2022-06-15T03:50:36Z</dcterms:modified>
</cp:coreProperties>
</file>