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tabRatio="903"/>
  </bookViews>
  <sheets>
    <sheet name="Меню" sheetId="1" r:id="rId1"/>
    <sheet name="Сетка" sheetId="3" r:id="rId2"/>
    <sheet name="Лист4" sheetId="4" r:id="rId3"/>
    <sheet name="Накопительная" sheetId="2" state="hidden" r:id="rId4"/>
  </sheets>
  <definedNames>
    <definedName name="_xlnm.Print_Area" localSheetId="0">Меню!$A$1:$H$1254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<sst xmlns="http://schemas.openxmlformats.org/spreadsheetml/2006/main" count="1513" uniqueCount="375">
  <si>
    <t xml:space="preserve">ПРИМЕРНОЕ 15- ти ДНЕВНОЕ МЕНЮ 
</t>
  </si>
  <si>
    <t xml:space="preserve"> ЗАВТРАКИ, ОБЕДЫ и ПОЛДНИКИ для детей с 7 до 11 лет (летний  сезон)              </t>
  </si>
  <si>
    <t>Меню содержит  вложения - титульный лист, аннотацию.</t>
  </si>
  <si>
    <t>ПЕРВАЯ НЕДЕЛЯ</t>
  </si>
  <si>
    <t>1 день</t>
  </si>
  <si>
    <t xml:space="preserve"> Наименование блюда</t>
  </si>
  <si>
    <t>Брутто,г</t>
  </si>
  <si>
    <t>Нетто,г</t>
  </si>
  <si>
    <t>Выход,г</t>
  </si>
  <si>
    <t>Белки, г</t>
  </si>
  <si>
    <t>Жиры,г</t>
  </si>
  <si>
    <t>Угл, г</t>
  </si>
  <si>
    <t>ЭЦ, ккал</t>
  </si>
  <si>
    <t>Завтрак</t>
  </si>
  <si>
    <t>Бутерброд с маслом</t>
  </si>
  <si>
    <t>18/5</t>
  </si>
  <si>
    <t>масло сливочное 72.5 %</t>
  </si>
  <si>
    <t>батон молочный</t>
  </si>
  <si>
    <t>Яйцо отварное</t>
  </si>
  <si>
    <t>яйцо куриное</t>
  </si>
  <si>
    <t xml:space="preserve">Каша молочная пшеничная </t>
  </si>
  <si>
    <t>200</t>
  </si>
  <si>
    <t xml:space="preserve"> крупа пшеничная</t>
  </si>
  <si>
    <t>вода</t>
  </si>
  <si>
    <t>молоко питьевое 2,5% жирности</t>
  </si>
  <si>
    <t>соль йодированная</t>
  </si>
  <si>
    <t>сахар песок</t>
  </si>
  <si>
    <t xml:space="preserve">Чай с молоком и сахаром  </t>
  </si>
  <si>
    <t>чай чёрный</t>
  </si>
  <si>
    <t>вода питьевая</t>
  </si>
  <si>
    <t>Хлеб ржаной</t>
  </si>
  <si>
    <t>40</t>
  </si>
  <si>
    <t>Обед</t>
  </si>
  <si>
    <t xml:space="preserve">Суп с птицей, крупой и овощами  </t>
  </si>
  <si>
    <t>курица-тушка</t>
  </si>
  <si>
    <t>масса готовой птицы</t>
  </si>
  <si>
    <t>картофель 25 %</t>
  </si>
  <si>
    <t>картофель 40%</t>
  </si>
  <si>
    <t>морковь 25 %</t>
  </si>
  <si>
    <t>морковь 20 %</t>
  </si>
  <si>
    <t>лук репчатый</t>
  </si>
  <si>
    <t>лавровый лист</t>
  </si>
  <si>
    <t>перец с/м</t>
  </si>
  <si>
    <t>томат кубик с/м</t>
  </si>
  <si>
    <t>или томаты свежие</t>
  </si>
  <si>
    <t xml:space="preserve"> крупа рис круглый</t>
  </si>
  <si>
    <t xml:space="preserve"> масло растительное</t>
  </si>
  <si>
    <t>зелень свежая</t>
  </si>
  <si>
    <t>Суфле из печени</t>
  </si>
  <si>
    <t>печень говяжья</t>
  </si>
  <si>
    <t>фарш  говяжий</t>
  </si>
  <si>
    <t>масло растительное</t>
  </si>
  <si>
    <t>морковь</t>
  </si>
  <si>
    <t xml:space="preserve">мука пшеничная  </t>
  </si>
  <si>
    <t>масса п/ф</t>
  </si>
  <si>
    <t xml:space="preserve">Макароны отварные </t>
  </si>
  <si>
    <t>макаронные изделия</t>
  </si>
  <si>
    <t>Напиток из сухофруктов</t>
  </si>
  <si>
    <t>сухофрукты</t>
  </si>
  <si>
    <t>Хлеб пшеничный или хлеб пшеничный витаминизированный</t>
  </si>
  <si>
    <t>Полдник</t>
  </si>
  <si>
    <t>Конвертик творожный</t>
  </si>
  <si>
    <t>творог 9%</t>
  </si>
  <si>
    <t>масло сливочное 72.5%</t>
  </si>
  <si>
    <t>ванилин</t>
  </si>
  <si>
    <t xml:space="preserve">разрыхлитель </t>
  </si>
  <si>
    <t xml:space="preserve">мука пшеничная на подпыл  </t>
  </si>
  <si>
    <t>Напиток из ягодно-яблочной смеси</t>
  </si>
  <si>
    <t xml:space="preserve">смесь ягод </t>
  </si>
  <si>
    <t>Йогурт 2,5% 125 гр стак. в инд. упак.</t>
  </si>
  <si>
    <t>Итого</t>
  </si>
  <si>
    <t>2 день</t>
  </si>
  <si>
    <t xml:space="preserve">Бутерброд с сыром </t>
  </si>
  <si>
    <t>18/10</t>
  </si>
  <si>
    <t>сыр Сулугуни</t>
  </si>
  <si>
    <t>Каша молочная пшенная</t>
  </si>
  <si>
    <t>180</t>
  </si>
  <si>
    <t xml:space="preserve"> крупа пшено</t>
  </si>
  <si>
    <t xml:space="preserve">Кофейный напиток </t>
  </si>
  <si>
    <t>кофейный напиток</t>
  </si>
  <si>
    <t xml:space="preserve">Фрукт </t>
  </si>
  <si>
    <t>100</t>
  </si>
  <si>
    <t xml:space="preserve">Рассольник Ленинградский с птицей,сметаной  и зеленью                                                                      </t>
  </si>
  <si>
    <t>масса готового продукта</t>
  </si>
  <si>
    <t>картофель 40 %</t>
  </si>
  <si>
    <t>крупа перловая</t>
  </si>
  <si>
    <t>морковь 25%</t>
  </si>
  <si>
    <t>огурцы соленые</t>
  </si>
  <si>
    <t>сметана 15%</t>
  </si>
  <si>
    <t>Котлета Любительская</t>
  </si>
  <si>
    <t>филе минтая пром.произ-ва</t>
  </si>
  <si>
    <t>или тушка минтая с/м</t>
  </si>
  <si>
    <t>свинина с/м</t>
  </si>
  <si>
    <t xml:space="preserve">хлеб пшеничный </t>
  </si>
  <si>
    <t>сухарь панировочный</t>
  </si>
  <si>
    <t>масло растительное для смазки листа</t>
  </si>
  <si>
    <t>п/ф котлета Любительская</t>
  </si>
  <si>
    <t xml:space="preserve">Пюре картофельное </t>
  </si>
  <si>
    <t xml:space="preserve">Компот из  смородины                                                                                 </t>
  </si>
  <si>
    <t>смородина красная</t>
  </si>
  <si>
    <t xml:space="preserve">Пирог "Зебра" </t>
  </si>
  <si>
    <t xml:space="preserve"> крупа манная</t>
  </si>
  <si>
    <t>сахар</t>
  </si>
  <si>
    <t>масло сливочное</t>
  </si>
  <si>
    <t>кефир в выпечку</t>
  </si>
  <si>
    <t>какао - порошок</t>
  </si>
  <si>
    <t>сахарная пудра</t>
  </si>
  <si>
    <t>Чай с сахаром</t>
  </si>
  <si>
    <t>3 день</t>
  </si>
  <si>
    <t>Бутерброд с маслом и повидлом</t>
  </si>
  <si>
    <t>18/5/10</t>
  </si>
  <si>
    <t>повидло</t>
  </si>
  <si>
    <t xml:space="preserve">Омлет натуральный </t>
  </si>
  <si>
    <t>масса омлетной массы</t>
  </si>
  <si>
    <t>Какао с молоком</t>
  </si>
  <si>
    <t>Овощи свежие ( на подгарнировку)</t>
  </si>
  <si>
    <t>томаты</t>
  </si>
  <si>
    <t>или огурцы свежие</t>
  </si>
  <si>
    <t>или перец грутовой</t>
  </si>
  <si>
    <t>или перец болгарский</t>
  </si>
  <si>
    <t xml:space="preserve"> Борщ с птицей и сметаной  </t>
  </si>
  <si>
    <t>капуста б/кочанная</t>
  </si>
  <si>
    <t>свекла 20 %</t>
  </si>
  <si>
    <t>свекла 25 %</t>
  </si>
  <si>
    <t xml:space="preserve">томатная паста </t>
  </si>
  <si>
    <t>лимонная кислота</t>
  </si>
  <si>
    <t>Гречка по купечески</t>
  </si>
  <si>
    <t>масса готового мяса</t>
  </si>
  <si>
    <t>крупа гречневая</t>
  </si>
  <si>
    <t>вода для варки</t>
  </si>
  <si>
    <t>масса пассерованных овощей</t>
  </si>
  <si>
    <t xml:space="preserve">Компот из кураги </t>
  </si>
  <si>
    <t>курага</t>
  </si>
  <si>
    <t>Улитка с корицей</t>
  </si>
  <si>
    <t>тесто слоеное промышленного производства</t>
  </si>
  <si>
    <t>корица</t>
  </si>
  <si>
    <t>мука пшеничная  в/с на подпыл</t>
  </si>
  <si>
    <t>Масса полуфабриката</t>
  </si>
  <si>
    <t>яйцо для смазки  изделия</t>
  </si>
  <si>
    <t>Чай с сахаром и брусникой</t>
  </si>
  <si>
    <t>брусника с/м</t>
  </si>
  <si>
    <t>4 день</t>
  </si>
  <si>
    <t>525</t>
  </si>
  <si>
    <t>Горячий бутерброд "Пикантный"</t>
  </si>
  <si>
    <t>30</t>
  </si>
  <si>
    <t>Каша молочная ячневая</t>
  </si>
  <si>
    <t>150</t>
  </si>
  <si>
    <t xml:space="preserve"> крупа ячневая</t>
  </si>
  <si>
    <t xml:space="preserve">Чай с сахаром и лимоном </t>
  </si>
  <si>
    <t>лимон</t>
  </si>
  <si>
    <t>Суп - пюре с  птицей и гренками</t>
  </si>
  <si>
    <t>220/10</t>
  </si>
  <si>
    <t>филе куриное</t>
  </si>
  <si>
    <t>Мясные шарики в сырном соусе</t>
  </si>
  <si>
    <t>90/20</t>
  </si>
  <si>
    <t>Хлеб"Свежий" пшеничный нарезной</t>
  </si>
  <si>
    <t>мука пшеничная</t>
  </si>
  <si>
    <t>сырный соус:</t>
  </si>
  <si>
    <t>сыр сулугуни</t>
  </si>
  <si>
    <t xml:space="preserve">вода питьевая </t>
  </si>
  <si>
    <t>чеснок</t>
  </si>
  <si>
    <t>или</t>
  </si>
  <si>
    <t>Мясные шарики (п/ф пром.производства) в сырном соусе</t>
  </si>
  <si>
    <t>90</t>
  </si>
  <si>
    <t>Рис отварной с овощами</t>
  </si>
  <si>
    <t>крупа рис пропаренный</t>
  </si>
  <si>
    <t>кукуруза консервированная</t>
  </si>
  <si>
    <t>Компот из сухофруктов</t>
  </si>
  <si>
    <t xml:space="preserve">Булочка ванильная </t>
  </si>
  <si>
    <t>70</t>
  </si>
  <si>
    <t>тесто дрожжевое п/ф :</t>
  </si>
  <si>
    <t>мука пшеничная  в/с</t>
  </si>
  <si>
    <t>дрожжи саф-момент</t>
  </si>
  <si>
    <t>Молоко питьевое в инд. упак.</t>
  </si>
  <si>
    <t>молоко питьевое 2,5% жирности в инд. упак.</t>
  </si>
  <si>
    <t>5 день</t>
  </si>
  <si>
    <t xml:space="preserve">Бутерброд с  повидлом </t>
  </si>
  <si>
    <t>18/15</t>
  </si>
  <si>
    <t xml:space="preserve">Каша молочная рисовая </t>
  </si>
  <si>
    <t>190</t>
  </si>
  <si>
    <t>крупа рис круглый</t>
  </si>
  <si>
    <t>710</t>
  </si>
  <si>
    <t>Солянка рыбная</t>
  </si>
  <si>
    <t>или минтай  тушка с/м</t>
  </si>
  <si>
    <t>масса готовой рыбы</t>
  </si>
  <si>
    <t>лимон(сок)</t>
  </si>
  <si>
    <t>томатная паста</t>
  </si>
  <si>
    <t>Болоньезе</t>
  </si>
  <si>
    <t>кабачки свежие</t>
  </si>
  <si>
    <t>или кабачки с/м</t>
  </si>
  <si>
    <t>орегано сушеный</t>
  </si>
  <si>
    <t>базилик сушеный</t>
  </si>
  <si>
    <t xml:space="preserve">Компот из яблок и лимона                                                                                    </t>
  </si>
  <si>
    <t>яблоки свежие</t>
  </si>
  <si>
    <t>Язычок слоеный с сахаром</t>
  </si>
  <si>
    <t>тесто слоеное п/п</t>
  </si>
  <si>
    <t xml:space="preserve">Чай с сахаром </t>
  </si>
  <si>
    <t>ВТОРАЯ НЕДЕЛЯ</t>
  </si>
  <si>
    <t>6 день</t>
  </si>
  <si>
    <t>18/12</t>
  </si>
  <si>
    <t xml:space="preserve">Каша  молочная манная </t>
  </si>
  <si>
    <t>Кофейный напиток</t>
  </si>
  <si>
    <t xml:space="preserve">кофейный напиток </t>
  </si>
  <si>
    <t>Десерт творожный</t>
  </si>
  <si>
    <t>730</t>
  </si>
  <si>
    <t>Огурцы соленые</t>
  </si>
  <si>
    <t xml:space="preserve">Суп Лагман с курицей  </t>
  </si>
  <si>
    <t>220</t>
  </si>
  <si>
    <t>масса отварной птицы</t>
  </si>
  <si>
    <t>спагетти</t>
  </si>
  <si>
    <t>масса отварных спагетти</t>
  </si>
  <si>
    <t>перец  с/м</t>
  </si>
  <si>
    <t xml:space="preserve">Плов с мясом </t>
  </si>
  <si>
    <t>масса тушеного мяса</t>
  </si>
  <si>
    <t>куркума</t>
  </si>
  <si>
    <t>Отвар из шиповника</t>
  </si>
  <si>
    <t>плоды шиповника</t>
  </si>
  <si>
    <t>Пицца "Маргарита"</t>
  </si>
  <si>
    <t>пф тесто дрожжевое</t>
  </si>
  <si>
    <t>орегано</t>
  </si>
  <si>
    <t xml:space="preserve">соус томатный </t>
  </si>
  <si>
    <t xml:space="preserve">помидоры свежие </t>
  </si>
  <si>
    <t xml:space="preserve">Напиток из свежих ягод </t>
  </si>
  <si>
    <t>красная смородина</t>
  </si>
  <si>
    <t>7 день</t>
  </si>
  <si>
    <t xml:space="preserve">Какао с молоком </t>
  </si>
  <si>
    <t>Суп гороховый  с  птицей и зеленью</t>
  </si>
  <si>
    <t>горох лущёный</t>
  </si>
  <si>
    <t>Котлета мясная</t>
  </si>
  <si>
    <t xml:space="preserve">Хлеб пшеничный </t>
  </si>
  <si>
    <t>Котлета мясная п/ф пром.производства</t>
  </si>
  <si>
    <t>Овощное рагу</t>
  </si>
  <si>
    <t>или перец грунтовой</t>
  </si>
  <si>
    <t xml:space="preserve">Компот из брусники и яблок                                                                                </t>
  </si>
  <si>
    <t xml:space="preserve">яблоки свежие </t>
  </si>
  <si>
    <t>Творожный кекс</t>
  </si>
  <si>
    <t>творог 9 %</t>
  </si>
  <si>
    <t>крупа манная</t>
  </si>
  <si>
    <t>масса полуфабриката</t>
  </si>
  <si>
    <t xml:space="preserve">Чай "Витаминный" </t>
  </si>
  <si>
    <t>8 день</t>
  </si>
  <si>
    <t xml:space="preserve">Бутерброд с маслом </t>
  </si>
  <si>
    <t xml:space="preserve">Каша молочная жидкая пшенная </t>
  </si>
  <si>
    <t xml:space="preserve">Чай с молоком и сахаром </t>
  </si>
  <si>
    <t>Крем-суп сырный</t>
  </si>
  <si>
    <t>сыр плавленный</t>
  </si>
  <si>
    <t>Гуляш "По-венгерски"</t>
  </si>
  <si>
    <t>перец болгарский</t>
  </si>
  <si>
    <t>или перец с/м</t>
  </si>
  <si>
    <t xml:space="preserve">Гречка рассыпчатая </t>
  </si>
  <si>
    <t xml:space="preserve">Компот из изюма                                                                                </t>
  </si>
  <si>
    <t>изюм коричневый</t>
  </si>
  <si>
    <t>330</t>
  </si>
  <si>
    <t>Слойка с повидлом</t>
  </si>
  <si>
    <t>мука пшеничная в/с на подпыл</t>
  </si>
  <si>
    <t>9 день</t>
  </si>
  <si>
    <t>Бутерброд с  повидлом</t>
  </si>
  <si>
    <t xml:space="preserve"> огурцы свежие</t>
  </si>
  <si>
    <t>Щи из свежей капусты с птицей, сметаной и зеленью</t>
  </si>
  <si>
    <t>картофель</t>
  </si>
  <si>
    <t>Тефтель рыбный</t>
  </si>
  <si>
    <t>или минтай тушка с/м</t>
  </si>
  <si>
    <t>масса отварного риса</t>
  </si>
  <si>
    <t>мука пшеничная в/с</t>
  </si>
  <si>
    <t>Тефтель рыбный п/ф пром произ</t>
  </si>
  <si>
    <t>тефтель рыбный п/ф</t>
  </si>
  <si>
    <t>масса готовых тефтелей</t>
  </si>
  <si>
    <t>Палочка слоеная с сыром</t>
  </si>
  <si>
    <t xml:space="preserve">Кисель из свежих ягод </t>
  </si>
  <si>
    <t>крахмал картофельный</t>
  </si>
  <si>
    <t>10 день</t>
  </si>
  <si>
    <t xml:space="preserve">Каша молочная овсяная </t>
  </si>
  <si>
    <t>хлопья овсяные</t>
  </si>
  <si>
    <t>Печенье сахарное</t>
  </si>
  <si>
    <t>700</t>
  </si>
  <si>
    <t>Помидоры свежие на подгарнировку</t>
  </si>
  <si>
    <t>помидоры свежие</t>
  </si>
  <si>
    <t xml:space="preserve">Рассольник Ленинградский с птицей, сметаной   и зеленью                                                            </t>
  </si>
  <si>
    <t xml:space="preserve">Жаркое по-домашнему  </t>
  </si>
  <si>
    <t>Булочка "Ярославская"</t>
  </si>
  <si>
    <t>50</t>
  </si>
  <si>
    <t>крошка</t>
  </si>
  <si>
    <t>Чай с сахаром и лимоном</t>
  </si>
  <si>
    <t>ТРЕТЬЯ НЕДЕЛЯ</t>
  </si>
  <si>
    <t>11 день</t>
  </si>
  <si>
    <t>160</t>
  </si>
  <si>
    <t xml:space="preserve">Свекольник с мясом  и сметаной </t>
  </si>
  <si>
    <t>масса отварного мяса</t>
  </si>
  <si>
    <t>яблоки свежие  60%</t>
  </si>
  <si>
    <t>Хачапури</t>
  </si>
  <si>
    <t>Льезон:</t>
  </si>
  <si>
    <t>вода для разведения</t>
  </si>
  <si>
    <t>12 день</t>
  </si>
  <si>
    <t>Овощи соленые(огурцы)</t>
  </si>
  <si>
    <t>Суп гороховый с птицей и зеленью</t>
  </si>
  <si>
    <t xml:space="preserve">Компот из ягодной смеси </t>
  </si>
  <si>
    <t>13 день</t>
  </si>
  <si>
    <t>Каша молочная жидкая овсяная</t>
  </si>
  <si>
    <t>720</t>
  </si>
  <si>
    <t xml:space="preserve">Кура запеченная </t>
  </si>
  <si>
    <t>бедро куриное</t>
  </si>
  <si>
    <t>капуста белокочанная</t>
  </si>
  <si>
    <t xml:space="preserve">Чай "Витаминый" </t>
  </si>
  <si>
    <t>14 день</t>
  </si>
  <si>
    <t>170</t>
  </si>
  <si>
    <t xml:space="preserve">Азу </t>
  </si>
  <si>
    <t>Рис отварной</t>
  </si>
  <si>
    <t xml:space="preserve">Компот из сухофруктов </t>
  </si>
  <si>
    <t>Шанежка с картофелем</t>
  </si>
  <si>
    <t>тесто дрожжевое:</t>
  </si>
  <si>
    <t>начинка</t>
  </si>
  <si>
    <t>масса картофельного фарша</t>
  </si>
  <si>
    <t>яйцо для смазки изделия</t>
  </si>
  <si>
    <t>сметана для смазки изделия</t>
  </si>
  <si>
    <t>15 день</t>
  </si>
  <si>
    <t>Бутерброд с маслом и сыром</t>
  </si>
  <si>
    <t xml:space="preserve">Тефтель мясной </t>
  </si>
  <si>
    <t xml:space="preserve">  фарш говяжий</t>
  </si>
  <si>
    <t xml:space="preserve">или </t>
  </si>
  <si>
    <t>Тефтель мясной пром.производства</t>
  </si>
  <si>
    <t xml:space="preserve">Компот из изюма                                                                                    </t>
  </si>
  <si>
    <t>Язычок с сахаром</t>
  </si>
  <si>
    <t>Меню для школьного оздоровительного лагеря.            Тюменский район .                            Лето 2025г</t>
  </si>
  <si>
    <t>Возрастная категория с 7-11 лет.</t>
  </si>
  <si>
    <t>гр.</t>
  </si>
  <si>
    <t>гр</t>
  </si>
  <si>
    <t xml:space="preserve">Завтрак </t>
  </si>
  <si>
    <t>=Меню!D96</t>
  </si>
  <si>
    <t>ООО "Магия Вкуса"</t>
  </si>
  <si>
    <t xml:space="preserve">НАКОПИТЕЛЬНАЯ ВЕДОМОСТЬ к примерному цикличному  меню             </t>
  </si>
  <si>
    <t xml:space="preserve">школьных оздоровительных лагерей  для детей с 7 лет и старше                           </t>
  </si>
  <si>
    <t>№</t>
  </si>
  <si>
    <t>Продукты</t>
  </si>
  <si>
    <t>Норма в день по СаНпиН, нетто,г</t>
  </si>
  <si>
    <t>%</t>
  </si>
  <si>
    <t>Норма в день на завтрак (20-25%)</t>
  </si>
  <si>
    <t>Фактически получено</t>
  </si>
  <si>
    <t>за 15 дней</t>
  </si>
  <si>
    <t>Факт в день</t>
  </si>
  <si>
    <t>% выполнения</t>
  </si>
  <si>
    <t>Химический состав</t>
  </si>
  <si>
    <t>Дни</t>
  </si>
  <si>
    <t>белки</t>
  </si>
  <si>
    <t>жиры</t>
  </si>
  <si>
    <t>углеводы</t>
  </si>
  <si>
    <t>Ккал</t>
  </si>
  <si>
    <t>Хлеб ржаной*</t>
  </si>
  <si>
    <t>Хлеб пшеничный *</t>
  </si>
  <si>
    <t>Мука *</t>
  </si>
  <si>
    <t>Крупы, бобовые</t>
  </si>
  <si>
    <t xml:space="preserve"> Макароны</t>
  </si>
  <si>
    <t xml:space="preserve">Картофель </t>
  </si>
  <si>
    <t>Овощи, зелень</t>
  </si>
  <si>
    <t xml:space="preserve">Фрукты свежие </t>
  </si>
  <si>
    <t>Фрукты сухие</t>
  </si>
  <si>
    <t>Сахар</t>
  </si>
  <si>
    <t>Кондитерские изделия</t>
  </si>
  <si>
    <t>Чай</t>
  </si>
  <si>
    <t xml:space="preserve">Мясо 1 категории </t>
  </si>
  <si>
    <t>Цыплята 1 категории потрошеные</t>
  </si>
  <si>
    <t xml:space="preserve">Колбасные изделия </t>
  </si>
  <si>
    <t xml:space="preserve">Рыба филе </t>
  </si>
  <si>
    <t>Молоко**</t>
  </si>
  <si>
    <t>Творог</t>
  </si>
  <si>
    <t>Сметана</t>
  </si>
  <si>
    <t>Сыр</t>
  </si>
  <si>
    <t>Масло сливочное</t>
  </si>
  <si>
    <t>Масло растительное</t>
  </si>
  <si>
    <t>Яйцо куриное</t>
  </si>
  <si>
    <t>Дрожжи хлебопекарные</t>
  </si>
  <si>
    <t>Какао ***</t>
  </si>
  <si>
    <t>Соль</t>
  </si>
  <si>
    <t>* С учётом х/б изделия и сухарной панировки, муки, теста слоеного пром. производства</t>
  </si>
  <si>
    <t>** с учетом кефира</t>
  </si>
  <si>
    <t>*** с учетом кофейного напитка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</si>
</sst>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-* #,##0.00_р_._-;\-* #,##0.00_р_._-;_-* &quot;-&quot;??_р_._-;_-@_-"/>
    <numFmt numFmtId="179" formatCode="0.0"/>
    <numFmt numFmtId="180" formatCode="0.000"/>
  </numFmts>
  <fonts count="55">
    <font>
      <sz val="11"/>
      <color theme="1"/>
      <name val="Calibri"/>
      <charset val="134"/>
      <scheme val="minor"/>
    </font>
    <font>
      <sz val="10"/>
      <color theme="1"/>
      <name val="Times New Roman"/>
      <charset val="204"/>
    </font>
    <font>
      <sz val="12"/>
      <color theme="1"/>
      <name val="Times New Roman"/>
      <charset val="204"/>
    </font>
    <font>
      <b/>
      <sz val="11"/>
      <name val="Times New Roman"/>
      <charset val="204"/>
    </font>
    <font>
      <b/>
      <sz val="10"/>
      <name val="Times New Roman"/>
      <charset val="204"/>
    </font>
    <font>
      <sz val="11"/>
      <color indexed="8"/>
      <name val="Times New Roman"/>
      <charset val="204"/>
    </font>
    <font>
      <b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color theme="1" tint="0.0499893185216834"/>
      <name val="Times New Roman"/>
      <charset val="204"/>
    </font>
    <font>
      <sz val="10"/>
      <color theme="1" tint="0.0499893185216834"/>
      <name val="Times New Roman"/>
      <charset val="204"/>
    </font>
    <font>
      <sz val="14"/>
      <color theme="1"/>
      <name val="Times New Roman"/>
      <charset val="204"/>
    </font>
    <font>
      <b/>
      <sz val="16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4"/>
      <name val="Times New Roman"/>
      <charset val="204"/>
    </font>
    <font>
      <b/>
      <sz val="11"/>
      <color theme="1"/>
      <name val="Times New Roman"/>
      <charset val="204"/>
    </font>
    <font>
      <b/>
      <i/>
      <sz val="14"/>
      <name val="Times New Roman"/>
      <charset val="204"/>
    </font>
    <font>
      <b/>
      <i/>
      <sz val="11"/>
      <color theme="1"/>
      <name val="Times New Roman"/>
      <charset val="204"/>
    </font>
    <font>
      <b/>
      <i/>
      <sz val="11"/>
      <name val="Times New Roman"/>
      <charset val="204"/>
    </font>
    <font>
      <i/>
      <sz val="11"/>
      <name val="Times New Roman"/>
      <charset val="204"/>
    </font>
    <font>
      <b/>
      <sz val="8"/>
      <color theme="1"/>
      <name val="Times New Roman"/>
      <charset val="204"/>
    </font>
    <font>
      <b/>
      <sz val="10"/>
      <color theme="1"/>
      <name val="Times New Roman"/>
      <charset val="204"/>
    </font>
    <font>
      <sz val="14"/>
      <name val="Times New Roman"/>
      <charset val="204"/>
    </font>
    <font>
      <sz val="11"/>
      <color rgb="FFFF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  <font>
      <sz val="11"/>
      <color theme="1"/>
      <name val="Calibri"/>
      <charset val="204"/>
      <scheme val="minor"/>
    </font>
    <font>
      <sz val="10"/>
      <name val="Arial Cyr"/>
      <charset val="20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176" fontId="32" fillId="0" borderId="0" applyFont="0" applyFill="0" applyBorder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177" fontId="32" fillId="0" borderId="0" applyFont="0" applyFill="0" applyBorder="0" applyAlignment="0" applyProtection="0">
      <alignment vertical="center"/>
    </xf>
    <xf numFmtId="42" fontId="3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15" borderId="18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16" borderId="21" applyNumberFormat="0" applyAlignment="0" applyProtection="0">
      <alignment vertical="center"/>
    </xf>
    <xf numFmtId="0" fontId="42" fillId="17" borderId="22" applyNumberFormat="0" applyAlignment="0" applyProtection="0">
      <alignment vertical="center"/>
    </xf>
    <xf numFmtId="0" fontId="43" fillId="17" borderId="21" applyNumberFormat="0" applyAlignment="0" applyProtection="0">
      <alignment vertical="center"/>
    </xf>
    <xf numFmtId="0" fontId="44" fillId="18" borderId="23" applyNumberFormat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0" fillId="41" borderId="0" applyNumberFormat="0" applyBorder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52" fillId="0" borderId="0"/>
    <xf numFmtId="0" fontId="52" fillId="0" borderId="0"/>
    <xf numFmtId="0" fontId="52" fillId="0" borderId="0"/>
    <xf numFmtId="0" fontId="53" fillId="0" borderId="0"/>
    <xf numFmtId="0" fontId="54" fillId="0" borderId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178" fontId="53" fillId="0" borderId="0" applyFont="0" applyFill="0" applyBorder="0" applyAlignment="0" applyProtection="0"/>
  </cellStyleXfs>
  <cellXfs count="643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2" fillId="0" borderId="0" xfId="0" applyFont="1"/>
    <xf numFmtId="0" fontId="3" fillId="4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/>
    <xf numFmtId="1" fontId="6" fillId="4" borderId="5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179" fontId="6" fillId="4" borderId="5" xfId="0" applyNumberFormat="1" applyFont="1" applyFill="1" applyBorder="1" applyAlignment="1">
      <alignment horizontal="center" vertical="center"/>
    </xf>
    <xf numFmtId="179" fontId="7" fillId="2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/>
    <xf numFmtId="1" fontId="6" fillId="2" borderId="5" xfId="0" applyNumberFormat="1" applyFont="1" applyFill="1" applyBorder="1" applyAlignment="1">
      <alignment horizontal="center" vertical="center"/>
    </xf>
    <xf numFmtId="179" fontId="6" fillId="2" borderId="5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/>
    <xf numFmtId="1" fontId="4" fillId="4" borderId="5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1" fontId="6" fillId="3" borderId="5" xfId="0" applyNumberFormat="1" applyFont="1" applyFill="1" applyBorder="1" applyAlignment="1">
      <alignment horizontal="center" vertical="center"/>
    </xf>
    <xf numFmtId="179" fontId="7" fillId="3" borderId="5" xfId="0" applyNumberFormat="1" applyFont="1" applyFill="1" applyBorder="1" applyAlignment="1">
      <alignment horizontal="center" vertical="center"/>
    </xf>
    <xf numFmtId="179" fontId="6" fillId="3" borderId="5" xfId="0" applyNumberFormat="1" applyFont="1" applyFill="1" applyBorder="1" applyAlignment="1">
      <alignment horizontal="center" vertical="center"/>
    </xf>
    <xf numFmtId="179" fontId="4" fillId="4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wrapText="1"/>
    </xf>
    <xf numFmtId="1" fontId="4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/>
    <xf numFmtId="179" fontId="4" fillId="2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1" fontId="4" fillId="0" borderId="5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179" fontId="6" fillId="0" borderId="5" xfId="0" applyNumberFormat="1" applyFont="1" applyFill="1" applyBorder="1" applyAlignment="1">
      <alignment horizontal="center" vertical="center"/>
    </xf>
    <xf numFmtId="179" fontId="7" fillId="0" borderId="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Border="1"/>
    <xf numFmtId="0" fontId="1" fillId="0" borderId="0" xfId="0" applyFont="1" applyFill="1"/>
    <xf numFmtId="0" fontId="9" fillId="0" borderId="0" xfId="0" applyFont="1"/>
    <xf numFmtId="0" fontId="4" fillId="0" borderId="0" xfId="0" applyFont="1" applyFill="1"/>
    <xf numFmtId="0" fontId="9" fillId="0" borderId="0" xfId="0" applyFont="1" applyFill="1"/>
    <xf numFmtId="0" fontId="9" fillId="0" borderId="0" xfId="0" applyFont="1" applyBorder="1"/>
    <xf numFmtId="0" fontId="9" fillId="0" borderId="0" xfId="0" applyFont="1" applyBorder="1" applyAlignment="1">
      <alignment horizontal="left"/>
    </xf>
    <xf numFmtId="0" fontId="9" fillId="0" borderId="0" xfId="0" applyFont="1" applyFill="1" applyBorder="1" applyAlignment="1"/>
    <xf numFmtId="0" fontId="4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/>
    </xf>
    <xf numFmtId="2" fontId="9" fillId="0" borderId="0" xfId="0" applyNumberFormat="1" applyFont="1" applyFill="1" applyBorder="1"/>
    <xf numFmtId="1" fontId="9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Fill="1" applyBorder="1"/>
    <xf numFmtId="0" fontId="10" fillId="2" borderId="5" xfId="0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/>
    </xf>
    <xf numFmtId="179" fontId="11" fillId="2" borderId="5" xfId="0" applyNumberFormat="1" applyFont="1" applyFill="1" applyBorder="1" applyAlignment="1">
      <alignment horizontal="center" vertical="center"/>
    </xf>
    <xf numFmtId="179" fontId="11" fillId="3" borderId="5" xfId="0" applyNumberFormat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79" fontId="4" fillId="0" borderId="2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79" fontId="4" fillId="0" borderId="5" xfId="0" applyNumberFormat="1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1" fontId="6" fillId="5" borderId="5" xfId="0" applyNumberFormat="1" applyFont="1" applyFill="1" applyBorder="1" applyAlignment="1">
      <alignment horizontal="center" vertical="center"/>
    </xf>
    <xf numFmtId="1" fontId="6" fillId="6" borderId="5" xfId="0" applyNumberFormat="1" applyFont="1" applyFill="1" applyBorder="1" applyAlignment="1">
      <alignment horizontal="center" vertical="center"/>
    </xf>
    <xf numFmtId="2" fontId="6" fillId="4" borderId="5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2" fontId="7" fillId="4" borderId="5" xfId="0" applyNumberFormat="1" applyFont="1" applyFill="1" applyBorder="1" applyAlignment="1">
      <alignment horizontal="center" vertical="center"/>
    </xf>
    <xf numFmtId="179" fontId="7" fillId="4" borderId="5" xfId="0" applyNumberFormat="1" applyFont="1" applyFill="1" applyBorder="1" applyAlignment="1">
      <alignment horizontal="center" vertical="center"/>
    </xf>
    <xf numFmtId="1" fontId="6" fillId="4" borderId="9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2" fontId="9" fillId="4" borderId="5" xfId="0" applyNumberFormat="1" applyFont="1" applyFill="1" applyBorder="1" applyAlignment="1">
      <alignment horizontal="center" vertical="center"/>
    </xf>
    <xf numFmtId="179" fontId="9" fillId="4" borderId="5" xfId="0" applyNumberFormat="1" applyFont="1" applyFill="1" applyBorder="1" applyAlignment="1">
      <alignment horizontal="center" vertical="center"/>
    </xf>
    <xf numFmtId="1" fontId="4" fillId="4" borderId="9" xfId="0" applyNumberFormat="1" applyFont="1" applyFill="1" applyBorder="1" applyAlignment="1">
      <alignment horizontal="center" vertical="center"/>
    </xf>
    <xf numFmtId="2" fontId="7" fillId="3" borderId="5" xfId="0" applyNumberFormat="1" applyFont="1" applyFill="1" applyBorder="1" applyAlignment="1">
      <alignment horizontal="center" vertical="center"/>
    </xf>
    <xf numFmtId="1" fontId="6" fillId="3" borderId="9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1" fontId="4" fillId="3" borderId="9" xfId="0" applyNumberFormat="1" applyFont="1" applyFill="1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/>
    </xf>
    <xf numFmtId="179" fontId="9" fillId="2" borderId="5" xfId="0" applyNumberFormat="1" applyFont="1" applyFill="1" applyBorder="1" applyAlignment="1">
      <alignment horizontal="center" vertical="center"/>
    </xf>
    <xf numFmtId="1" fontId="4" fillId="2" borderId="9" xfId="0" applyNumberFormat="1" applyFont="1" applyFill="1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 wrapText="1"/>
    </xf>
    <xf numFmtId="179" fontId="9" fillId="2" borderId="5" xfId="0" applyNumberFormat="1" applyFont="1" applyFill="1" applyBorder="1" applyAlignment="1">
      <alignment horizontal="center" vertical="center" wrapText="1"/>
    </xf>
    <xf numFmtId="1" fontId="4" fillId="2" borderId="9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0" xfId="0" applyNumberFormat="1" applyFont="1" applyBorder="1"/>
    <xf numFmtId="2" fontId="9" fillId="2" borderId="0" xfId="0" applyNumberFormat="1" applyFont="1" applyFill="1" applyBorder="1"/>
    <xf numFmtId="2" fontId="4" fillId="0" borderId="0" xfId="0" applyNumberFormat="1" applyFont="1" applyBorder="1"/>
    <xf numFmtId="2" fontId="4" fillId="2" borderId="0" xfId="0" applyNumberFormat="1" applyFont="1" applyFill="1" applyBorder="1"/>
    <xf numFmtId="0" fontId="1" fillId="0" borderId="0" xfId="0" applyFont="1" applyBorder="1"/>
    <xf numFmtId="0" fontId="1" fillId="2" borderId="0" xfId="0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vertical="center"/>
    </xf>
    <xf numFmtId="0" fontId="14" fillId="3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1" fontId="1" fillId="0" borderId="5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5" fillId="8" borderId="5" xfId="0" applyFont="1" applyFill="1" applyBorder="1" applyAlignment="1">
      <alignment horizontal="center" vertical="center"/>
    </xf>
    <xf numFmtId="0" fontId="2" fillId="8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Border="1" applyAlignment="1">
      <alignment horizontal="left" vertical="top" wrapText="1"/>
    </xf>
    <xf numFmtId="10" fontId="1" fillId="0" borderId="5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top"/>
    </xf>
    <xf numFmtId="0" fontId="15" fillId="9" borderId="5" xfId="0" applyFont="1" applyFill="1" applyBorder="1" applyAlignment="1">
      <alignment horizontal="center" vertical="center"/>
    </xf>
    <xf numFmtId="0" fontId="2" fillId="9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Border="1" applyAlignment="1">
      <alignment horizontal="left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15" fillId="7" borderId="5" xfId="0" applyNumberFormat="1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/>
    </xf>
    <xf numFmtId="1" fontId="2" fillId="8" borderId="5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0" fontId="15" fillId="7" borderId="7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 vertical="center"/>
    </xf>
    <xf numFmtId="1" fontId="15" fillId="8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/>
    </xf>
    <xf numFmtId="17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/>
    </xf>
    <xf numFmtId="0" fontId="0" fillId="0" borderId="0" xfId="0" applyFill="1"/>
    <xf numFmtId="0" fontId="16" fillId="0" borderId="0" xfId="0" applyFont="1"/>
    <xf numFmtId="0" fontId="0" fillId="0" borderId="0" xfId="0" applyFont="1"/>
    <xf numFmtId="0" fontId="17" fillId="0" borderId="0" xfId="0" applyFont="1"/>
    <xf numFmtId="0" fontId="16" fillId="0" borderId="0" xfId="0" applyFont="1" applyFill="1"/>
    <xf numFmtId="0" fontId="17" fillId="0" borderId="0" xfId="0" applyFont="1" applyFill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0" fillId="0" borderId="0" xfId="0" applyFont="1" applyFill="1"/>
    <xf numFmtId="0" fontId="19" fillId="0" borderId="0" xfId="0" applyFont="1" applyFill="1"/>
    <xf numFmtId="0" fontId="21" fillId="0" borderId="0" xfId="0" applyFont="1"/>
    <xf numFmtId="2" fontId="22" fillId="2" borderId="10" xfId="49" applyNumberFormat="1" applyFont="1" applyFill="1" applyBorder="1" applyAlignment="1">
      <alignment horizontal="center" vertical="center" wrapText="1"/>
    </xf>
    <xf numFmtId="2" fontId="22" fillId="2" borderId="12" xfId="49" applyNumberFormat="1" applyFont="1" applyFill="1" applyBorder="1" applyAlignment="1">
      <alignment horizontal="center" vertical="center" wrapText="1"/>
    </xf>
    <xf numFmtId="2" fontId="22" fillId="2" borderId="11" xfId="49" applyNumberFormat="1" applyFont="1" applyFill="1" applyBorder="1" applyAlignment="1">
      <alignment horizontal="center" vertical="center" wrapText="1"/>
    </xf>
    <xf numFmtId="2" fontId="22" fillId="4" borderId="10" xfId="49" applyNumberFormat="1" applyFont="1" applyFill="1" applyBorder="1" applyAlignment="1">
      <alignment horizontal="center" vertical="center" wrapText="1"/>
    </xf>
    <xf numFmtId="2" fontId="22" fillId="4" borderId="12" xfId="49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1" xfId="0" applyFont="1" applyBorder="1" applyAlignment="1" applyProtection="1">
      <alignment horizontal="center" vertical="center" wrapText="1"/>
    </xf>
    <xf numFmtId="0" fontId="22" fillId="10" borderId="10" xfId="0" applyFont="1" applyFill="1" applyBorder="1" applyAlignment="1">
      <alignment horizontal="center" vertical="center" wrapText="1"/>
    </xf>
    <xf numFmtId="0" fontId="22" fillId="10" borderId="12" xfId="0" applyFont="1" applyFill="1" applyBorder="1" applyAlignment="1">
      <alignment horizontal="center" vertical="center" wrapText="1"/>
    </xf>
    <xf numFmtId="0" fontId="22" fillId="1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2" fontId="15" fillId="5" borderId="5" xfId="0" applyNumberFormat="1" applyFont="1" applyFill="1" applyBorder="1" applyAlignment="1">
      <alignment horizontal="center"/>
    </xf>
    <xf numFmtId="2" fontId="3" fillId="4" borderId="10" xfId="0" applyNumberFormat="1" applyFont="1" applyFill="1" applyBorder="1" applyAlignment="1">
      <alignment vertical="center"/>
    </xf>
    <xf numFmtId="2" fontId="3" fillId="4" borderId="12" xfId="0" applyNumberFormat="1" applyFont="1" applyFill="1" applyBorder="1" applyAlignment="1">
      <alignment vertical="center"/>
    </xf>
    <xf numFmtId="2" fontId="3" fillId="4" borderId="11" xfId="0" applyNumberFormat="1" applyFont="1" applyFill="1" applyBorder="1" applyAlignment="1">
      <alignment vertical="center"/>
    </xf>
    <xf numFmtId="49" fontId="23" fillId="4" borderId="10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/>
    </xf>
    <xf numFmtId="179" fontId="21" fillId="2" borderId="10" xfId="0" applyNumberFormat="1" applyFont="1" applyFill="1" applyBorder="1" applyAlignment="1">
      <alignment horizontal="right" vertical="center"/>
    </xf>
    <xf numFmtId="2" fontId="21" fillId="2" borderId="5" xfId="0" applyNumberFormat="1" applyFont="1" applyFill="1" applyBorder="1" applyAlignment="1">
      <alignment horizontal="center"/>
    </xf>
    <xf numFmtId="179" fontId="23" fillId="2" borderId="10" xfId="0" applyNumberFormat="1" applyFont="1" applyFill="1" applyBorder="1" applyAlignment="1">
      <alignment horizontal="center"/>
    </xf>
    <xf numFmtId="0" fontId="0" fillId="0" borderId="5" xfId="0" applyFont="1" applyBorder="1"/>
    <xf numFmtId="2" fontId="21" fillId="0" borderId="5" xfId="0" applyNumberFormat="1" applyFont="1" applyFill="1" applyBorder="1" applyAlignment="1">
      <alignment horizontal="right" vertical="center"/>
    </xf>
    <xf numFmtId="2" fontId="21" fillId="0" borderId="5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Fill="1" applyBorder="1" applyAlignment="1">
      <alignment horizontal="center" vertical="center"/>
    </xf>
    <xf numFmtId="2" fontId="23" fillId="0" borderId="10" xfId="0" applyNumberFormat="1" applyFont="1" applyFill="1" applyBorder="1" applyAlignment="1">
      <alignment horizontal="left" vertical="center"/>
    </xf>
    <xf numFmtId="2" fontId="21" fillId="0" borderId="12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0" fontId="3" fillId="2" borderId="15" xfId="49" applyFont="1" applyFill="1" applyBorder="1" applyAlignment="1">
      <alignment horizontal="center" vertical="center"/>
    </xf>
    <xf numFmtId="179" fontId="21" fillId="0" borderId="5" xfId="0" applyNumberFormat="1" applyFont="1" applyBorder="1" applyAlignment="1">
      <alignment horizontal="right" vertical="center" wrapText="1"/>
    </xf>
    <xf numFmtId="0" fontId="16" fillId="0" borderId="5" xfId="0" applyFont="1" applyBorder="1"/>
    <xf numFmtId="179" fontId="23" fillId="2" borderId="10" xfId="0" applyNumberFormat="1" applyFont="1" applyFill="1" applyBorder="1" applyAlignment="1">
      <alignment horizontal="left" vertical="center"/>
    </xf>
    <xf numFmtId="179" fontId="23" fillId="2" borderId="12" xfId="0" applyNumberFormat="1" applyFont="1" applyFill="1" applyBorder="1" applyAlignment="1">
      <alignment horizontal="left" vertical="center"/>
    </xf>
    <xf numFmtId="179" fontId="23" fillId="2" borderId="11" xfId="0" applyNumberFormat="1" applyFont="1" applyFill="1" applyBorder="1" applyAlignment="1">
      <alignment horizontal="left" vertical="center"/>
    </xf>
    <xf numFmtId="49" fontId="23" fillId="2" borderId="10" xfId="0" applyNumberFormat="1" applyFont="1" applyFill="1" applyBorder="1" applyAlignment="1">
      <alignment horizontal="center" vertical="center"/>
    </xf>
    <xf numFmtId="179" fontId="21" fillId="2" borderId="5" xfId="0" applyNumberFormat="1" applyFont="1" applyFill="1" applyBorder="1" applyAlignment="1">
      <alignment horizontal="right"/>
    </xf>
    <xf numFmtId="2" fontId="8" fillId="2" borderId="5" xfId="0" applyNumberFormat="1" applyFont="1" applyFill="1" applyBorder="1" applyAlignment="1">
      <alignment horizontal="right" vertical="center"/>
    </xf>
    <xf numFmtId="2" fontId="21" fillId="0" borderId="5" xfId="0" applyNumberFormat="1" applyFont="1" applyBorder="1" applyAlignment="1">
      <alignment horizontal="center"/>
    </xf>
    <xf numFmtId="0" fontId="17" fillId="0" borderId="5" xfId="0" applyFont="1" applyBorder="1"/>
    <xf numFmtId="2" fontId="21" fillId="2" borderId="5" xfId="0" applyNumberFormat="1" applyFont="1" applyFill="1" applyBorder="1" applyAlignment="1">
      <alignment horizontal="right"/>
    </xf>
    <xf numFmtId="0" fontId="8" fillId="2" borderId="5" xfId="0" applyNumberFormat="1" applyFont="1" applyFill="1" applyBorder="1" applyAlignment="1">
      <alignment horizontal="right" vertical="center"/>
    </xf>
    <xf numFmtId="2" fontId="21" fillId="0" borderId="7" xfId="49" applyNumberFormat="1" applyFont="1" applyFill="1" applyBorder="1" applyAlignment="1">
      <alignment horizontal="center" vertical="center" wrapText="1"/>
    </xf>
    <xf numFmtId="2" fontId="3" fillId="0" borderId="10" xfId="49" applyNumberFormat="1" applyFont="1" applyFill="1" applyBorder="1" applyAlignment="1">
      <alignment horizontal="left" vertical="center"/>
    </xf>
    <xf numFmtId="2" fontId="3" fillId="0" borderId="12" xfId="49" applyNumberFormat="1" applyFont="1" applyFill="1" applyBorder="1" applyAlignment="1">
      <alignment horizontal="left" vertical="center"/>
    </xf>
    <xf numFmtId="2" fontId="3" fillId="0" borderId="11" xfId="49" applyNumberFormat="1" applyFont="1" applyFill="1" applyBorder="1" applyAlignment="1">
      <alignment horizontal="left" vertical="center"/>
    </xf>
    <xf numFmtId="49" fontId="23" fillId="0" borderId="10" xfId="49" applyNumberFormat="1" applyFont="1" applyFill="1" applyBorder="1" applyAlignment="1">
      <alignment horizontal="center" vertical="center"/>
    </xf>
    <xf numFmtId="2" fontId="8" fillId="0" borderId="5" xfId="49" applyNumberFormat="1" applyFont="1" applyFill="1" applyBorder="1" applyAlignment="1">
      <alignment horizontal="right" vertical="center"/>
    </xf>
    <xf numFmtId="2" fontId="8" fillId="0" borderId="5" xfId="49" applyNumberFormat="1" applyFont="1" applyFill="1" applyBorder="1" applyAlignment="1">
      <alignment horizontal="center"/>
    </xf>
    <xf numFmtId="2" fontId="21" fillId="0" borderId="10" xfId="0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/>
    </xf>
    <xf numFmtId="0" fontId="21" fillId="0" borderId="5" xfId="0" applyFont="1" applyFill="1" applyBorder="1" applyAlignment="1">
      <alignment horizontal="right" vertical="center"/>
    </xf>
    <xf numFmtId="2" fontId="8" fillId="0" borderId="5" xfId="0" applyNumberFormat="1" applyFont="1" applyFill="1" applyBorder="1" applyAlignment="1">
      <alignment horizontal="center" wrapText="1"/>
    </xf>
    <xf numFmtId="0" fontId="23" fillId="0" borderId="5" xfId="0" applyFont="1" applyBorder="1" applyAlignment="1">
      <alignment horizontal="left" vertical="top"/>
    </xf>
    <xf numFmtId="0" fontId="23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49" fontId="23" fillId="0" borderId="10" xfId="0" applyNumberFormat="1" applyFont="1" applyBorder="1" applyAlignment="1">
      <alignment horizontal="center" vertical="center"/>
    </xf>
    <xf numFmtId="0" fontId="23" fillId="0" borderId="5" xfId="0" applyNumberFormat="1" applyFont="1" applyFill="1" applyBorder="1" applyAlignment="1">
      <alignment vertical="center"/>
    </xf>
    <xf numFmtId="1" fontId="23" fillId="0" borderId="10" xfId="0" applyNumberFormat="1" applyFont="1" applyFill="1" applyBorder="1" applyAlignment="1">
      <alignment horizontal="center" vertical="center"/>
    </xf>
    <xf numFmtId="0" fontId="0" fillId="0" borderId="5" xfId="0" applyFill="1" applyBorder="1"/>
    <xf numFmtId="0" fontId="23" fillId="5" borderId="5" xfId="0" applyFont="1" applyFill="1" applyBorder="1" applyAlignment="1">
      <alignment horizontal="center" vertical="center"/>
    </xf>
    <xf numFmtId="1" fontId="15" fillId="5" borderId="10" xfId="0" applyNumberFormat="1" applyFont="1" applyFill="1" applyBorder="1" applyAlignment="1">
      <alignment horizontal="center" vertical="center"/>
    </xf>
    <xf numFmtId="2" fontId="15" fillId="5" borderId="5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left"/>
    </xf>
    <xf numFmtId="0" fontId="23" fillId="0" borderId="11" xfId="0" applyFont="1" applyFill="1" applyBorder="1" applyAlignment="1">
      <alignment horizontal="left"/>
    </xf>
    <xf numFmtId="0" fontId="23" fillId="2" borderId="5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 vertical="center"/>
    </xf>
    <xf numFmtId="0" fontId="21" fillId="2" borderId="5" xfId="0" applyFont="1" applyFill="1" applyBorder="1" applyAlignment="1">
      <alignment horizontal="right" vertical="center"/>
    </xf>
    <xf numFmtId="2" fontId="21" fillId="2" borderId="5" xfId="0" applyNumberFormat="1" applyFont="1" applyFill="1" applyBorder="1" applyAlignment="1">
      <alignment horizontal="center" vertical="center"/>
    </xf>
    <xf numFmtId="179" fontId="23" fillId="2" borderId="10" xfId="0" applyNumberFormat="1" applyFont="1" applyFill="1" applyBorder="1" applyAlignment="1">
      <alignment horizontal="center" vertical="center"/>
    </xf>
    <xf numFmtId="0" fontId="16" fillId="0" borderId="5" xfId="0" applyFont="1" applyFill="1" applyBorder="1"/>
    <xf numFmtId="0" fontId="25" fillId="2" borderId="5" xfId="0" applyFont="1" applyFill="1" applyBorder="1" applyAlignment="1">
      <alignment horizontal="right"/>
    </xf>
    <xf numFmtId="0" fontId="23" fillId="2" borderId="5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right" vertical="center"/>
    </xf>
    <xf numFmtId="2" fontId="1" fillId="0" borderId="10" xfId="49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0" fontId="17" fillId="0" borderId="5" xfId="0" applyFont="1" applyFill="1" applyBorder="1"/>
    <xf numFmtId="0" fontId="21" fillId="2" borderId="5" xfId="0" applyNumberFormat="1" applyFont="1" applyFill="1" applyBorder="1" applyAlignment="1">
      <alignment horizontal="right"/>
    </xf>
    <xf numFmtId="2" fontId="8" fillId="2" borderId="5" xfId="0" applyNumberFormat="1" applyFont="1" applyFill="1" applyBorder="1" applyAlignment="1">
      <alignment horizontal="center" vertical="center"/>
    </xf>
    <xf numFmtId="2" fontId="26" fillId="2" borderId="5" xfId="0" applyNumberFormat="1" applyFont="1" applyFill="1" applyBorder="1" applyAlignment="1">
      <alignment horizontal="right" vertical="center"/>
    </xf>
    <xf numFmtId="2" fontId="8" fillId="2" borderId="7" xfId="0" applyNumberFormat="1" applyFont="1" applyFill="1" applyBorder="1" applyAlignment="1">
      <alignment horizontal="center" vertical="center"/>
    </xf>
    <xf numFmtId="2" fontId="8" fillId="0" borderId="16" xfId="49" applyNumberFormat="1" applyFont="1" applyFill="1" applyBorder="1" applyAlignment="1">
      <alignment horizontal="right" vertical="center"/>
    </xf>
    <xf numFmtId="2" fontId="8" fillId="0" borderId="5" xfId="49" applyNumberFormat="1" applyFont="1" applyFill="1" applyBorder="1" applyAlignment="1">
      <alignment horizontal="center" vertical="center" wrapText="1"/>
    </xf>
    <xf numFmtId="2" fontId="23" fillId="0" borderId="16" xfId="49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 applyProtection="1">
      <alignment horizontal="left" vertical="center"/>
    </xf>
    <xf numFmtId="0" fontId="3" fillId="0" borderId="5" xfId="0" applyFont="1" applyFill="1" applyBorder="1" applyAlignment="1" applyProtection="1">
      <alignment horizontal="left" vertical="center"/>
    </xf>
    <xf numFmtId="0" fontId="23" fillId="0" borderId="16" xfId="49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 applyProtection="1">
      <alignment horizontal="right" vertical="center"/>
    </xf>
    <xf numFmtId="2" fontId="21" fillId="0" borderId="5" xfId="0" applyNumberFormat="1" applyFont="1" applyFill="1" applyBorder="1" applyAlignment="1" applyProtection="1">
      <alignment horizontal="center" vertical="center"/>
    </xf>
    <xf numFmtId="1" fontId="21" fillId="0" borderId="10" xfId="0" applyNumberFormat="1" applyFont="1" applyFill="1" applyBorder="1" applyAlignment="1" applyProtection="1">
      <alignment horizontal="center" vertical="center"/>
    </xf>
    <xf numFmtId="0" fontId="21" fillId="0" borderId="10" xfId="0" applyFont="1" applyBorder="1" applyAlignment="1">
      <alignment horizontal="right" vertical="center" wrapText="1"/>
    </xf>
    <xf numFmtId="2" fontId="21" fillId="0" borderId="5" xfId="0" applyNumberFormat="1" applyFont="1" applyBorder="1" applyAlignment="1">
      <alignment horizontal="center" vertical="center"/>
    </xf>
    <xf numFmtId="2" fontId="23" fillId="0" borderId="10" xfId="0" applyNumberFormat="1" applyFont="1" applyBorder="1" applyAlignment="1">
      <alignment horizontal="center" vertical="center"/>
    </xf>
    <xf numFmtId="0" fontId="21" fillId="0" borderId="10" xfId="0" applyFont="1" applyFill="1" applyBorder="1" applyAlignment="1" applyProtection="1">
      <alignment horizontal="center" vertical="center"/>
    </xf>
    <xf numFmtId="179" fontId="21" fillId="2" borderId="5" xfId="0" applyNumberFormat="1" applyFont="1" applyFill="1" applyBorder="1" applyAlignment="1">
      <alignment horizontal="right" vertical="center"/>
    </xf>
    <xf numFmtId="2" fontId="8" fillId="0" borderId="5" xfId="49" applyNumberFormat="1" applyFont="1" applyFill="1" applyBorder="1" applyAlignment="1">
      <alignment horizontal="center" vertical="center"/>
    </xf>
    <xf numFmtId="2" fontId="23" fillId="0" borderId="10" xfId="49" applyNumberFormat="1" applyFont="1" applyFill="1" applyBorder="1" applyAlignment="1">
      <alignment horizontal="center" vertical="center"/>
    </xf>
    <xf numFmtId="179" fontId="23" fillId="0" borderId="10" xfId="0" applyNumberFormat="1" applyFont="1" applyBorder="1"/>
    <xf numFmtId="179" fontId="23" fillId="2" borderId="5" xfId="0" applyNumberFormat="1" applyFont="1" applyFill="1" applyBorder="1" applyAlignment="1">
      <alignment horizontal="right" vertical="center"/>
    </xf>
    <xf numFmtId="2" fontId="23" fillId="0" borderId="5" xfId="0" applyNumberFormat="1" applyFont="1" applyFill="1" applyBorder="1" applyAlignment="1" applyProtection="1">
      <alignment horizontal="center" vertical="center"/>
    </xf>
    <xf numFmtId="2" fontId="3" fillId="2" borderId="10" xfId="49" applyNumberFormat="1" applyFont="1" applyFill="1" applyBorder="1" applyAlignment="1">
      <alignment horizontal="left" vertical="center"/>
    </xf>
    <xf numFmtId="2" fontId="3" fillId="2" borderId="12" xfId="49" applyNumberFormat="1" applyFont="1" applyFill="1" applyBorder="1" applyAlignment="1">
      <alignment horizontal="left" vertical="center"/>
    </xf>
    <xf numFmtId="2" fontId="3" fillId="2" borderId="11" xfId="49" applyNumberFormat="1" applyFont="1" applyFill="1" applyBorder="1" applyAlignment="1">
      <alignment horizontal="left" vertical="center"/>
    </xf>
    <xf numFmtId="1" fontId="23" fillId="2" borderId="10" xfId="49" applyNumberFormat="1" applyFont="1" applyFill="1" applyBorder="1" applyAlignment="1">
      <alignment horizontal="center" vertical="center"/>
    </xf>
    <xf numFmtId="2" fontId="8" fillId="2" borderId="5" xfId="49" applyNumberFormat="1" applyFont="1" applyFill="1" applyBorder="1" applyAlignment="1">
      <alignment horizontal="center" vertical="center"/>
    </xf>
    <xf numFmtId="2" fontId="23" fillId="2" borderId="10" xfId="49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left" vertical="center"/>
    </xf>
    <xf numFmtId="2" fontId="3" fillId="0" borderId="12" xfId="0" applyNumberFormat="1" applyFont="1" applyFill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left" vertical="center"/>
    </xf>
    <xf numFmtId="1" fontId="23" fillId="0" borderId="10" xfId="49" applyNumberFormat="1" applyFont="1" applyFill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1" fillId="0" borderId="5" xfId="0" applyNumberFormat="1" applyFont="1" applyFill="1" applyBorder="1" applyAlignment="1">
      <alignment horizontal="center"/>
    </xf>
    <xf numFmtId="0" fontId="23" fillId="0" borderId="5" xfId="0" applyFont="1" applyBorder="1"/>
    <xf numFmtId="2" fontId="3" fillId="0" borderId="5" xfId="49" applyNumberFormat="1" applyFont="1" applyFill="1" applyBorder="1" applyAlignment="1">
      <alignment horizontal="left" vertical="center" wrapText="1"/>
    </xf>
    <xf numFmtId="0" fontId="21" fillId="5" borderId="5" xfId="0" applyFont="1" applyFill="1" applyBorder="1" applyAlignment="1">
      <alignment horizontal="center" vertical="center"/>
    </xf>
    <xf numFmtId="0" fontId="3" fillId="2" borderId="5" xfId="0" applyFont="1" applyFill="1" applyBorder="1"/>
    <xf numFmtId="0" fontId="21" fillId="2" borderId="5" xfId="0" applyFont="1" applyFill="1" applyBorder="1"/>
    <xf numFmtId="2" fontId="2" fillId="0" borderId="5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right"/>
    </xf>
    <xf numFmtId="0" fontId="23" fillId="0" borderId="10" xfId="0" applyFont="1" applyBorder="1" applyAlignment="1">
      <alignment horizontal="center" vertical="center"/>
    </xf>
    <xf numFmtId="0" fontId="21" fillId="0" borderId="5" xfId="0" applyFont="1" applyBorder="1" applyAlignment="1">
      <alignment horizontal="right" vertical="center" wrapText="1"/>
    </xf>
    <xf numFmtId="2" fontId="8" fillId="0" borderId="5" xfId="0" applyNumberFormat="1" applyFont="1" applyFill="1" applyBorder="1" applyAlignment="1">
      <alignment horizontal="right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23" fillId="0" borderId="10" xfId="0" applyNumberFormat="1" applyFont="1" applyFill="1" applyBorder="1" applyAlignment="1">
      <alignment horizontal="center" vertical="center"/>
    </xf>
    <xf numFmtId="2" fontId="21" fillId="2" borderId="5" xfId="0" applyNumberFormat="1" applyFont="1" applyFill="1" applyBorder="1" applyAlignment="1">
      <alignment horizontal="right" vertical="center" wrapText="1"/>
    </xf>
    <xf numFmtId="2" fontId="3" fillId="0" borderId="5" xfId="49" applyNumberFormat="1" applyFont="1" applyFill="1" applyBorder="1" applyAlignment="1">
      <alignment horizontal="center" vertical="center"/>
    </xf>
    <xf numFmtId="179" fontId="21" fillId="4" borderId="5" xfId="49" applyNumberFormat="1" applyFont="1" applyFill="1" applyBorder="1" applyAlignment="1">
      <alignment horizontal="right" vertical="center" wrapText="1"/>
    </xf>
    <xf numFmtId="2" fontId="21" fillId="0" borderId="5" xfId="49" applyNumberFormat="1" applyFont="1" applyFill="1" applyBorder="1" applyAlignment="1">
      <alignment horizontal="center" vertical="center"/>
    </xf>
    <xf numFmtId="179" fontId="23" fillId="0" borderId="10" xfId="49" applyNumberFormat="1" applyFont="1" applyFill="1" applyBorder="1" applyAlignment="1">
      <alignment horizontal="center" vertical="center"/>
    </xf>
    <xf numFmtId="2" fontId="3" fillId="2" borderId="10" xfId="49" applyNumberFormat="1" applyFont="1" applyFill="1" applyBorder="1" applyAlignment="1">
      <alignment horizontal="left" vertical="center" wrapText="1"/>
    </xf>
    <xf numFmtId="2" fontId="3" fillId="2" borderId="12" xfId="49" applyNumberFormat="1" applyFont="1" applyFill="1" applyBorder="1" applyAlignment="1">
      <alignment horizontal="left" vertical="center" wrapText="1"/>
    </xf>
    <xf numFmtId="2" fontId="3" fillId="2" borderId="11" xfId="49" applyNumberFormat="1" applyFont="1" applyFill="1" applyBorder="1" applyAlignment="1">
      <alignment horizontal="left" vertical="center" wrapText="1"/>
    </xf>
    <xf numFmtId="2" fontId="8" fillId="2" borderId="5" xfId="49" applyNumberFormat="1" applyFont="1" applyFill="1" applyBorder="1" applyAlignment="1">
      <alignment horizontal="right" vertical="center" wrapText="1"/>
    </xf>
    <xf numFmtId="2" fontId="21" fillId="2" borderId="10" xfId="49" applyNumberFormat="1" applyFont="1" applyFill="1" applyBorder="1" applyAlignment="1">
      <alignment horizontal="center" vertical="center"/>
    </xf>
    <xf numFmtId="0" fontId="14" fillId="11" borderId="5" xfId="0" applyFont="1" applyFill="1" applyBorder="1" applyAlignment="1">
      <alignment horizontal="left"/>
    </xf>
    <xf numFmtId="0" fontId="12" fillId="11" borderId="5" xfId="0" applyFont="1" applyFill="1" applyBorder="1" applyAlignment="1">
      <alignment horizontal="center"/>
    </xf>
    <xf numFmtId="0" fontId="14" fillId="11" borderId="10" xfId="0" applyFont="1" applyFill="1" applyBorder="1" applyAlignment="1">
      <alignment horizontal="center"/>
    </xf>
    <xf numFmtId="2" fontId="14" fillId="11" borderId="5" xfId="0" applyNumberFormat="1" applyFont="1" applyFill="1" applyBorder="1" applyAlignment="1">
      <alignment horizontal="center"/>
    </xf>
    <xf numFmtId="0" fontId="15" fillId="5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8" fillId="4" borderId="5" xfId="0" applyNumberFormat="1" applyFont="1" applyFill="1" applyBorder="1" applyAlignment="1">
      <alignment horizontal="center" vertical="center"/>
    </xf>
    <xf numFmtId="2" fontId="23" fillId="4" borderId="10" xfId="0" applyNumberFormat="1" applyFont="1" applyFill="1" applyBorder="1" applyAlignment="1">
      <alignment horizontal="center" vertical="center"/>
    </xf>
    <xf numFmtId="2" fontId="21" fillId="0" borderId="5" xfId="0" applyNumberFormat="1" applyFont="1" applyBorder="1" applyAlignment="1">
      <alignment horizontal="right"/>
    </xf>
    <xf numFmtId="2" fontId="21" fillId="0" borderId="5" xfId="0" applyNumberFormat="1" applyFont="1" applyFill="1" applyBorder="1" applyAlignment="1">
      <alignment horizontal="center" vertical="center"/>
    </xf>
    <xf numFmtId="0" fontId="0" fillId="0" borderId="5" xfId="0" applyBorder="1"/>
    <xf numFmtId="2" fontId="3" fillId="0" borderId="5" xfId="0" applyNumberFormat="1" applyFont="1" applyFill="1" applyBorder="1" applyAlignment="1">
      <alignment horizontal="left" vertical="center"/>
    </xf>
    <xf numFmtId="49" fontId="23" fillId="0" borderId="10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0" fontId="20" fillId="0" borderId="5" xfId="0" applyFont="1" applyBorder="1"/>
    <xf numFmtId="49" fontId="21" fillId="0" borderId="10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2" fontId="2" fillId="2" borderId="5" xfId="0" applyNumberFormat="1" applyFont="1" applyFill="1" applyBorder="1" applyAlignment="1">
      <alignment horizontal="center"/>
    </xf>
    <xf numFmtId="49" fontId="15" fillId="5" borderId="10" xfId="0" applyNumberFormat="1" applyFont="1" applyFill="1" applyBorder="1" applyAlignment="1">
      <alignment horizontal="center" vertical="center"/>
    </xf>
    <xf numFmtId="179" fontId="15" fillId="0" borderId="10" xfId="49" applyNumberFormat="1" applyFont="1" applyFill="1" applyBorder="1" applyAlignment="1">
      <alignment horizontal="left" vertical="center" wrapText="1"/>
    </xf>
    <xf numFmtId="179" fontId="15" fillId="0" borderId="12" xfId="49" applyNumberFormat="1" applyFont="1" applyFill="1" applyBorder="1" applyAlignment="1">
      <alignment horizontal="left" vertical="center" wrapText="1"/>
    </xf>
    <xf numFmtId="179" fontId="15" fillId="0" borderId="11" xfId="49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right"/>
    </xf>
    <xf numFmtId="0" fontId="21" fillId="2" borderId="5" xfId="0" applyFont="1" applyFill="1" applyBorder="1" applyAlignment="1">
      <alignment horizontal="center" vertical="center"/>
    </xf>
    <xf numFmtId="179" fontId="23" fillId="4" borderId="10" xfId="49" applyNumberFormat="1" applyFont="1" applyFill="1" applyBorder="1" applyAlignment="1">
      <alignment horizontal="center" vertical="center"/>
    </xf>
    <xf numFmtId="179" fontId="21" fillId="4" borderId="5" xfId="49" applyNumberFormat="1" applyFont="1" applyFill="1" applyBorder="1" applyAlignment="1">
      <alignment horizontal="right" vertical="center"/>
    </xf>
    <xf numFmtId="2" fontId="21" fillId="4" borderId="5" xfId="49" applyNumberFormat="1" applyFont="1" applyFill="1" applyBorder="1" applyAlignment="1">
      <alignment horizontal="center" vertical="center"/>
    </xf>
    <xf numFmtId="0" fontId="21" fillId="0" borderId="5" xfId="0" applyNumberFormat="1" applyFont="1" applyFill="1" applyBorder="1" applyAlignment="1">
      <alignment horizontal="right"/>
    </xf>
    <xf numFmtId="2" fontId="3" fillId="2" borderId="10" xfId="0" applyNumberFormat="1" applyFont="1" applyFill="1" applyBorder="1" applyAlignment="1" applyProtection="1">
      <alignment horizontal="left" vertical="center"/>
    </xf>
    <xf numFmtId="2" fontId="3" fillId="2" borderId="12" xfId="0" applyNumberFormat="1" applyFont="1" applyFill="1" applyBorder="1" applyAlignment="1" applyProtection="1">
      <alignment horizontal="left" vertical="center"/>
    </xf>
    <xf numFmtId="2" fontId="3" fillId="2" borderId="11" xfId="0" applyNumberFormat="1" applyFont="1" applyFill="1" applyBorder="1" applyAlignment="1" applyProtection="1">
      <alignment horizontal="left" vertical="center"/>
    </xf>
    <xf numFmtId="1" fontId="23" fillId="0" borderId="16" xfId="49" applyNumberFormat="1" applyFont="1" applyFill="1" applyBorder="1" applyAlignment="1">
      <alignment horizontal="center" vertical="center" wrapText="1"/>
    </xf>
    <xf numFmtId="2" fontId="8" fillId="0" borderId="5" xfId="49" applyNumberFormat="1" applyFont="1" applyFill="1" applyBorder="1" applyAlignment="1">
      <alignment horizontal="right" vertical="center" wrapText="1"/>
    </xf>
    <xf numFmtId="2" fontId="8" fillId="0" borderId="5" xfId="0" applyNumberFormat="1" applyFont="1" applyFill="1" applyBorder="1" applyAlignment="1" applyProtection="1">
      <alignment horizontal="center" vertical="center"/>
    </xf>
    <xf numFmtId="2" fontId="8" fillId="0" borderId="10" xfId="0" applyNumberFormat="1" applyFont="1" applyFill="1" applyBorder="1"/>
    <xf numFmtId="2" fontId="8" fillId="0" borderId="7" xfId="49" applyNumberFormat="1" applyFont="1" applyFill="1" applyBorder="1" applyAlignment="1">
      <alignment horizontal="right" vertical="center" wrapText="1"/>
    </xf>
    <xf numFmtId="2" fontId="8" fillId="0" borderId="7" xfId="0" applyNumberFormat="1" applyFont="1" applyFill="1" applyBorder="1" applyAlignment="1">
      <alignment horizontal="center" vertical="center"/>
    </xf>
    <xf numFmtId="2" fontId="8" fillId="0" borderId="16" xfId="0" applyNumberFormat="1" applyFont="1" applyFill="1" applyBorder="1"/>
    <xf numFmtId="0" fontId="21" fillId="0" borderId="7" xfId="0" applyNumberFormat="1" applyFont="1" applyFill="1" applyBorder="1" applyAlignment="1">
      <alignment horizontal="right" vertical="center"/>
    </xf>
    <xf numFmtId="2" fontId="21" fillId="0" borderId="7" xfId="0" applyNumberFormat="1" applyFont="1" applyFill="1" applyBorder="1" applyAlignment="1">
      <alignment horizontal="center" vertical="center"/>
    </xf>
    <xf numFmtId="2" fontId="3" fillId="0" borderId="5" xfId="49" applyNumberFormat="1" applyFont="1" applyFill="1" applyBorder="1" applyAlignment="1">
      <alignment horizontal="right" vertical="center"/>
    </xf>
    <xf numFmtId="2" fontId="3" fillId="0" borderId="5" xfId="49" applyNumberFormat="1" applyFont="1" applyFill="1" applyBorder="1" applyAlignment="1">
      <alignment horizontal="center" vertical="center" wrapText="1"/>
    </xf>
    <xf numFmtId="2" fontId="23" fillId="0" borderId="10" xfId="49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center" vertical="center"/>
    </xf>
    <xf numFmtId="1" fontId="23" fillId="2" borderId="10" xfId="0" applyNumberFormat="1" applyFont="1" applyFill="1" applyBorder="1" applyAlignment="1" applyProtection="1">
      <alignment horizontal="center" vertical="center"/>
    </xf>
    <xf numFmtId="0" fontId="21" fillId="2" borderId="5" xfId="0" applyFont="1" applyFill="1" applyBorder="1" applyAlignment="1" applyProtection="1">
      <alignment horizontal="right" vertical="center" wrapText="1"/>
    </xf>
    <xf numFmtId="2" fontId="26" fillId="0" borderId="5" xfId="0" applyNumberFormat="1" applyFont="1" applyFill="1" applyBorder="1" applyAlignment="1" applyProtection="1">
      <alignment horizontal="right" vertical="center"/>
    </xf>
    <xf numFmtId="2" fontId="26" fillId="0" borderId="5" xfId="0" applyNumberFormat="1" applyFont="1" applyFill="1" applyBorder="1" applyAlignment="1" applyProtection="1">
      <alignment horizontal="center" vertical="center"/>
    </xf>
    <xf numFmtId="1" fontId="26" fillId="0" borderId="5" xfId="0" applyNumberFormat="1" applyFont="1" applyFill="1" applyBorder="1" applyAlignment="1" applyProtection="1">
      <alignment horizontal="center" vertical="center"/>
    </xf>
    <xf numFmtId="2" fontId="21" fillId="0" borderId="10" xfId="0" applyNumberFormat="1" applyFont="1" applyFill="1" applyBorder="1" applyAlignment="1" applyProtection="1">
      <alignment horizontal="center" vertical="center"/>
    </xf>
    <xf numFmtId="2" fontId="8" fillId="0" borderId="5" xfId="0" applyNumberFormat="1" applyFont="1" applyFill="1" applyBorder="1" applyAlignment="1" applyProtection="1">
      <alignment horizontal="right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1" fontId="23" fillId="4" borderId="10" xfId="49" applyNumberFormat="1" applyFont="1" applyFill="1" applyBorder="1" applyAlignment="1">
      <alignment horizontal="center" vertical="center"/>
    </xf>
    <xf numFmtId="0" fontId="19" fillId="0" borderId="5" xfId="0" applyFont="1" applyFill="1" applyBorder="1"/>
    <xf numFmtId="0" fontId="8" fillId="0" borderId="5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2" fontId="23" fillId="2" borderId="10" xfId="0" applyNumberFormat="1" applyFont="1" applyFill="1" applyBorder="1" applyAlignment="1">
      <alignment horizontal="center"/>
    </xf>
    <xf numFmtId="0" fontId="8" fillId="2" borderId="5" xfId="53" applyFont="1" applyFill="1" applyBorder="1" applyAlignment="1">
      <alignment horizontal="right" vertical="center" wrapText="1"/>
    </xf>
    <xf numFmtId="2" fontId="23" fillId="2" borderId="5" xfId="0" applyNumberFormat="1" applyFont="1" applyFill="1" applyBorder="1" applyAlignment="1">
      <alignment horizontal="right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0" borderId="5" xfId="49" applyNumberFormat="1" applyFont="1" applyFill="1" applyBorder="1" applyAlignment="1">
      <alignment horizontal="left" vertical="center"/>
    </xf>
    <xf numFmtId="1" fontId="3" fillId="0" borderId="10" xfId="0" applyNumberFormat="1" applyFont="1" applyFill="1" applyBorder="1" applyAlignment="1">
      <alignment horizontal="center" vertical="center"/>
    </xf>
    <xf numFmtId="2" fontId="21" fillId="0" borderId="10" xfId="49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/>
    </xf>
    <xf numFmtId="179" fontId="23" fillId="2" borderId="5" xfId="49" applyNumberFormat="1" applyFont="1" applyFill="1" applyBorder="1" applyAlignment="1">
      <alignment horizontal="left" vertical="center"/>
    </xf>
    <xf numFmtId="2" fontId="21" fillId="2" borderId="5" xfId="49" applyNumberFormat="1" applyFont="1" applyFill="1" applyBorder="1" applyAlignment="1">
      <alignment horizontal="center" vertical="center"/>
    </xf>
    <xf numFmtId="49" fontId="23" fillId="2" borderId="10" xfId="49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23" fillId="0" borderId="11" xfId="0" applyFont="1" applyBorder="1" applyAlignment="1">
      <alignment horizontal="left" vertical="center"/>
    </xf>
    <xf numFmtId="179" fontId="25" fillId="0" borderId="5" xfId="0" applyNumberFormat="1" applyFont="1" applyBorder="1" applyAlignment="1">
      <alignment horizontal="right"/>
    </xf>
    <xf numFmtId="2" fontId="25" fillId="0" borderId="5" xfId="0" applyNumberFormat="1" applyFont="1" applyBorder="1" applyAlignment="1">
      <alignment horizontal="center"/>
    </xf>
    <xf numFmtId="179" fontId="21" fillId="4" borderId="10" xfId="0" applyNumberFormat="1" applyFont="1" applyFill="1" applyBorder="1" applyAlignment="1">
      <alignment horizontal="right" vertical="center"/>
    </xf>
    <xf numFmtId="0" fontId="21" fillId="0" borderId="5" xfId="0" applyFont="1" applyFill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1" fontId="23" fillId="5" borderId="10" xfId="0" applyNumberFormat="1" applyFont="1" applyFill="1" applyBorder="1" applyAlignment="1">
      <alignment horizontal="center" vertical="center"/>
    </xf>
    <xf numFmtId="10" fontId="23" fillId="0" borderId="10" xfId="49" applyNumberFormat="1" applyFont="1" applyFill="1" applyBorder="1" applyAlignment="1">
      <alignment horizontal="left" vertical="center" wrapText="1"/>
    </xf>
    <xf numFmtId="10" fontId="23" fillId="0" borderId="12" xfId="49" applyNumberFormat="1" applyFont="1" applyFill="1" applyBorder="1" applyAlignment="1">
      <alignment horizontal="left" vertical="center" wrapText="1"/>
    </xf>
    <xf numFmtId="10" fontId="23" fillId="0" borderId="11" xfId="49" applyNumberFormat="1" applyFont="1" applyFill="1" applyBorder="1" applyAlignment="1">
      <alignment horizontal="left" vertical="center" wrapText="1"/>
    </xf>
    <xf numFmtId="1" fontId="23" fillId="0" borderId="10" xfId="49" applyNumberFormat="1" applyFont="1" applyFill="1" applyBorder="1" applyAlignment="1">
      <alignment horizontal="center" vertical="center" wrapText="1"/>
    </xf>
    <xf numFmtId="0" fontId="23" fillId="0" borderId="16" xfId="49" applyFont="1" applyFill="1" applyBorder="1" applyAlignment="1">
      <alignment horizontal="center" vertical="center" wrapText="1"/>
    </xf>
    <xf numFmtId="0" fontId="0" fillId="0" borderId="5" xfId="0" applyFont="1" applyFill="1" applyBorder="1"/>
    <xf numFmtId="1" fontId="23" fillId="2" borderId="10" xfId="0" applyNumberFormat="1" applyFont="1" applyFill="1" applyBorder="1" applyAlignment="1">
      <alignment horizontal="center" vertical="center"/>
    </xf>
    <xf numFmtId="179" fontId="21" fillId="0" borderId="10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 applyProtection="1">
      <alignment horizontal="right" vertical="center" wrapText="1"/>
    </xf>
    <xf numFmtId="2" fontId="8" fillId="0" borderId="5" xfId="53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right" vertical="center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23" fillId="0" borderId="7" xfId="0" applyNumberFormat="1" applyFont="1" applyFill="1" applyBorder="1" applyAlignment="1">
      <alignment horizontal="left" vertical="center"/>
    </xf>
    <xf numFmtId="0" fontId="21" fillId="0" borderId="7" xfId="0" applyNumberFormat="1" applyFont="1" applyFill="1" applyBorder="1" applyAlignment="1">
      <alignment horizontal="center" vertical="center"/>
    </xf>
    <xf numFmtId="0" fontId="25" fillId="0" borderId="7" xfId="0" applyNumberFormat="1" applyFont="1" applyFill="1" applyBorder="1" applyAlignment="1">
      <alignment horizontal="right" vertical="center"/>
    </xf>
    <xf numFmtId="2" fontId="25" fillId="0" borderId="7" xfId="0" applyNumberFormat="1" applyFont="1" applyFill="1" applyBorder="1" applyAlignment="1">
      <alignment horizontal="center" vertical="center"/>
    </xf>
    <xf numFmtId="1" fontId="25" fillId="0" borderId="7" xfId="0" applyNumberFormat="1" applyFont="1" applyFill="1" applyBorder="1" applyAlignment="1">
      <alignment horizontal="center" vertical="center"/>
    </xf>
    <xf numFmtId="49" fontId="23" fillId="5" borderId="10" xfId="0" applyNumberFormat="1" applyFont="1" applyFill="1" applyBorder="1" applyAlignment="1">
      <alignment horizontal="center" vertical="center"/>
    </xf>
    <xf numFmtId="179" fontId="23" fillId="0" borderId="5" xfId="0" applyNumberFormat="1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right" vertical="center"/>
    </xf>
    <xf numFmtId="2" fontId="23" fillId="0" borderId="5" xfId="0" applyNumberFormat="1" applyFont="1" applyFill="1" applyBorder="1" applyAlignment="1">
      <alignment horizontal="center" vertical="center"/>
    </xf>
    <xf numFmtId="179" fontId="23" fillId="0" borderId="10" xfId="0" applyNumberFormat="1" applyFont="1" applyBorder="1" applyAlignment="1">
      <alignment horizontal="center" vertical="center"/>
    </xf>
    <xf numFmtId="49" fontId="26" fillId="5" borderId="10" xfId="0" applyNumberFormat="1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vertical="center"/>
    </xf>
    <xf numFmtId="2" fontId="8" fillId="0" borderId="5" xfId="49" applyNumberFormat="1" applyFont="1" applyFill="1" applyBorder="1" applyAlignment="1" applyProtection="1">
      <alignment horizontal="right" vertical="center"/>
    </xf>
    <xf numFmtId="0" fontId="23" fillId="5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vertical="center"/>
    </xf>
    <xf numFmtId="2" fontId="8" fillId="2" borderId="5" xfId="53" applyNumberFormat="1" applyFont="1" applyFill="1" applyBorder="1" applyAlignment="1">
      <alignment horizontal="center" vertical="center"/>
    </xf>
    <xf numFmtId="0" fontId="21" fillId="0" borderId="10" xfId="0" applyFont="1" applyBorder="1"/>
    <xf numFmtId="0" fontId="21" fillId="0" borderId="10" xfId="0" applyFont="1" applyBorder="1" applyAlignment="1">
      <alignment horizontal="right"/>
    </xf>
    <xf numFmtId="0" fontId="21" fillId="0" borderId="10" xfId="0" applyFont="1" applyFill="1" applyBorder="1"/>
    <xf numFmtId="2" fontId="21" fillId="0" borderId="12" xfId="0" applyNumberFormat="1" applyFont="1" applyFill="1" applyBorder="1" applyAlignment="1">
      <alignment horizontal="center"/>
    </xf>
    <xf numFmtId="2" fontId="21" fillId="0" borderId="11" xfId="0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2" fontId="8" fillId="0" borderId="5" xfId="0" applyNumberFormat="1" applyFont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1" fontId="3" fillId="2" borderId="10" xfId="0" applyNumberFormat="1" applyFont="1" applyFill="1" applyBorder="1" applyAlignment="1">
      <alignment horizontal="center" vertical="center"/>
    </xf>
    <xf numFmtId="0" fontId="23" fillId="0" borderId="5" xfId="0" applyNumberFormat="1" applyFont="1" applyFill="1" applyBorder="1" applyAlignment="1">
      <alignment horizontal="right" vertical="center"/>
    </xf>
    <xf numFmtId="1" fontId="23" fillId="0" borderId="5" xfId="0" applyNumberFormat="1" applyFont="1" applyFill="1" applyBorder="1" applyAlignment="1">
      <alignment horizontal="center" vertical="center"/>
    </xf>
    <xf numFmtId="0" fontId="21" fillId="0" borderId="10" xfId="0" applyNumberFormat="1" applyFont="1" applyFill="1" applyBorder="1" applyAlignment="1">
      <alignment horizontal="right" vertical="center"/>
    </xf>
    <xf numFmtId="0" fontId="21" fillId="0" borderId="5" xfId="0" applyNumberFormat="1" applyFont="1" applyFill="1" applyBorder="1" applyAlignment="1">
      <alignment horizontal="right" vertical="center"/>
    </xf>
    <xf numFmtId="2" fontId="23" fillId="2" borderId="10" xfId="0" applyNumberFormat="1" applyFont="1" applyFill="1" applyBorder="1" applyAlignment="1">
      <alignment horizontal="center" vertical="center"/>
    </xf>
    <xf numFmtId="2" fontId="21" fillId="2" borderId="10" xfId="0" applyNumberFormat="1" applyFont="1" applyFill="1" applyBorder="1" applyAlignment="1">
      <alignment horizontal="center"/>
    </xf>
    <xf numFmtId="2" fontId="21" fillId="2" borderId="12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2" fontId="21" fillId="0" borderId="7" xfId="0" applyNumberFormat="1" applyFont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left" vertical="center" wrapText="1"/>
    </xf>
    <xf numFmtId="2" fontId="3" fillId="2" borderId="5" xfId="0" applyNumberFormat="1" applyFont="1" applyFill="1" applyBorder="1" applyAlignment="1">
      <alignment horizontal="right" vertical="center" wrapText="1"/>
    </xf>
    <xf numFmtId="2" fontId="26" fillId="2" borderId="5" xfId="0" applyNumberFormat="1" applyFont="1" applyFill="1" applyBorder="1" applyAlignment="1">
      <alignment horizontal="center" vertical="center" wrapText="1"/>
    </xf>
    <xf numFmtId="179" fontId="21" fillId="0" borderId="5" xfId="49" applyNumberFormat="1" applyFont="1" applyFill="1" applyBorder="1" applyAlignment="1">
      <alignment horizontal="right" vertical="center" wrapText="1"/>
    </xf>
    <xf numFmtId="0" fontId="3" fillId="2" borderId="10" xfId="49" applyFont="1" applyFill="1" applyBorder="1" applyAlignment="1">
      <alignment vertical="center"/>
    </xf>
    <xf numFmtId="0" fontId="3" fillId="2" borderId="10" xfId="49" applyFont="1" applyFill="1" applyBorder="1" applyAlignment="1">
      <alignment horizontal="center" vertical="center"/>
    </xf>
    <xf numFmtId="179" fontId="21" fillId="0" borderId="5" xfId="0" applyNumberFormat="1" applyFont="1" applyFill="1" applyBorder="1" applyAlignment="1">
      <alignment horizontal="right" vertical="center"/>
    </xf>
    <xf numFmtId="0" fontId="26" fillId="5" borderId="10" xfId="0" applyFont="1" applyFill="1" applyBorder="1" applyAlignment="1">
      <alignment horizontal="center" vertical="center" wrapText="1"/>
    </xf>
    <xf numFmtId="180" fontId="3" fillId="0" borderId="10" xfId="0" applyNumberFormat="1" applyFont="1" applyFill="1" applyBorder="1" applyAlignment="1">
      <alignment horizontal="left" vertical="center"/>
    </xf>
    <xf numFmtId="180" fontId="3" fillId="0" borderId="12" xfId="0" applyNumberFormat="1" applyFont="1" applyFill="1" applyBorder="1" applyAlignment="1">
      <alignment horizontal="left" vertical="center"/>
    </xf>
    <xf numFmtId="180" fontId="3" fillId="0" borderId="11" xfId="0" applyNumberFormat="1" applyFont="1" applyFill="1" applyBorder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2" fontId="23" fillId="0" borderId="5" xfId="0" applyNumberFormat="1" applyFont="1" applyBorder="1" applyAlignment="1">
      <alignment horizontal="left" wrapText="1"/>
    </xf>
    <xf numFmtId="0" fontId="23" fillId="0" borderId="10" xfId="0" applyNumberFormat="1" applyFont="1" applyBorder="1" applyAlignment="1">
      <alignment horizontal="center" vertical="center"/>
    </xf>
    <xf numFmtId="2" fontId="8" fillId="2" borderId="5" xfId="0" applyNumberFormat="1" applyFont="1" applyFill="1" applyBorder="1" applyAlignment="1" applyProtection="1">
      <alignment horizontal="center" vertical="center"/>
    </xf>
    <xf numFmtId="2" fontId="8" fillId="2" borderId="10" xfId="0" applyNumberFormat="1" applyFont="1" applyFill="1" applyBorder="1"/>
    <xf numFmtId="2" fontId="26" fillId="2" borderId="5" xfId="49" applyNumberFormat="1" applyFont="1" applyFill="1" applyBorder="1" applyAlignment="1">
      <alignment horizontal="right" vertical="center" wrapText="1"/>
    </xf>
    <xf numFmtId="2" fontId="27" fillId="2" borderId="5" xfId="0" applyNumberFormat="1" applyFont="1" applyFill="1" applyBorder="1" applyAlignment="1">
      <alignment horizontal="center" vertical="center"/>
    </xf>
    <xf numFmtId="1" fontId="26" fillId="2" borderId="5" xfId="0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right"/>
    </xf>
    <xf numFmtId="0" fontId="8" fillId="0" borderId="5" xfId="0" applyNumberFormat="1" applyFont="1" applyFill="1" applyBorder="1" applyAlignment="1">
      <alignment horizontal="right" vertical="center"/>
    </xf>
    <xf numFmtId="0" fontId="23" fillId="0" borderId="10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1" fontId="23" fillId="0" borderId="11" xfId="0" applyNumberFormat="1" applyFont="1" applyBorder="1" applyAlignment="1">
      <alignment horizontal="left" vertical="center" wrapText="1"/>
    </xf>
    <xf numFmtId="2" fontId="21" fillId="2" borderId="7" xfId="0" applyNumberFormat="1" applyFont="1" applyFill="1" applyBorder="1" applyAlignment="1">
      <alignment horizontal="center" vertical="center"/>
    </xf>
    <xf numFmtId="2" fontId="21" fillId="2" borderId="16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right" vertical="center"/>
    </xf>
    <xf numFmtId="179" fontId="21" fillId="0" borderId="5" xfId="49" applyNumberFormat="1" applyFont="1" applyBorder="1" applyAlignment="1">
      <alignment horizontal="right" vertical="center" wrapText="1"/>
    </xf>
    <xf numFmtId="2" fontId="21" fillId="12" borderId="5" xfId="0" applyNumberFormat="1" applyFont="1" applyFill="1" applyBorder="1" applyAlignment="1">
      <alignment horizontal="center"/>
    </xf>
    <xf numFmtId="2" fontId="23" fillId="12" borderId="10" xfId="0" applyNumberFormat="1" applyFont="1" applyFill="1" applyBorder="1"/>
    <xf numFmtId="1" fontId="23" fillId="2" borderId="10" xfId="0" applyNumberFormat="1" applyFont="1" applyFill="1" applyBorder="1" applyAlignment="1">
      <alignment horizontal="center"/>
    </xf>
    <xf numFmtId="0" fontId="21" fillId="0" borderId="7" xfId="49" applyFont="1" applyFill="1" applyBorder="1" applyAlignment="1">
      <alignment horizontal="right" vertical="center"/>
    </xf>
    <xf numFmtId="0" fontId="23" fillId="0" borderId="7" xfId="49" applyFont="1" applyFill="1" applyBorder="1" applyAlignment="1">
      <alignment horizontal="right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10" borderId="10" xfId="0" applyFont="1" applyFill="1" applyBorder="1" applyAlignment="1">
      <alignment horizontal="center" vertical="center"/>
    </xf>
    <xf numFmtId="0" fontId="22" fillId="10" borderId="12" xfId="0" applyFont="1" applyFill="1" applyBorder="1" applyAlignment="1">
      <alignment horizontal="center" vertical="center"/>
    </xf>
    <xf numFmtId="0" fontId="22" fillId="10" borderId="11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179" fontId="21" fillId="12" borderId="10" xfId="0" applyNumberFormat="1" applyFont="1" applyFill="1" applyBorder="1" applyAlignment="1">
      <alignment horizontal="right" vertical="center"/>
    </xf>
    <xf numFmtId="2" fontId="2" fillId="0" borderId="5" xfId="0" applyNumberFormat="1" applyFont="1" applyBorder="1" applyAlignment="1">
      <alignment horizontal="center" vertical="top" wrapText="1"/>
    </xf>
    <xf numFmtId="1" fontId="15" fillId="0" borderId="10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left" vertical="center"/>
    </xf>
    <xf numFmtId="0" fontId="23" fillId="0" borderId="11" xfId="0" applyFont="1" applyFill="1" applyBorder="1" applyAlignment="1">
      <alignment horizontal="left" vertical="center"/>
    </xf>
    <xf numFmtId="2" fontId="21" fillId="0" borderId="5" xfId="49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right" vertical="center"/>
    </xf>
    <xf numFmtId="2" fontId="23" fillId="0" borderId="5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5" xfId="0" applyFont="1" applyBorder="1" applyAlignment="1">
      <alignment horizontal="right"/>
    </xf>
    <xf numFmtId="2" fontId="25" fillId="0" borderId="5" xfId="0" applyNumberFormat="1" applyFont="1" applyBorder="1" applyAlignment="1">
      <alignment horizontal="center" vertical="center"/>
    </xf>
    <xf numFmtId="1" fontId="23" fillId="0" borderId="5" xfId="0" applyNumberFormat="1" applyFont="1" applyBorder="1" applyAlignment="1">
      <alignment horizontal="center" vertical="center"/>
    </xf>
    <xf numFmtId="2" fontId="26" fillId="2" borderId="5" xfId="0" applyNumberFormat="1" applyFont="1" applyFill="1" applyBorder="1" applyAlignment="1">
      <alignment horizontal="right" vertical="center" wrapText="1"/>
    </xf>
    <xf numFmtId="2" fontId="26" fillId="2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right" vertical="center"/>
    </xf>
    <xf numFmtId="2" fontId="5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/>
    </xf>
    <xf numFmtId="2" fontId="5" fillId="0" borderId="5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vertical="center" wrapText="1"/>
    </xf>
    <xf numFmtId="2" fontId="23" fillId="2" borderId="5" xfId="0" applyNumberFormat="1" applyFont="1" applyFill="1" applyBorder="1" applyAlignment="1">
      <alignment horizontal="left" vertical="center"/>
    </xf>
    <xf numFmtId="2" fontId="23" fillId="2" borderId="5" xfId="0" applyNumberFormat="1" applyFont="1" applyFill="1" applyBorder="1" applyAlignment="1">
      <alignment horizontal="center" vertical="center"/>
    </xf>
    <xf numFmtId="2" fontId="29" fillId="2" borderId="10" xfId="0" applyNumberFormat="1" applyFont="1" applyFill="1" applyBorder="1" applyAlignment="1">
      <alignment horizontal="center" vertical="center"/>
    </xf>
    <xf numFmtId="179" fontId="25" fillId="2" borderId="10" xfId="0" applyNumberFormat="1" applyFont="1" applyFill="1" applyBorder="1" applyAlignment="1">
      <alignment horizontal="right" vertical="center"/>
    </xf>
    <xf numFmtId="2" fontId="25" fillId="0" borderId="5" xfId="0" applyNumberFormat="1" applyFont="1" applyFill="1" applyBorder="1" applyAlignment="1">
      <alignment horizontal="center"/>
    </xf>
    <xf numFmtId="0" fontId="21" fillId="0" borderId="10" xfId="0" applyNumberFormat="1" applyFont="1" applyFill="1" applyBorder="1" applyAlignment="1">
      <alignment horizontal="right"/>
    </xf>
    <xf numFmtId="0" fontId="21" fillId="0" borderId="5" xfId="0" applyFont="1" applyFill="1" applyBorder="1" applyAlignment="1">
      <alignment horizontal="right"/>
    </xf>
    <xf numFmtId="2" fontId="8" fillId="2" borderId="5" xfId="0" applyNumberFormat="1" applyFont="1" applyFill="1" applyBorder="1" applyAlignment="1">
      <alignment horizontal="center"/>
    </xf>
    <xf numFmtId="179" fontId="23" fillId="2" borderId="10" xfId="0" applyNumberFormat="1" applyFont="1" applyFill="1" applyBorder="1" applyAlignment="1">
      <alignment horizontal="left"/>
    </xf>
    <xf numFmtId="179" fontId="23" fillId="2" borderId="12" xfId="0" applyNumberFormat="1" applyFont="1" applyFill="1" applyBorder="1" applyAlignment="1">
      <alignment horizontal="left"/>
    </xf>
    <xf numFmtId="179" fontId="23" fillId="2" borderId="11" xfId="0" applyNumberFormat="1" applyFont="1" applyFill="1" applyBorder="1" applyAlignment="1">
      <alignment horizontal="left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8" fillId="2" borderId="10" xfId="0" applyNumberFormat="1" applyFont="1" applyFill="1" applyBorder="1" applyAlignment="1">
      <alignment horizontal="center" vertical="center"/>
    </xf>
    <xf numFmtId="0" fontId="8" fillId="2" borderId="12" xfId="0" applyNumberFormat="1" applyFont="1" applyFill="1" applyBorder="1" applyAlignment="1">
      <alignment horizontal="center" vertical="center"/>
    </xf>
    <xf numFmtId="2" fontId="8" fillId="12" borderId="5" xfId="0" applyNumberFormat="1" applyFont="1" applyFill="1" applyBorder="1" applyAlignment="1">
      <alignment horizontal="center" vertical="center"/>
    </xf>
    <xf numFmtId="0" fontId="23" fillId="2" borderId="10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/>
    </xf>
    <xf numFmtId="179" fontId="21" fillId="4" borderId="5" xfId="0" applyNumberFormat="1" applyFont="1" applyFill="1" applyBorder="1" applyAlignment="1">
      <alignment horizontal="right" vertical="center"/>
    </xf>
    <xf numFmtId="2" fontId="3" fillId="2" borderId="10" xfId="49" applyNumberFormat="1" applyFont="1" applyFill="1" applyBorder="1" applyAlignment="1">
      <alignment horizontal="center" vertical="center"/>
    </xf>
    <xf numFmtId="179" fontId="23" fillId="12" borderId="10" xfId="0" applyNumberFormat="1" applyFont="1" applyFill="1" applyBorder="1" applyAlignment="1">
      <alignment vertical="center"/>
    </xf>
    <xf numFmtId="179" fontId="23" fillId="12" borderId="12" xfId="0" applyNumberFormat="1" applyFont="1" applyFill="1" applyBorder="1" applyAlignment="1">
      <alignment vertical="center"/>
    </xf>
    <xf numFmtId="179" fontId="23" fillId="12" borderId="5" xfId="0" applyNumberFormat="1" applyFont="1" applyFill="1" applyBorder="1" applyAlignment="1">
      <alignment vertical="center"/>
    </xf>
    <xf numFmtId="0" fontId="23" fillId="12" borderId="10" xfId="0" applyFont="1" applyFill="1" applyBorder="1" applyAlignment="1">
      <alignment horizontal="center" vertical="center"/>
    </xf>
    <xf numFmtId="2" fontId="21" fillId="0" borderId="5" xfId="49" applyNumberFormat="1" applyFont="1" applyBorder="1" applyAlignment="1">
      <alignment horizontal="center" vertical="center" wrapText="1"/>
    </xf>
    <xf numFmtId="179" fontId="23" fillId="13" borderId="10" xfId="49" applyNumberFormat="1" applyFont="1" applyFill="1" applyBorder="1" applyAlignment="1">
      <alignment horizontal="center" vertical="center"/>
    </xf>
    <xf numFmtId="2" fontId="8" fillId="12" borderId="5" xfId="0" applyNumberFormat="1" applyFont="1" applyFill="1" applyBorder="1" applyAlignment="1">
      <alignment horizontal="right" vertical="center" wrapText="1"/>
    </xf>
    <xf numFmtId="2" fontId="21" fillId="12" borderId="5" xfId="0" applyNumberFormat="1" applyFont="1" applyFill="1" applyBorder="1" applyAlignment="1">
      <alignment horizontal="center" vertical="center"/>
    </xf>
    <xf numFmtId="2" fontId="8" fillId="0" borderId="5" xfId="0" applyNumberFormat="1" applyFont="1" applyBorder="1" applyAlignment="1">
      <alignment horizontal="right" vertical="center"/>
    </xf>
    <xf numFmtId="2" fontId="8" fillId="0" borderId="5" xfId="0" applyNumberFormat="1" applyFont="1" applyBorder="1" applyAlignment="1">
      <alignment horizontal="right" vertical="center" wrapText="1"/>
    </xf>
    <xf numFmtId="179" fontId="21" fillId="0" borderId="5" xfId="0" applyNumberFormat="1" applyFont="1" applyBorder="1" applyAlignment="1">
      <alignment horizontal="right" vertical="center"/>
    </xf>
    <xf numFmtId="179" fontId="23" fillId="12" borderId="5" xfId="0" applyNumberFormat="1" applyFont="1" applyFill="1" applyBorder="1" applyAlignment="1">
      <alignment horizontal="right" vertical="center"/>
    </xf>
    <xf numFmtId="2" fontId="23" fillId="12" borderId="5" xfId="0" applyNumberFormat="1" applyFont="1" applyFill="1" applyBorder="1" applyAlignment="1">
      <alignment horizontal="center" vertical="center"/>
    </xf>
    <xf numFmtId="1" fontId="23" fillId="12" borderId="5" xfId="0" applyNumberFormat="1" applyFont="1" applyFill="1" applyBorder="1" applyAlignment="1">
      <alignment horizontal="center" vertical="center"/>
    </xf>
    <xf numFmtId="179" fontId="21" fillId="12" borderId="10" xfId="0" applyNumberFormat="1" applyFont="1" applyFill="1" applyBorder="1" applyAlignment="1">
      <alignment horizontal="center" vertical="center"/>
    </xf>
    <xf numFmtId="2" fontId="3" fillId="2" borderId="5" xfId="49" applyNumberFormat="1" applyFont="1" applyFill="1" applyBorder="1" applyAlignment="1">
      <alignment horizontal="left" vertical="center"/>
    </xf>
    <xf numFmtId="179" fontId="21" fillId="2" borderId="5" xfId="49" applyNumberFormat="1" applyFont="1" applyFill="1" applyBorder="1" applyAlignment="1">
      <alignment horizontal="right" vertical="center"/>
    </xf>
    <xf numFmtId="2" fontId="3" fillId="2" borderId="10" xfId="0" applyNumberFormat="1" applyFont="1" applyFill="1" applyBorder="1" applyAlignment="1">
      <alignment horizontal="left" vertical="center" wrapText="1"/>
    </xf>
    <xf numFmtId="2" fontId="3" fillId="2" borderId="12" xfId="0" applyNumberFormat="1" applyFont="1" applyFill="1" applyBorder="1" applyAlignment="1">
      <alignment horizontal="left" vertical="center" wrapText="1"/>
    </xf>
    <xf numFmtId="2" fontId="3" fillId="2" borderId="11" xfId="0" applyNumberFormat="1" applyFont="1" applyFill="1" applyBorder="1" applyAlignment="1">
      <alignment horizontal="left" vertical="center" wrapText="1"/>
    </xf>
    <xf numFmtId="2" fontId="30" fillId="0" borderId="10" xfId="49" applyNumberFormat="1" applyFont="1" applyFill="1" applyBorder="1" applyAlignment="1">
      <alignment horizontal="right" vertical="center"/>
    </xf>
    <xf numFmtId="2" fontId="21" fillId="2" borderId="7" xfId="49" applyNumberFormat="1" applyFont="1" applyFill="1" applyBorder="1" applyAlignment="1">
      <alignment horizontal="center" vertical="center" wrapText="1"/>
    </xf>
    <xf numFmtId="179" fontId="23" fillId="0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right" vertical="center" wrapText="1"/>
    </xf>
    <xf numFmtId="179" fontId="23" fillId="2" borderId="10" xfId="0" applyNumberFormat="1" applyFont="1" applyFill="1" applyBorder="1" applyAlignment="1">
      <alignment horizontal="right" vertical="center"/>
    </xf>
    <xf numFmtId="2" fontId="3" fillId="0" borderId="12" xfId="49" applyNumberFormat="1" applyFont="1" applyFill="1" applyBorder="1" applyAlignment="1">
      <alignment horizontal="center" vertical="center"/>
    </xf>
    <xf numFmtId="2" fontId="3" fillId="0" borderId="11" xfId="49" applyNumberFormat="1" applyFont="1" applyFill="1" applyBorder="1" applyAlignment="1">
      <alignment horizontal="center" vertical="center"/>
    </xf>
    <xf numFmtId="0" fontId="8" fillId="4" borderId="10" xfId="49" applyFont="1" applyFill="1" applyBorder="1" applyAlignment="1">
      <alignment horizontal="right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2" fontId="23" fillId="2" borderId="5" xfId="0" applyNumberFormat="1" applyFont="1" applyFill="1" applyBorder="1" applyAlignment="1">
      <alignment horizontal="right"/>
    </xf>
    <xf numFmtId="2" fontId="23" fillId="2" borderId="5" xfId="0" applyNumberFormat="1" applyFont="1" applyFill="1" applyBorder="1" applyAlignment="1">
      <alignment horizontal="center"/>
    </xf>
    <xf numFmtId="179" fontId="23" fillId="2" borderId="5" xfId="0" applyNumberFormat="1" applyFont="1" applyFill="1" applyBorder="1" applyAlignment="1">
      <alignment horizontal="left" vertical="center"/>
    </xf>
    <xf numFmtId="0" fontId="23" fillId="0" borderId="5" xfId="0" applyFont="1" applyBorder="1" applyAlignment="1">
      <alignment horizontal="right" vertical="center"/>
    </xf>
    <xf numFmtId="0" fontId="22" fillId="14" borderId="10" xfId="0" applyFont="1" applyFill="1" applyBorder="1" applyAlignment="1">
      <alignment horizontal="center" vertical="center" wrapText="1"/>
    </xf>
    <xf numFmtId="0" fontId="22" fillId="14" borderId="12" xfId="0" applyFont="1" applyFill="1" applyBorder="1" applyAlignment="1">
      <alignment horizontal="center" vertical="center" wrapText="1"/>
    </xf>
    <xf numFmtId="0" fontId="22" fillId="14" borderId="11" xfId="0" applyFont="1" applyFill="1" applyBorder="1" applyAlignment="1">
      <alignment horizontal="center" vertical="center" wrapText="1"/>
    </xf>
    <xf numFmtId="179" fontId="21" fillId="0" borderId="5" xfId="0" applyNumberFormat="1" applyFont="1" applyBorder="1" applyAlignment="1">
      <alignment horizontal="right" wrapText="1"/>
    </xf>
    <xf numFmtId="0" fontId="3" fillId="2" borderId="5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79" fontId="23" fillId="0" borderId="10" xfId="49" applyNumberFormat="1" applyFont="1" applyFill="1" applyBorder="1" applyAlignment="1">
      <alignment horizontal="left" vertical="center" wrapText="1"/>
    </xf>
    <xf numFmtId="179" fontId="23" fillId="0" borderId="12" xfId="49" applyNumberFormat="1" applyFont="1" applyFill="1" applyBorder="1" applyAlignment="1">
      <alignment horizontal="left" vertical="center" wrapText="1"/>
    </xf>
    <xf numFmtId="179" fontId="23" fillId="0" borderId="11" xfId="49" applyNumberFormat="1" applyFont="1" applyFill="1" applyBorder="1" applyAlignment="1">
      <alignment horizontal="left" vertical="center" wrapText="1"/>
    </xf>
    <xf numFmtId="179" fontId="23" fillId="0" borderId="10" xfId="49" applyNumberFormat="1" applyFont="1" applyFill="1" applyBorder="1" applyAlignment="1" applyProtection="1">
      <alignment vertical="center" wrapText="1"/>
    </xf>
    <xf numFmtId="179" fontId="23" fillId="0" borderId="12" xfId="49" applyNumberFormat="1" applyFont="1" applyFill="1" applyBorder="1" applyAlignment="1" applyProtection="1">
      <alignment vertical="center" wrapText="1"/>
    </xf>
    <xf numFmtId="179" fontId="23" fillId="0" borderId="11" xfId="49" applyNumberFormat="1" applyFont="1" applyFill="1" applyBorder="1" applyAlignment="1" applyProtection="1">
      <alignment vertical="center" wrapText="1"/>
    </xf>
    <xf numFmtId="49" fontId="23" fillId="4" borderId="10" xfId="49" applyNumberFormat="1" applyFont="1" applyFill="1" applyBorder="1" applyAlignment="1" applyProtection="1">
      <alignment horizontal="center" vertical="center"/>
    </xf>
    <xf numFmtId="49" fontId="21" fillId="0" borderId="10" xfId="49" applyNumberFormat="1" applyFont="1" applyBorder="1" applyAlignment="1" applyProtection="1">
      <alignment horizontal="center" vertical="center"/>
    </xf>
    <xf numFmtId="179" fontId="21" fillId="4" borderId="5" xfId="49" applyNumberFormat="1" applyFont="1" applyFill="1" applyBorder="1" applyAlignment="1" applyProtection="1">
      <alignment horizontal="right" vertical="center"/>
    </xf>
    <xf numFmtId="2" fontId="21" fillId="4" borderId="5" xfId="49" applyNumberFormat="1" applyFont="1" applyFill="1" applyBorder="1" applyAlignment="1" applyProtection="1">
      <alignment horizontal="center" vertical="center"/>
    </xf>
    <xf numFmtId="49" fontId="21" fillId="0" borderId="10" xfId="49" applyNumberFormat="1" applyFont="1" applyFill="1" applyBorder="1" applyAlignment="1" applyProtection="1">
      <alignment horizontal="center" vertical="center"/>
    </xf>
    <xf numFmtId="2" fontId="8" fillId="0" borderId="11" xfId="49" applyNumberFormat="1" applyFont="1" applyFill="1" applyBorder="1" applyAlignment="1" applyProtection="1">
      <alignment horizontal="center" vertical="center"/>
    </xf>
    <xf numFmtId="2" fontId="30" fillId="0" borderId="10" xfId="49" applyNumberFormat="1" applyFont="1" applyFill="1" applyBorder="1" applyAlignment="1" applyProtection="1">
      <alignment horizontal="right" vertical="center"/>
    </xf>
    <xf numFmtId="2" fontId="8" fillId="0" borderId="13" xfId="0" applyNumberFormat="1" applyFont="1" applyFill="1" applyBorder="1" applyAlignment="1" applyProtection="1">
      <alignment horizontal="right" vertical="center"/>
    </xf>
    <xf numFmtId="2" fontId="21" fillId="4" borderId="13" xfId="49" applyNumberFormat="1" applyFont="1" applyFill="1" applyBorder="1" applyAlignment="1" applyProtection="1">
      <alignment horizontal="center" vertical="center"/>
    </xf>
    <xf numFmtId="49" fontId="21" fillId="0" borderId="14" xfId="49" applyNumberFormat="1" applyFont="1" applyFill="1" applyBorder="1" applyAlignment="1" applyProtection="1">
      <alignment horizontal="center" vertical="center"/>
    </xf>
    <xf numFmtId="49" fontId="21" fillId="5" borderId="10" xfId="0" applyNumberFormat="1" applyFont="1" applyFill="1" applyBorder="1" applyAlignment="1">
      <alignment horizontal="center" vertical="center"/>
    </xf>
    <xf numFmtId="2" fontId="26" fillId="0" borderId="5" xfId="0" applyNumberFormat="1" applyFont="1" applyFill="1" applyBorder="1" applyAlignment="1">
      <alignment horizontal="right" vertical="center" wrapText="1"/>
    </xf>
    <xf numFmtId="2" fontId="26" fillId="0" borderId="5" xfId="0" applyNumberFormat="1" applyFont="1" applyFill="1" applyBorder="1" applyAlignment="1">
      <alignment horizontal="center" vertical="center" wrapText="1"/>
    </xf>
    <xf numFmtId="1" fontId="26" fillId="0" borderId="5" xfId="0" applyNumberFormat="1" applyFont="1" applyFill="1" applyBorder="1" applyAlignment="1">
      <alignment horizontal="center" vertical="center" wrapText="1"/>
    </xf>
    <xf numFmtId="179" fontId="23" fillId="0" borderId="5" xfId="49" applyNumberFormat="1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2" fontId="21" fillId="0" borderId="7" xfId="0" applyNumberFormat="1" applyFont="1" applyBorder="1" applyAlignment="1">
      <alignment horizontal="center"/>
    </xf>
    <xf numFmtId="179" fontId="23" fillId="2" borderId="5" xfId="0" applyNumberFormat="1" applyFont="1" applyFill="1" applyBorder="1" applyAlignment="1">
      <alignment horizontal="right"/>
    </xf>
    <xf numFmtId="1" fontId="23" fillId="2" borderId="5" xfId="0" applyNumberFormat="1" applyFont="1" applyFill="1" applyBorder="1" applyAlignment="1">
      <alignment horizontal="center"/>
    </xf>
    <xf numFmtId="0" fontId="23" fillId="0" borderId="10" xfId="49" applyNumberFormat="1" applyFont="1" applyFill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179" fontId="23" fillId="0" borderId="5" xfId="0" applyNumberFormat="1" applyFont="1" applyFill="1" applyBorder="1" applyAlignment="1">
      <alignment horizontal="left"/>
    </xf>
    <xf numFmtId="2" fontId="23" fillId="0" borderId="5" xfId="0" applyNumberFormat="1" applyFont="1" applyFill="1" applyBorder="1" applyAlignment="1">
      <alignment horizontal="center"/>
    </xf>
    <xf numFmtId="1" fontId="23" fillId="0" borderId="10" xfId="0" applyNumberFormat="1" applyFont="1" applyFill="1" applyBorder="1" applyAlignment="1">
      <alignment horizontal="center"/>
    </xf>
    <xf numFmtId="2" fontId="21" fillId="2" borderId="5" xfId="49" applyNumberFormat="1" applyFont="1" applyFill="1" applyBorder="1" applyAlignment="1">
      <alignment horizontal="right" vertical="center"/>
    </xf>
    <xf numFmtId="2" fontId="21" fillId="2" borderId="5" xfId="0" applyNumberFormat="1" applyFont="1" applyFill="1" applyBorder="1" applyAlignment="1">
      <alignment horizontal="center" vertical="center" wrapText="1"/>
    </xf>
    <xf numFmtId="1" fontId="8" fillId="0" borderId="10" xfId="0" applyNumberFormat="1" applyFont="1" applyFill="1" applyBorder="1" applyAlignment="1">
      <alignment horizontal="center" vertical="center"/>
    </xf>
    <xf numFmtId="179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/>
    </xf>
    <xf numFmtId="0" fontId="31" fillId="5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8" fillId="2" borderId="10" xfId="0" applyNumberFormat="1" applyFont="1" applyFill="1" applyBorder="1" applyAlignment="1">
      <alignment horizontal="right" vertical="center"/>
    </xf>
    <xf numFmtId="0" fontId="23" fillId="0" borderId="5" xfId="0" applyFont="1" applyFill="1" applyBorder="1"/>
    <xf numFmtId="2" fontId="25" fillId="0" borderId="5" xfId="0" applyNumberFormat="1" applyFont="1" applyFill="1" applyBorder="1" applyAlignment="1">
      <alignment horizontal="right" vertical="center" wrapText="1"/>
    </xf>
    <xf numFmtId="2" fontId="29" fillId="0" borderId="10" xfId="0" applyNumberFormat="1" applyFont="1" applyFill="1" applyBorder="1" applyAlignment="1">
      <alignment horizontal="center"/>
    </xf>
    <xf numFmtId="2" fontId="29" fillId="0" borderId="10" xfId="0" applyNumberFormat="1" applyFont="1" applyFill="1" applyBorder="1" applyAlignment="1">
      <alignment horizontal="center" vertical="center"/>
    </xf>
    <xf numFmtId="2" fontId="21" fillId="0" borderId="5" xfId="49" applyNumberFormat="1" applyFont="1" applyFill="1" applyBorder="1" applyAlignment="1">
      <alignment horizontal="center" vertical="center" wrapText="1"/>
    </xf>
    <xf numFmtId="2" fontId="27" fillId="0" borderId="5" xfId="0" applyNumberFormat="1" applyFont="1" applyFill="1" applyBorder="1" applyAlignment="1">
      <alignment horizontal="center" vertical="center" wrapText="1"/>
    </xf>
    <xf numFmtId="179" fontId="25" fillId="0" borderId="10" xfId="0" applyNumberFormat="1" applyFont="1" applyFill="1" applyBorder="1" applyAlignment="1">
      <alignment horizontal="right" vertical="center"/>
    </xf>
    <xf numFmtId="0" fontId="26" fillId="2" borderId="5" xfId="0" applyFont="1" applyFill="1" applyBorder="1" applyAlignment="1">
      <alignment horizontal="right" vertical="center"/>
    </xf>
    <xf numFmtId="2" fontId="26" fillId="4" borderId="5" xfId="0" applyNumberFormat="1" applyFont="1" applyFill="1" applyBorder="1" applyAlignment="1">
      <alignment horizontal="center" vertical="center"/>
    </xf>
    <xf numFmtId="1" fontId="26" fillId="4" borderId="5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/>
    </xf>
    <xf numFmtId="2" fontId="21" fillId="0" borderId="5" xfId="0" applyNumberFormat="1" applyFont="1" applyFill="1" applyBorder="1" applyAlignment="1">
      <alignment horizontal="right" vertical="center" wrapText="1"/>
    </xf>
    <xf numFmtId="2" fontId="23" fillId="0" borderId="10" xfId="0" applyNumberFormat="1" applyFont="1" applyFill="1" applyBorder="1" applyAlignment="1">
      <alignment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vertical="center" wrapText="1"/>
    </xf>
    <xf numFmtId="2" fontId="21" fillId="2" borderId="5" xfId="0" applyNumberFormat="1" applyFont="1" applyFill="1" applyBorder="1" applyAlignment="1">
      <alignment horizontal="right" wrapText="1"/>
    </xf>
    <xf numFmtId="2" fontId="3" fillId="2" borderId="7" xfId="0" applyNumberFormat="1" applyFont="1" applyFill="1" applyBorder="1" applyAlignment="1">
      <alignment horizontal="center" vertical="center"/>
    </xf>
    <xf numFmtId="2" fontId="25" fillId="2" borderId="5" xfId="0" applyNumberFormat="1" applyFont="1" applyFill="1" applyBorder="1" applyAlignment="1">
      <alignment horizontal="right"/>
    </xf>
    <xf numFmtId="2" fontId="25" fillId="2" borderId="5" xfId="0" applyNumberFormat="1" applyFont="1" applyFill="1" applyBorder="1" applyAlignment="1">
      <alignment horizontal="center" vertical="center"/>
    </xf>
    <xf numFmtId="2" fontId="25" fillId="2" borderId="5" xfId="0" applyNumberFormat="1" applyFont="1" applyFill="1" applyBorder="1" applyAlignment="1">
      <alignment horizontal="center"/>
    </xf>
    <xf numFmtId="2" fontId="8" fillId="2" borderId="12" xfId="0" applyNumberFormat="1" applyFont="1" applyFill="1" applyBorder="1" applyAlignment="1">
      <alignment horizontal="center" vertical="center"/>
    </xf>
    <xf numFmtId="2" fontId="21" fillId="2" borderId="11" xfId="0" applyNumberFormat="1" applyFont="1" applyFill="1" applyBorder="1" applyAlignment="1">
      <alignment horizontal="center" vertical="center"/>
    </xf>
  </cellXfs>
  <cellStyles count="58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Обычный 3" xfId="50"/>
    <cellStyle name="Обычный 3 2" xfId="51"/>
    <cellStyle name="Обычный 4" xfId="52"/>
    <cellStyle name="Обычный_Лист3" xfId="53"/>
    <cellStyle name="Финансовый 2" xfId="54"/>
    <cellStyle name="Финансовый 3" xfId="55"/>
    <cellStyle name="Финансовый 3 2" xfId="56"/>
    <cellStyle name="Финансовый 4" xfId="5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H1254"/>
  <sheetViews>
    <sheetView tabSelected="1" zoomScale="90" zoomScaleNormal="90" topLeftCell="A23" workbookViewId="0">
      <selection activeCell="A4" sqref="A4:H4"/>
    </sheetView>
  </sheetViews>
  <sheetFormatPr defaultColWidth="9" defaultRowHeight="15" outlineLevelCol="7"/>
  <cols>
    <col min="1" max="1" width="56.8571428571429" style="165" customWidth="1"/>
    <col min="2" max="4" width="15.4285714285714" style="165" customWidth="1"/>
    <col min="5" max="8" width="15.4285714285714" customWidth="1"/>
  </cols>
  <sheetData>
    <row r="1" ht="44.25" customHeight="1" spans="1:8">
      <c r="A1" s="166" t="s">
        <v>0</v>
      </c>
      <c r="B1" s="167"/>
      <c r="C1" s="167"/>
      <c r="D1" s="167"/>
      <c r="E1" s="167"/>
      <c r="F1" s="167"/>
      <c r="G1" s="167"/>
      <c r="H1" s="168"/>
    </row>
    <row r="2" s="154" customFormat="1" ht="36" customHeight="1" spans="1:8">
      <c r="A2" s="169" t="s">
        <v>1</v>
      </c>
      <c r="B2" s="170"/>
      <c r="C2" s="170"/>
      <c r="D2" s="170"/>
      <c r="E2" s="170"/>
      <c r="F2" s="170"/>
      <c r="G2" s="170"/>
      <c r="H2" s="170"/>
    </row>
    <row r="3" s="154" customFormat="1" ht="37.5" customHeight="1" spans="1:8">
      <c r="A3" s="166" t="s">
        <v>2</v>
      </c>
      <c r="B3" s="167"/>
      <c r="C3" s="167"/>
      <c r="D3" s="167"/>
      <c r="E3" s="167"/>
      <c r="F3" s="167"/>
      <c r="G3" s="167"/>
      <c r="H3" s="168"/>
    </row>
    <row r="4" ht="37.5" customHeight="1" spans="1:8">
      <c r="A4" s="171" t="s">
        <v>3</v>
      </c>
      <c r="B4" s="172"/>
      <c r="C4" s="172"/>
      <c r="D4" s="172"/>
      <c r="E4" s="172"/>
      <c r="F4" s="172"/>
      <c r="G4" s="172"/>
      <c r="H4" s="173"/>
    </row>
    <row r="5" ht="34.5" customHeight="1" spans="1:8">
      <c r="A5" s="174" t="s">
        <v>4</v>
      </c>
      <c r="B5" s="175"/>
      <c r="C5" s="175"/>
      <c r="D5" s="175"/>
      <c r="E5" s="175"/>
      <c r="F5" s="175"/>
      <c r="G5" s="175"/>
      <c r="H5" s="176"/>
    </row>
    <row r="6" spans="1:8">
      <c r="A6" s="177" t="s">
        <v>5</v>
      </c>
      <c r="B6" s="177" t="s">
        <v>6</v>
      </c>
      <c r="C6" s="177" t="s">
        <v>7</v>
      </c>
      <c r="D6" s="178" t="s">
        <v>8</v>
      </c>
      <c r="E6" s="179" t="s">
        <v>9</v>
      </c>
      <c r="F6" s="179" t="s">
        <v>10</v>
      </c>
      <c r="G6" s="179" t="s">
        <v>11</v>
      </c>
      <c r="H6" s="179" t="s">
        <v>12</v>
      </c>
    </row>
    <row r="7" ht="25.5" customHeight="1" spans="1:8">
      <c r="A7" s="180"/>
      <c r="B7" s="180"/>
      <c r="C7" s="180"/>
      <c r="D7" s="181"/>
      <c r="E7" s="182"/>
      <c r="F7" s="182"/>
      <c r="G7" s="182"/>
      <c r="H7" s="182"/>
    </row>
    <row r="8" ht="19.5" spans="1:8">
      <c r="A8" s="183" t="s">
        <v>13</v>
      </c>
      <c r="B8" s="183"/>
      <c r="C8" s="183"/>
      <c r="D8" s="184">
        <v>503</v>
      </c>
      <c r="E8" s="185">
        <f>SUM(E9:E26)</f>
        <v>15.9</v>
      </c>
      <c r="F8" s="185">
        <f>SUM(F9:F26)</f>
        <v>16.34</v>
      </c>
      <c r="G8" s="185">
        <f>SUM(G9:G26)</f>
        <v>70.18</v>
      </c>
      <c r="H8" s="185">
        <f>SUM(H9:H26)</f>
        <v>489.56</v>
      </c>
    </row>
    <row r="9" s="155" customFormat="1" ht="16.5" customHeight="1" spans="1:8">
      <c r="A9" s="186" t="s">
        <v>14</v>
      </c>
      <c r="B9" s="187"/>
      <c r="C9" s="188"/>
      <c r="D9" s="189" t="s">
        <v>15</v>
      </c>
      <c r="E9" s="190">
        <v>1.44</v>
      </c>
      <c r="F9" s="190">
        <v>3.77</v>
      </c>
      <c r="G9" s="190">
        <v>9.11</v>
      </c>
      <c r="H9" s="190">
        <v>76.84</v>
      </c>
    </row>
    <row r="10" s="156" customFormat="1" spans="1:8">
      <c r="A10" s="191" t="s">
        <v>16</v>
      </c>
      <c r="B10" s="192">
        <f t="shared" ref="B10:B11" si="0">C10</f>
        <v>5</v>
      </c>
      <c r="C10" s="192">
        <v>5</v>
      </c>
      <c r="D10" s="193"/>
      <c r="E10" s="194"/>
      <c r="F10" s="194"/>
      <c r="G10" s="194"/>
      <c r="H10" s="194"/>
    </row>
    <row r="11" s="156" customFormat="1" spans="1:8">
      <c r="A11" s="195" t="s">
        <v>17</v>
      </c>
      <c r="B11" s="196">
        <f t="shared" si="0"/>
        <v>18</v>
      </c>
      <c r="C11" s="196">
        <v>18</v>
      </c>
      <c r="D11" s="197"/>
      <c r="E11" s="194"/>
      <c r="F11" s="194"/>
      <c r="G11" s="194"/>
      <c r="H11" s="194"/>
    </row>
    <row r="12" s="155" customFormat="1" ht="15.75" spans="1:8">
      <c r="A12" s="198" t="s">
        <v>18</v>
      </c>
      <c r="B12" s="199"/>
      <c r="C12" s="200"/>
      <c r="D12" s="201">
        <v>40</v>
      </c>
      <c r="E12" s="190">
        <v>5.2</v>
      </c>
      <c r="F12" s="190">
        <v>4.8</v>
      </c>
      <c r="G12" s="190">
        <v>4.5</v>
      </c>
      <c r="H12" s="190">
        <v>62.8</v>
      </c>
    </row>
    <row r="13" s="155" customFormat="1" spans="1:8">
      <c r="A13" s="202" t="s">
        <v>19</v>
      </c>
      <c r="B13" s="196">
        <f>C13</f>
        <v>40</v>
      </c>
      <c r="C13" s="200">
        <v>40</v>
      </c>
      <c r="D13" s="197"/>
      <c r="E13" s="203"/>
      <c r="F13" s="203"/>
      <c r="G13" s="203"/>
      <c r="H13" s="203"/>
    </row>
    <row r="14" s="155" customFormat="1" ht="15.75" spans="1:8">
      <c r="A14" s="204" t="s">
        <v>20</v>
      </c>
      <c r="B14" s="205"/>
      <c r="C14" s="206"/>
      <c r="D14" s="207" t="s">
        <v>21</v>
      </c>
      <c r="E14" s="190">
        <v>5.14</v>
      </c>
      <c r="F14" s="190">
        <v>5.78</v>
      </c>
      <c r="G14" s="190">
        <v>18.56</v>
      </c>
      <c r="H14" s="190">
        <v>158.94</v>
      </c>
    </row>
    <row r="15" s="155" customFormat="1" spans="1:8">
      <c r="A15" s="208" t="s">
        <v>22</v>
      </c>
      <c r="B15" s="192">
        <f t="shared" ref="B15:B20" si="1">C15</f>
        <v>25</v>
      </c>
      <c r="C15" s="192">
        <v>25</v>
      </c>
      <c r="D15" s="193"/>
      <c r="E15" s="203"/>
      <c r="F15" s="203"/>
      <c r="G15" s="203"/>
      <c r="H15" s="203"/>
    </row>
    <row r="16" s="157" customFormat="1" spans="1:8">
      <c r="A16" s="209" t="s">
        <v>23</v>
      </c>
      <c r="B16" s="192">
        <f t="shared" si="1"/>
        <v>86</v>
      </c>
      <c r="C16" s="210">
        <v>86</v>
      </c>
      <c r="D16" s="193"/>
      <c r="E16" s="211"/>
      <c r="F16" s="211"/>
      <c r="G16" s="211"/>
      <c r="H16" s="211"/>
    </row>
    <row r="17" s="155" customFormat="1" spans="1:8">
      <c r="A17" s="212" t="s">
        <v>24</v>
      </c>
      <c r="B17" s="192">
        <f t="shared" si="1"/>
        <v>96</v>
      </c>
      <c r="C17" s="210">
        <v>96</v>
      </c>
      <c r="D17" s="193"/>
      <c r="E17" s="203"/>
      <c r="F17" s="203"/>
      <c r="G17" s="203"/>
      <c r="H17" s="203"/>
    </row>
    <row r="18" s="155" customFormat="1" spans="1:8">
      <c r="A18" s="213" t="s">
        <v>25</v>
      </c>
      <c r="B18" s="214">
        <f t="shared" si="1"/>
        <v>0.36</v>
      </c>
      <c r="C18" s="214">
        <v>0.36</v>
      </c>
      <c r="D18" s="193"/>
      <c r="E18" s="203"/>
      <c r="F18" s="203"/>
      <c r="G18" s="203"/>
      <c r="H18" s="203"/>
    </row>
    <row r="19" s="155" customFormat="1" spans="1:8">
      <c r="A19" s="208" t="s">
        <v>26</v>
      </c>
      <c r="B19" s="192">
        <f t="shared" si="1"/>
        <v>4</v>
      </c>
      <c r="C19" s="192">
        <v>4</v>
      </c>
      <c r="D19" s="193"/>
      <c r="E19" s="203"/>
      <c r="F19" s="203"/>
      <c r="G19" s="203"/>
      <c r="H19" s="203"/>
    </row>
    <row r="20" s="155" customFormat="1" spans="1:8">
      <c r="A20" s="191" t="s">
        <v>16</v>
      </c>
      <c r="B20" s="192">
        <f t="shared" si="1"/>
        <v>5</v>
      </c>
      <c r="C20" s="192">
        <v>5</v>
      </c>
      <c r="D20" s="193"/>
      <c r="E20" s="203"/>
      <c r="F20" s="203"/>
      <c r="G20" s="203"/>
      <c r="H20" s="203"/>
    </row>
    <row r="21" s="155" customFormat="1" ht="15.75" spans="1:8">
      <c r="A21" s="215" t="s">
        <v>27</v>
      </c>
      <c r="B21" s="216"/>
      <c r="C21" s="217"/>
      <c r="D21" s="218">
        <v>200</v>
      </c>
      <c r="E21" s="190">
        <v>1.88</v>
      </c>
      <c r="F21" s="190">
        <v>1.55</v>
      </c>
      <c r="G21" s="190">
        <v>14.85</v>
      </c>
      <c r="H21" s="190">
        <v>80.48</v>
      </c>
    </row>
    <row r="22" s="155" customFormat="1" spans="1:8">
      <c r="A22" s="219" t="s">
        <v>28</v>
      </c>
      <c r="B22" s="220">
        <f>C22</f>
        <v>1</v>
      </c>
      <c r="C22" s="220">
        <v>1</v>
      </c>
      <c r="D22" s="221"/>
      <c r="E22" s="203"/>
      <c r="F22" s="203"/>
      <c r="G22" s="203"/>
      <c r="H22" s="203"/>
    </row>
    <row r="23" s="155" customFormat="1" ht="14.25" customHeight="1" spans="1:8">
      <c r="A23" s="208" t="s">
        <v>26</v>
      </c>
      <c r="B23" s="220">
        <f>C23</f>
        <v>12</v>
      </c>
      <c r="C23" s="220">
        <v>12</v>
      </c>
      <c r="D23" s="221"/>
      <c r="E23" s="203"/>
      <c r="F23" s="203"/>
      <c r="G23" s="203"/>
      <c r="H23" s="203"/>
    </row>
    <row r="24" s="157" customFormat="1" spans="1:8">
      <c r="A24" s="212" t="s">
        <v>24</v>
      </c>
      <c r="B24" s="222">
        <f>C24</f>
        <v>60</v>
      </c>
      <c r="C24" s="222">
        <v>60</v>
      </c>
      <c r="D24" s="221"/>
      <c r="E24" s="211"/>
      <c r="F24" s="211"/>
      <c r="G24" s="211"/>
      <c r="H24" s="211"/>
    </row>
    <row r="25" s="157" customFormat="1" spans="1:8">
      <c r="A25" s="223" t="s">
        <v>29</v>
      </c>
      <c r="B25" s="224">
        <f>C25</f>
        <v>160</v>
      </c>
      <c r="C25" s="224">
        <v>160</v>
      </c>
      <c r="D25" s="221"/>
      <c r="E25" s="211"/>
      <c r="F25" s="211"/>
      <c r="G25" s="211"/>
      <c r="H25" s="211"/>
    </row>
    <row r="26" s="155" customFormat="1" ht="15.75" spans="1:8">
      <c r="A26" s="225" t="s">
        <v>30</v>
      </c>
      <c r="B26" s="226"/>
      <c r="C26" s="227"/>
      <c r="D26" s="228" t="s">
        <v>31</v>
      </c>
      <c r="E26" s="190">
        <v>2.24</v>
      </c>
      <c r="F26" s="190">
        <v>0.44</v>
      </c>
      <c r="G26" s="190">
        <v>23.16</v>
      </c>
      <c r="H26" s="190">
        <v>110.5</v>
      </c>
    </row>
    <row r="27" s="154" customFormat="1" spans="1:8">
      <c r="A27" s="229"/>
      <c r="B27" s="224"/>
      <c r="C27" s="224"/>
      <c r="D27" s="230"/>
      <c r="E27" s="231"/>
      <c r="F27" s="231"/>
      <c r="G27" s="231"/>
      <c r="H27" s="231"/>
    </row>
    <row r="28" ht="19.5" spans="1:8">
      <c r="A28" s="183" t="s">
        <v>32</v>
      </c>
      <c r="B28" s="232"/>
      <c r="C28" s="232"/>
      <c r="D28" s="233">
        <f>D29+D47+D58+D81+D67+D68</f>
        <v>700</v>
      </c>
      <c r="E28" s="234">
        <f>SUM(E29:E68)</f>
        <v>23.94</v>
      </c>
      <c r="F28" s="234">
        <f>SUM(F29:F68)</f>
        <v>23.36</v>
      </c>
      <c r="G28" s="234">
        <f>SUM(G29:G68)</f>
        <v>104.87</v>
      </c>
      <c r="H28" s="234">
        <f>SUM(H29:H68)</f>
        <v>739.74</v>
      </c>
    </row>
    <row r="29" s="158" customFormat="1" ht="15.75" spans="1:8">
      <c r="A29" s="235" t="s">
        <v>33</v>
      </c>
      <c r="B29" s="236"/>
      <c r="C29" s="237"/>
      <c r="D29" s="238">
        <v>220</v>
      </c>
      <c r="E29" s="239">
        <v>3.67</v>
      </c>
      <c r="F29" s="239">
        <v>6.06</v>
      </c>
      <c r="G29" s="239">
        <v>17.09</v>
      </c>
      <c r="H29" s="239">
        <v>148.63</v>
      </c>
    </row>
    <row r="30" s="158" customFormat="1" spans="1:8">
      <c r="A30" s="240" t="s">
        <v>34</v>
      </c>
      <c r="B30" s="241">
        <f>C30*1.45</f>
        <v>18.125</v>
      </c>
      <c r="C30" s="241">
        <f>C31*1.25</f>
        <v>12.5</v>
      </c>
      <c r="D30" s="242"/>
      <c r="E30" s="243"/>
      <c r="F30" s="243"/>
      <c r="G30" s="243"/>
      <c r="H30" s="243"/>
    </row>
    <row r="31" s="158" customFormat="1" ht="14.25" spans="1:8">
      <c r="A31" s="244" t="s">
        <v>35</v>
      </c>
      <c r="B31" s="245"/>
      <c r="C31" s="246">
        <v>10</v>
      </c>
      <c r="D31" s="242"/>
      <c r="E31" s="243"/>
      <c r="F31" s="243"/>
      <c r="G31" s="243"/>
      <c r="H31" s="243"/>
    </row>
    <row r="32" s="158" customFormat="1" spans="1:8">
      <c r="A32" s="247" t="s">
        <v>36</v>
      </c>
      <c r="B32" s="241">
        <f>C32*1.33</f>
        <v>69.16</v>
      </c>
      <c r="C32" s="241">
        <v>52</v>
      </c>
      <c r="D32" s="248"/>
      <c r="E32" s="243"/>
      <c r="F32" s="243"/>
      <c r="G32" s="243"/>
      <c r="H32" s="243"/>
    </row>
    <row r="33" s="158" customFormat="1" spans="1:8">
      <c r="A33" s="247" t="s">
        <v>37</v>
      </c>
      <c r="B33" s="241">
        <f>C33*1.67</f>
        <v>86.84</v>
      </c>
      <c r="C33" s="241">
        <v>52</v>
      </c>
      <c r="D33" s="248"/>
      <c r="E33" s="243"/>
      <c r="F33" s="243"/>
      <c r="G33" s="243"/>
      <c r="H33" s="243"/>
    </row>
    <row r="34" s="159" customFormat="1" spans="1:8">
      <c r="A34" s="247" t="s">
        <v>38</v>
      </c>
      <c r="B34" s="249">
        <f>C34*1.33</f>
        <v>17.29</v>
      </c>
      <c r="C34" s="241">
        <v>13</v>
      </c>
      <c r="D34" s="248"/>
      <c r="E34" s="250"/>
      <c r="F34" s="250"/>
      <c r="G34" s="250"/>
      <c r="H34" s="250"/>
    </row>
    <row r="35" s="159" customFormat="1" spans="1:8">
      <c r="A35" s="247" t="s">
        <v>39</v>
      </c>
      <c r="B35" s="249">
        <f>C35*1.25</f>
        <v>16.25</v>
      </c>
      <c r="C35" s="241">
        <v>13</v>
      </c>
      <c r="D35" s="248"/>
      <c r="E35" s="250"/>
      <c r="F35" s="250"/>
      <c r="G35" s="250"/>
      <c r="H35" s="250"/>
    </row>
    <row r="36" s="158" customFormat="1" spans="1:8">
      <c r="A36" s="251" t="s">
        <v>40</v>
      </c>
      <c r="B36" s="241">
        <f>C36*1.19</f>
        <v>13.09</v>
      </c>
      <c r="C36" s="241">
        <v>11</v>
      </c>
      <c r="D36" s="248"/>
      <c r="E36" s="243"/>
      <c r="F36" s="243"/>
      <c r="G36" s="243"/>
      <c r="H36" s="243"/>
    </row>
    <row r="37" s="158" customFormat="1" spans="1:8">
      <c r="A37" s="251" t="s">
        <v>41</v>
      </c>
      <c r="B37" s="241">
        <f t="shared" ref="B37:B45" si="2">C37</f>
        <v>0.01</v>
      </c>
      <c r="C37" s="241">
        <v>0.01</v>
      </c>
      <c r="D37" s="248"/>
      <c r="E37" s="243"/>
      <c r="F37" s="243"/>
      <c r="G37" s="243"/>
      <c r="H37" s="243"/>
    </row>
    <row r="38" s="158" customFormat="1" spans="1:8">
      <c r="A38" s="209" t="s">
        <v>29</v>
      </c>
      <c r="B38" s="252">
        <f t="shared" si="2"/>
        <v>188</v>
      </c>
      <c r="C38" s="241">
        <v>188</v>
      </c>
      <c r="D38" s="248"/>
      <c r="E38" s="243"/>
      <c r="F38" s="243"/>
      <c r="G38" s="243"/>
      <c r="H38" s="243"/>
    </row>
    <row r="39" s="158" customFormat="1" spans="1:8">
      <c r="A39" s="209" t="s">
        <v>42</v>
      </c>
      <c r="B39" s="252">
        <f t="shared" si="2"/>
        <v>8</v>
      </c>
      <c r="C39" s="241">
        <v>8</v>
      </c>
      <c r="D39" s="248"/>
      <c r="E39" s="243"/>
      <c r="F39" s="243"/>
      <c r="G39" s="243"/>
      <c r="H39" s="243"/>
    </row>
    <row r="40" s="158" customFormat="1" spans="1:8">
      <c r="A40" s="209" t="s">
        <v>43</v>
      </c>
      <c r="B40" s="252">
        <f t="shared" si="2"/>
        <v>8</v>
      </c>
      <c r="C40" s="241">
        <v>8</v>
      </c>
      <c r="D40" s="248"/>
      <c r="E40" s="243"/>
      <c r="F40" s="243"/>
      <c r="G40" s="243"/>
      <c r="H40" s="243"/>
    </row>
    <row r="41" s="158" customFormat="1" spans="1:8">
      <c r="A41" s="253" t="s">
        <v>44</v>
      </c>
      <c r="B41" s="252">
        <f>C41*1.05</f>
        <v>8.4</v>
      </c>
      <c r="C41" s="241">
        <v>8</v>
      </c>
      <c r="D41" s="248"/>
      <c r="E41" s="243"/>
      <c r="F41" s="243"/>
      <c r="G41" s="243"/>
      <c r="H41" s="243"/>
    </row>
    <row r="42" s="158" customFormat="1" spans="1:8">
      <c r="A42" s="208" t="s">
        <v>45</v>
      </c>
      <c r="B42" s="241">
        <f t="shared" si="2"/>
        <v>10</v>
      </c>
      <c r="C42" s="241">
        <v>10</v>
      </c>
      <c r="D42" s="248"/>
      <c r="E42" s="243"/>
      <c r="F42" s="243"/>
      <c r="G42" s="243"/>
      <c r="H42" s="243"/>
    </row>
    <row r="43" s="158" customFormat="1" spans="1:8">
      <c r="A43" s="213" t="s">
        <v>46</v>
      </c>
      <c r="B43" s="252">
        <f t="shared" si="2"/>
        <v>4</v>
      </c>
      <c r="C43" s="252">
        <v>4</v>
      </c>
      <c r="D43" s="248"/>
      <c r="E43" s="243"/>
      <c r="F43" s="243"/>
      <c r="G43" s="243"/>
      <c r="H43" s="243"/>
    </row>
    <row r="44" s="158" customFormat="1" spans="1:8">
      <c r="A44" s="213" t="s">
        <v>29</v>
      </c>
      <c r="B44" s="254">
        <f t="shared" si="2"/>
        <v>170</v>
      </c>
      <c r="C44" s="252">
        <v>170</v>
      </c>
      <c r="D44" s="248"/>
      <c r="E44" s="243"/>
      <c r="F44" s="243"/>
      <c r="G44" s="243"/>
      <c r="H44" s="243"/>
    </row>
    <row r="45" s="158" customFormat="1" spans="1:8">
      <c r="A45" s="213" t="s">
        <v>25</v>
      </c>
      <c r="B45" s="214">
        <f t="shared" si="2"/>
        <v>0.41</v>
      </c>
      <c r="C45" s="252">
        <v>0.41</v>
      </c>
      <c r="D45" s="248"/>
      <c r="E45" s="243"/>
      <c r="F45" s="243"/>
      <c r="G45" s="243"/>
      <c r="H45" s="243"/>
    </row>
    <row r="46" s="158" customFormat="1" spans="1:8">
      <c r="A46" s="255" t="s">
        <v>47</v>
      </c>
      <c r="B46" s="256">
        <f>C46*1.35</f>
        <v>0.675</v>
      </c>
      <c r="C46" s="256">
        <v>0.5</v>
      </c>
      <c r="D46" s="257"/>
      <c r="E46" s="243"/>
      <c r="F46" s="243"/>
      <c r="G46" s="243"/>
      <c r="H46" s="243"/>
    </row>
    <row r="47" s="158" customFormat="1" ht="16.5" customHeight="1" spans="1:8">
      <c r="A47" s="258" t="s">
        <v>48</v>
      </c>
      <c r="B47" s="259"/>
      <c r="C47" s="259"/>
      <c r="D47" s="260">
        <v>90</v>
      </c>
      <c r="E47" s="239">
        <v>11.28</v>
      </c>
      <c r="F47" s="239">
        <v>12.48</v>
      </c>
      <c r="G47" s="239">
        <v>7.7</v>
      </c>
      <c r="H47" s="239">
        <v>178.36</v>
      </c>
    </row>
    <row r="48" s="158" customFormat="1" spans="1:8">
      <c r="A48" s="261" t="s">
        <v>49</v>
      </c>
      <c r="B48" s="262">
        <f>C48*1.1</f>
        <v>49.5</v>
      </c>
      <c r="C48" s="262">
        <v>45</v>
      </c>
      <c r="D48" s="263"/>
      <c r="E48" s="243"/>
      <c r="F48" s="243"/>
      <c r="G48" s="243"/>
      <c r="H48" s="243"/>
    </row>
    <row r="49" s="158" customFormat="1" spans="1:8">
      <c r="A49" s="264" t="s">
        <v>50</v>
      </c>
      <c r="B49" s="265">
        <f>C49*1.08</f>
        <v>23.76</v>
      </c>
      <c r="C49" s="265">
        <v>22</v>
      </c>
      <c r="D49" s="266"/>
      <c r="E49" s="243"/>
      <c r="F49" s="243"/>
      <c r="G49" s="243"/>
      <c r="H49" s="243"/>
    </row>
    <row r="50" s="158" customFormat="1" spans="1:8">
      <c r="A50" s="261" t="s">
        <v>51</v>
      </c>
      <c r="B50" s="262">
        <f>C50</f>
        <v>1.5</v>
      </c>
      <c r="C50" s="262">
        <v>1.5</v>
      </c>
      <c r="D50" s="263"/>
      <c r="E50" s="243"/>
      <c r="F50" s="243"/>
      <c r="G50" s="243"/>
      <c r="H50" s="243"/>
    </row>
    <row r="51" s="158" customFormat="1" spans="1:8">
      <c r="A51" s="247" t="s">
        <v>52</v>
      </c>
      <c r="B51" s="249">
        <f>C51*1.33</f>
        <v>5.985</v>
      </c>
      <c r="C51" s="256">
        <v>4.5</v>
      </c>
      <c r="D51" s="267"/>
      <c r="E51" s="243"/>
      <c r="F51" s="243"/>
      <c r="G51" s="243"/>
      <c r="H51" s="243"/>
    </row>
    <row r="52" s="158" customFormat="1" spans="1:8">
      <c r="A52" s="213" t="s">
        <v>25</v>
      </c>
      <c r="B52" s="214">
        <f>C52</f>
        <v>0.3</v>
      </c>
      <c r="C52" s="252">
        <v>0.3</v>
      </c>
      <c r="D52" s="267"/>
      <c r="E52" s="243"/>
      <c r="F52" s="243"/>
      <c r="G52" s="243"/>
      <c r="H52" s="243"/>
    </row>
    <row r="53" s="158" customFormat="1" spans="1:8">
      <c r="A53" s="219" t="s">
        <v>40</v>
      </c>
      <c r="B53" s="256">
        <f>C53*1.19</f>
        <v>5.95</v>
      </c>
      <c r="C53" s="256">
        <v>5</v>
      </c>
      <c r="D53" s="267"/>
      <c r="E53" s="243"/>
      <c r="F53" s="243"/>
      <c r="G53" s="243"/>
      <c r="H53" s="243"/>
    </row>
    <row r="54" s="158" customFormat="1" spans="1:8">
      <c r="A54" s="212" t="s">
        <v>24</v>
      </c>
      <c r="B54" s="222">
        <f>C54</f>
        <v>27</v>
      </c>
      <c r="C54" s="222">
        <v>27</v>
      </c>
      <c r="D54" s="221"/>
      <c r="E54" s="243"/>
      <c r="F54" s="243"/>
      <c r="G54" s="243"/>
      <c r="H54" s="243"/>
    </row>
    <row r="55" s="158" customFormat="1" spans="1:8">
      <c r="A55" s="268" t="s">
        <v>53</v>
      </c>
      <c r="B55" s="269">
        <f>C55</f>
        <v>4.7</v>
      </c>
      <c r="C55" s="269">
        <v>4.7</v>
      </c>
      <c r="D55" s="270"/>
      <c r="E55" s="243"/>
      <c r="F55" s="243"/>
      <c r="G55" s="243"/>
      <c r="H55" s="243"/>
    </row>
    <row r="56" s="158" customFormat="1" spans="1:8">
      <c r="A56" s="202" t="s">
        <v>19</v>
      </c>
      <c r="B56" s="265">
        <f>C56</f>
        <v>9</v>
      </c>
      <c r="C56" s="265">
        <v>9</v>
      </c>
      <c r="D56" s="271"/>
      <c r="E56" s="243"/>
      <c r="F56" s="243"/>
      <c r="G56" s="243"/>
      <c r="H56" s="243"/>
    </row>
    <row r="57" s="158" customFormat="1" ht="14.25" spans="1:8">
      <c r="A57" s="272" t="s">
        <v>54</v>
      </c>
      <c r="B57" s="273"/>
      <c r="C57" s="273">
        <f>SUM(C48:C56)</f>
        <v>119</v>
      </c>
      <c r="D57" s="257"/>
      <c r="E57" s="243"/>
      <c r="F57" s="243"/>
      <c r="G57" s="243"/>
      <c r="H57" s="243"/>
    </row>
    <row r="58" s="158" customFormat="1" ht="15.75" spans="1:8">
      <c r="A58" s="274" t="s">
        <v>55</v>
      </c>
      <c r="B58" s="275"/>
      <c r="C58" s="276"/>
      <c r="D58" s="277">
        <v>150</v>
      </c>
      <c r="E58" s="239">
        <v>5.98</v>
      </c>
      <c r="F58" s="239">
        <v>4.25</v>
      </c>
      <c r="G58" s="239">
        <v>38.82</v>
      </c>
      <c r="H58" s="239">
        <v>229.18</v>
      </c>
    </row>
    <row r="59" s="158" customFormat="1" spans="1:8">
      <c r="A59" s="219" t="s">
        <v>56</v>
      </c>
      <c r="B59" s="269">
        <f>C59</f>
        <v>57</v>
      </c>
      <c r="C59" s="269">
        <v>57</v>
      </c>
      <c r="D59" s="270"/>
      <c r="E59" s="243"/>
      <c r="F59" s="243"/>
      <c r="G59" s="243"/>
      <c r="H59" s="243"/>
    </row>
    <row r="60" s="158" customFormat="1" spans="1:8">
      <c r="A60" s="213" t="s">
        <v>25</v>
      </c>
      <c r="B60" s="214">
        <f>C60</f>
        <v>1.5</v>
      </c>
      <c r="C60" s="269">
        <v>1.5</v>
      </c>
      <c r="D60" s="270"/>
      <c r="E60" s="243"/>
      <c r="F60" s="243"/>
      <c r="G60" s="243"/>
      <c r="H60" s="243"/>
    </row>
    <row r="61" s="158" customFormat="1" spans="1:8">
      <c r="A61" s="219" t="s">
        <v>29</v>
      </c>
      <c r="B61" s="269">
        <f>B59*6</f>
        <v>342</v>
      </c>
      <c r="C61" s="269">
        <f>C59*6</f>
        <v>342</v>
      </c>
      <c r="D61" s="270"/>
      <c r="E61" s="243"/>
      <c r="F61" s="243"/>
      <c r="G61" s="243"/>
      <c r="H61" s="243"/>
    </row>
    <row r="62" s="158" customFormat="1" spans="1:8">
      <c r="A62" s="191" t="s">
        <v>16</v>
      </c>
      <c r="B62" s="278">
        <f>C62</f>
        <v>5</v>
      </c>
      <c r="C62" s="278">
        <v>5</v>
      </c>
      <c r="D62" s="279"/>
      <c r="E62" s="243"/>
      <c r="F62" s="243"/>
      <c r="G62" s="243"/>
      <c r="H62" s="243"/>
    </row>
    <row r="63" s="158" customFormat="1" ht="14.25" customHeight="1" spans="1:8">
      <c r="A63" s="280" t="s">
        <v>57</v>
      </c>
      <c r="B63" s="281"/>
      <c r="C63" s="282"/>
      <c r="D63" s="283">
        <v>180</v>
      </c>
      <c r="E63" s="284">
        <v>0.1</v>
      </c>
      <c r="F63" s="284">
        <v>0</v>
      </c>
      <c r="G63" s="284">
        <v>11.15</v>
      </c>
      <c r="H63" s="284">
        <v>39.92</v>
      </c>
    </row>
    <row r="64" s="158" customFormat="1" ht="16.5" customHeight="1" spans="1:8">
      <c r="A64" s="247" t="s">
        <v>58</v>
      </c>
      <c r="B64" s="249">
        <f>C64</f>
        <v>15</v>
      </c>
      <c r="C64" s="249">
        <v>15</v>
      </c>
      <c r="D64" s="270"/>
      <c r="E64" s="243"/>
      <c r="F64" s="243"/>
      <c r="G64" s="243"/>
      <c r="H64" s="243"/>
    </row>
    <row r="65" s="158" customFormat="1" spans="1:8">
      <c r="A65" s="208" t="s">
        <v>26</v>
      </c>
      <c r="B65" s="249">
        <f>C65</f>
        <v>13</v>
      </c>
      <c r="C65" s="249">
        <v>13</v>
      </c>
      <c r="D65" s="270"/>
      <c r="E65" s="243"/>
      <c r="F65" s="243"/>
      <c r="G65" s="243"/>
      <c r="H65" s="243"/>
    </row>
    <row r="66" s="158" customFormat="1" spans="1:8">
      <c r="A66" s="247" t="s">
        <v>29</v>
      </c>
      <c r="B66" s="249">
        <f>C66</f>
        <v>210</v>
      </c>
      <c r="C66" s="249">
        <v>210</v>
      </c>
      <c r="D66" s="270"/>
      <c r="E66" s="243"/>
      <c r="F66" s="243"/>
      <c r="G66" s="243"/>
      <c r="H66" s="243"/>
    </row>
    <row r="67" s="158" customFormat="1" ht="15.75" spans="1:8">
      <c r="A67" s="225" t="s">
        <v>30</v>
      </c>
      <c r="B67" s="249"/>
      <c r="C67" s="285"/>
      <c r="D67" s="230">
        <v>20</v>
      </c>
      <c r="E67" s="239">
        <v>1.12</v>
      </c>
      <c r="F67" s="239">
        <v>0.22</v>
      </c>
      <c r="G67" s="239">
        <v>11.58</v>
      </c>
      <c r="H67" s="239">
        <v>55.25</v>
      </c>
    </row>
    <row r="68" s="158" customFormat="1" ht="15.75" spans="1:8">
      <c r="A68" s="286" t="s">
        <v>59</v>
      </c>
      <c r="B68" s="287"/>
      <c r="C68" s="287"/>
      <c r="D68" s="283">
        <v>40</v>
      </c>
      <c r="E68" s="190">
        <v>1.79</v>
      </c>
      <c r="F68" s="190">
        <v>0.35</v>
      </c>
      <c r="G68" s="190">
        <v>18.53</v>
      </c>
      <c r="H68" s="190">
        <v>88.4</v>
      </c>
    </row>
    <row r="69" ht="19.5" spans="1:8">
      <c r="A69" s="183" t="s">
        <v>60</v>
      </c>
      <c r="B69" s="288"/>
      <c r="C69" s="288"/>
      <c r="D69" s="233">
        <f>D70+D81+D85</f>
        <v>355</v>
      </c>
      <c r="E69" s="234">
        <f>SUM(E70:E85)</f>
        <v>8.08</v>
      </c>
      <c r="F69" s="234">
        <f>SUM(F70:F85)</f>
        <v>8.29</v>
      </c>
      <c r="G69" s="234">
        <f>SUM(G70:G85)</f>
        <v>34.96</v>
      </c>
      <c r="H69" s="234">
        <f>SUM(H70:H85)</f>
        <v>245.5</v>
      </c>
    </row>
    <row r="70" s="158" customFormat="1" ht="15.75" spans="1:8">
      <c r="A70" s="289" t="s">
        <v>61</v>
      </c>
      <c r="B70" s="290"/>
      <c r="C70" s="290"/>
      <c r="D70" s="238">
        <v>50</v>
      </c>
      <c r="E70" s="291">
        <v>5.61</v>
      </c>
      <c r="F70" s="291">
        <v>5.4</v>
      </c>
      <c r="G70" s="291">
        <v>15.84</v>
      </c>
      <c r="H70" s="291">
        <v>144.36</v>
      </c>
    </row>
    <row r="71" s="158" customFormat="1" spans="1:8">
      <c r="A71" s="292" t="s">
        <v>19</v>
      </c>
      <c r="B71" s="265">
        <f t="shared" ref="B71" si="3">C71</f>
        <v>6</v>
      </c>
      <c r="C71" s="265">
        <v>6</v>
      </c>
      <c r="D71" s="293"/>
      <c r="E71" s="243"/>
      <c r="F71" s="243"/>
      <c r="G71" s="243"/>
      <c r="H71" s="243"/>
    </row>
    <row r="72" s="158" customFormat="1" spans="1:8">
      <c r="A72" s="294" t="s">
        <v>62</v>
      </c>
      <c r="B72" s="265">
        <f>C72*1.01</f>
        <v>18.18</v>
      </c>
      <c r="C72" s="265">
        <v>18</v>
      </c>
      <c r="D72" s="293"/>
      <c r="E72" s="243"/>
      <c r="F72" s="243"/>
      <c r="G72" s="243"/>
      <c r="H72" s="243"/>
    </row>
    <row r="73" s="158" customFormat="1" spans="1:8">
      <c r="A73" s="294" t="s">
        <v>26</v>
      </c>
      <c r="B73" s="265">
        <f>C73</f>
        <v>11</v>
      </c>
      <c r="C73" s="265">
        <v>11</v>
      </c>
      <c r="D73" s="293"/>
      <c r="E73" s="243"/>
      <c r="F73" s="243"/>
      <c r="G73" s="243"/>
      <c r="H73" s="243"/>
    </row>
    <row r="74" s="158" customFormat="1" spans="1:8">
      <c r="A74" s="268" t="s">
        <v>53</v>
      </c>
      <c r="B74" s="269">
        <f>C74</f>
        <v>27</v>
      </c>
      <c r="C74" s="269">
        <v>27</v>
      </c>
      <c r="D74" s="270"/>
      <c r="E74" s="243"/>
      <c r="F74" s="243"/>
      <c r="G74" s="243"/>
      <c r="H74" s="243"/>
    </row>
    <row r="75" s="158" customFormat="1" spans="1:8">
      <c r="A75" s="294" t="s">
        <v>63</v>
      </c>
      <c r="B75" s="265">
        <f t="shared" ref="B75:B78" si="4">C75</f>
        <v>6</v>
      </c>
      <c r="C75" s="210">
        <v>6</v>
      </c>
      <c r="D75" s="293"/>
      <c r="E75" s="243"/>
      <c r="F75" s="243"/>
      <c r="G75" s="243"/>
      <c r="H75" s="243"/>
    </row>
    <row r="76" s="158" customFormat="1" spans="1:8">
      <c r="A76" s="295" t="s">
        <v>64</v>
      </c>
      <c r="B76" s="296">
        <f t="shared" si="4"/>
        <v>0.3</v>
      </c>
      <c r="C76" s="297">
        <v>0.3</v>
      </c>
      <c r="D76" s="298"/>
      <c r="E76" s="243"/>
      <c r="F76" s="243"/>
      <c r="G76" s="243"/>
      <c r="H76" s="243"/>
    </row>
    <row r="77" s="158" customFormat="1" spans="1:8">
      <c r="A77" s="299" t="s">
        <v>65</v>
      </c>
      <c r="B77" s="296">
        <f t="shared" si="4"/>
        <v>1.5</v>
      </c>
      <c r="C77" s="296">
        <v>1.5</v>
      </c>
      <c r="D77" s="270"/>
      <c r="E77" s="243"/>
      <c r="F77" s="243"/>
      <c r="G77" s="243"/>
      <c r="H77" s="243"/>
    </row>
    <row r="78" s="158" customFormat="1" spans="1:8">
      <c r="A78" s="268" t="s">
        <v>66</v>
      </c>
      <c r="B78" s="269">
        <f t="shared" si="4"/>
        <v>1.2</v>
      </c>
      <c r="C78" s="269">
        <v>1.2</v>
      </c>
      <c r="D78" s="270"/>
      <c r="E78" s="243"/>
      <c r="F78" s="243"/>
      <c r="G78" s="243"/>
      <c r="H78" s="243"/>
    </row>
    <row r="79" s="158" customFormat="1" ht="14.25" spans="1:8">
      <c r="A79" s="272" t="s">
        <v>54</v>
      </c>
      <c r="B79" s="300"/>
      <c r="C79" s="300">
        <f>SUM(C71:C78)</f>
        <v>71</v>
      </c>
      <c r="D79" s="270"/>
      <c r="E79" s="243"/>
      <c r="F79" s="243"/>
      <c r="G79" s="243"/>
      <c r="H79" s="243"/>
    </row>
    <row r="80" s="158" customFormat="1" spans="1:8">
      <c r="A80" s="301" t="s">
        <v>46</v>
      </c>
      <c r="B80" s="302">
        <f>C80</f>
        <v>1</v>
      </c>
      <c r="C80" s="302">
        <v>1</v>
      </c>
      <c r="D80" s="303"/>
      <c r="E80" s="243"/>
      <c r="F80" s="243"/>
      <c r="G80" s="243"/>
      <c r="H80" s="243"/>
    </row>
    <row r="81" s="158" customFormat="1" ht="15.75" spans="1:8">
      <c r="A81" s="304" t="s">
        <v>67</v>
      </c>
      <c r="B81" s="305"/>
      <c r="C81" s="306"/>
      <c r="D81" s="283">
        <v>180</v>
      </c>
      <c r="E81" s="291">
        <v>0.27</v>
      </c>
      <c r="F81" s="291">
        <v>0.09</v>
      </c>
      <c r="G81" s="291">
        <v>9.12</v>
      </c>
      <c r="H81" s="291">
        <v>43.14</v>
      </c>
    </row>
    <row r="82" s="158" customFormat="1" spans="1:8">
      <c r="A82" s="307" t="s">
        <v>68</v>
      </c>
      <c r="B82" s="278">
        <f>C82</f>
        <v>30</v>
      </c>
      <c r="C82" s="278">
        <v>30</v>
      </c>
      <c r="D82" s="308"/>
      <c r="E82" s="243"/>
      <c r="F82" s="243"/>
      <c r="G82" s="243"/>
      <c r="H82" s="243"/>
    </row>
    <row r="83" s="158" customFormat="1" spans="1:8">
      <c r="A83" s="208" t="s">
        <v>26</v>
      </c>
      <c r="B83" s="278">
        <f>C83</f>
        <v>13</v>
      </c>
      <c r="C83" s="278">
        <v>13</v>
      </c>
      <c r="D83" s="308"/>
      <c r="E83" s="243"/>
      <c r="F83" s="243"/>
      <c r="G83" s="243"/>
      <c r="H83" s="243"/>
    </row>
    <row r="84" s="158" customFormat="1" spans="1:8">
      <c r="A84" s="247" t="s">
        <v>29</v>
      </c>
      <c r="B84" s="249">
        <f>C84</f>
        <v>190</v>
      </c>
      <c r="C84" s="249">
        <v>190</v>
      </c>
      <c r="D84" s="221"/>
      <c r="E84" s="243"/>
      <c r="F84" s="243"/>
      <c r="G84" s="243"/>
      <c r="H84" s="243"/>
    </row>
    <row r="85" s="158" customFormat="1" ht="15.75" spans="1:8">
      <c r="A85" s="229" t="s">
        <v>69</v>
      </c>
      <c r="B85" s="224"/>
      <c r="C85" s="224"/>
      <c r="D85" s="230">
        <v>125</v>
      </c>
      <c r="E85" s="190">
        <v>2.2</v>
      </c>
      <c r="F85" s="190">
        <v>2.8</v>
      </c>
      <c r="G85" s="190">
        <v>10</v>
      </c>
      <c r="H85" s="190">
        <v>58</v>
      </c>
    </row>
    <row r="86" s="160" customFormat="1" ht="21" customHeight="1" spans="1:8">
      <c r="A86" s="309" t="s">
        <v>70</v>
      </c>
      <c r="B86" s="310"/>
      <c r="C86" s="310"/>
      <c r="D86" s="311"/>
      <c r="E86" s="312">
        <f>E69+E28+E8</f>
        <v>47.92</v>
      </c>
      <c r="F86" s="312">
        <f>F69+F28+F8</f>
        <v>47.99</v>
      </c>
      <c r="G86" s="312">
        <f>G69+G28+G8</f>
        <v>210.01</v>
      </c>
      <c r="H86" s="312">
        <f>H69+H28+H8</f>
        <v>1474.8</v>
      </c>
    </row>
    <row r="87" ht="30" customHeight="1" spans="1:8">
      <c r="A87" s="174" t="s">
        <v>71</v>
      </c>
      <c r="B87" s="175"/>
      <c r="C87" s="175"/>
      <c r="D87" s="175"/>
      <c r="E87" s="175"/>
      <c r="F87" s="175"/>
      <c r="G87" s="175"/>
      <c r="H87" s="176"/>
    </row>
    <row r="88" ht="22.5" customHeight="1" spans="1:8">
      <c r="A88" s="177" t="s">
        <v>5</v>
      </c>
      <c r="B88" s="177" t="s">
        <v>6</v>
      </c>
      <c r="C88" s="177" t="s">
        <v>7</v>
      </c>
      <c r="D88" s="178" t="s">
        <v>8</v>
      </c>
      <c r="E88" s="179" t="s">
        <v>9</v>
      </c>
      <c r="F88" s="179" t="s">
        <v>10</v>
      </c>
      <c r="G88" s="179" t="s">
        <v>11</v>
      </c>
      <c r="H88" s="179" t="s">
        <v>12</v>
      </c>
    </row>
    <row r="89" ht="22.5" customHeight="1" spans="1:8">
      <c r="A89" s="180"/>
      <c r="B89" s="180"/>
      <c r="C89" s="180"/>
      <c r="D89" s="181"/>
      <c r="E89" s="182"/>
      <c r="F89" s="182"/>
      <c r="G89" s="182"/>
      <c r="H89" s="182"/>
    </row>
    <row r="90" ht="19.5" spans="1:8">
      <c r="A90" s="183" t="s">
        <v>13</v>
      </c>
      <c r="B90" s="183"/>
      <c r="C90" s="183"/>
      <c r="D90" s="184">
        <v>508</v>
      </c>
      <c r="E90" s="185">
        <f>SUM(E91:E108)</f>
        <v>15.2</v>
      </c>
      <c r="F90" s="185">
        <f>SUM(F91:F108)</f>
        <v>15.49</v>
      </c>
      <c r="G90" s="313">
        <f>SUM(G91:G108)</f>
        <v>69.78</v>
      </c>
      <c r="H90" s="185">
        <f>SUM(H91:H108)</f>
        <v>446.83</v>
      </c>
    </row>
    <row r="91" s="161" customFormat="1" ht="15.75" spans="1:8">
      <c r="A91" s="186" t="s">
        <v>72</v>
      </c>
      <c r="B91" s="187"/>
      <c r="C91" s="188"/>
      <c r="D91" s="189" t="s">
        <v>73</v>
      </c>
      <c r="E91" s="314">
        <v>3.34</v>
      </c>
      <c r="F91" s="314">
        <v>2.74</v>
      </c>
      <c r="G91" s="314">
        <v>8.96</v>
      </c>
      <c r="H91" s="315">
        <v>73</v>
      </c>
    </row>
    <row r="92" s="155" customFormat="1" spans="1:8">
      <c r="A92" s="191"/>
      <c r="B92" s="316"/>
      <c r="C92" s="316"/>
      <c r="D92" s="317"/>
      <c r="E92" s="203"/>
      <c r="F92" s="203"/>
      <c r="G92" s="203"/>
      <c r="H92" s="203"/>
    </row>
    <row r="93" s="155" customFormat="1" spans="1:8">
      <c r="A93" s="318" t="s">
        <v>74</v>
      </c>
      <c r="B93" s="319">
        <f>C93*1.01</f>
        <v>10.1</v>
      </c>
      <c r="C93" s="319">
        <v>10</v>
      </c>
      <c r="D93" s="197"/>
      <c r="E93" s="203"/>
      <c r="F93" s="203"/>
      <c r="G93" s="203"/>
      <c r="H93" s="203"/>
    </row>
    <row r="94" s="155" customFormat="1" spans="1:8">
      <c r="A94" s="195" t="s">
        <v>17</v>
      </c>
      <c r="B94" s="196">
        <f>C94</f>
        <v>18</v>
      </c>
      <c r="C94" s="196">
        <v>18</v>
      </c>
      <c r="D94" s="197"/>
      <c r="E94" s="203"/>
      <c r="F94" s="203"/>
      <c r="G94" s="203"/>
      <c r="H94" s="203"/>
    </row>
    <row r="95" s="155" customFormat="1" ht="15.75" spans="1:8">
      <c r="A95" s="204" t="s">
        <v>75</v>
      </c>
      <c r="B95" s="205"/>
      <c r="C95" s="206"/>
      <c r="D95" s="207" t="s">
        <v>76</v>
      </c>
      <c r="E95" s="190">
        <v>6.25</v>
      </c>
      <c r="F95" s="190">
        <v>7.89</v>
      </c>
      <c r="G95" s="190">
        <v>22.82</v>
      </c>
      <c r="H95" s="190">
        <v>161.76</v>
      </c>
    </row>
    <row r="96" s="155" customFormat="1" spans="1:8">
      <c r="A96" s="208" t="s">
        <v>77</v>
      </c>
      <c r="B96" s="192">
        <f t="shared" ref="B96:B101" si="5">C96</f>
        <v>27</v>
      </c>
      <c r="C96" s="192">
        <v>27</v>
      </c>
      <c r="D96" s="193"/>
      <c r="E96" s="203"/>
      <c r="F96" s="203"/>
      <c r="G96" s="203"/>
      <c r="H96" s="203"/>
    </row>
    <row r="97" s="155" customFormat="1" spans="1:8">
      <c r="A97" s="209" t="s">
        <v>23</v>
      </c>
      <c r="B97" s="192">
        <f t="shared" si="5"/>
        <v>77</v>
      </c>
      <c r="C97" s="210">
        <v>77</v>
      </c>
      <c r="D97" s="193"/>
      <c r="E97" s="203"/>
      <c r="F97" s="203"/>
      <c r="G97" s="203"/>
      <c r="H97" s="203"/>
    </row>
    <row r="98" s="155" customFormat="1" spans="1:8">
      <c r="A98" s="212" t="s">
        <v>24</v>
      </c>
      <c r="B98" s="192">
        <f t="shared" si="5"/>
        <v>96</v>
      </c>
      <c r="C98" s="210">
        <v>96</v>
      </c>
      <c r="D98" s="193"/>
      <c r="E98" s="203"/>
      <c r="F98" s="203"/>
      <c r="G98" s="203"/>
      <c r="H98" s="203"/>
    </row>
    <row r="99" s="155" customFormat="1" spans="1:8">
      <c r="A99" s="213" t="s">
        <v>25</v>
      </c>
      <c r="B99" s="214">
        <f t="shared" si="5"/>
        <v>0.41</v>
      </c>
      <c r="C99" s="269">
        <v>0.41</v>
      </c>
      <c r="D99" s="193"/>
      <c r="E99" s="203"/>
      <c r="F99" s="203"/>
      <c r="G99" s="203"/>
      <c r="H99" s="203"/>
    </row>
    <row r="100" spans="1:8">
      <c r="A100" s="208" t="s">
        <v>26</v>
      </c>
      <c r="B100" s="192">
        <f t="shared" si="5"/>
        <v>5</v>
      </c>
      <c r="C100" s="192">
        <v>5</v>
      </c>
      <c r="D100" s="193"/>
      <c r="E100" s="320"/>
      <c r="F100" s="320"/>
      <c r="G100" s="320"/>
      <c r="H100" s="320"/>
    </row>
    <row r="101" spans="1:8">
      <c r="A101" s="191" t="s">
        <v>16</v>
      </c>
      <c r="B101" s="192">
        <f t="shared" si="5"/>
        <v>5</v>
      </c>
      <c r="C101" s="192">
        <v>5</v>
      </c>
      <c r="D101" s="193"/>
      <c r="E101" s="320"/>
      <c r="F101" s="320"/>
      <c r="G101" s="320"/>
      <c r="H101" s="320"/>
    </row>
    <row r="102" ht="15.75" spans="1:8">
      <c r="A102" s="321" t="s">
        <v>78</v>
      </c>
      <c r="B102" s="321"/>
      <c r="C102" s="321"/>
      <c r="D102" s="322" t="s">
        <v>76</v>
      </c>
      <c r="E102" s="190">
        <v>4.09</v>
      </c>
      <c r="F102" s="190">
        <v>4.54</v>
      </c>
      <c r="G102" s="190">
        <v>17.12</v>
      </c>
      <c r="H102" s="190">
        <v>117.82</v>
      </c>
    </row>
    <row r="103" s="162" customFormat="1" ht="15.75" spans="1:8">
      <c r="A103" s="295" t="s">
        <v>79</v>
      </c>
      <c r="B103" s="249">
        <f>C103</f>
        <v>3.5</v>
      </c>
      <c r="C103" s="249">
        <v>3.5</v>
      </c>
      <c r="D103" s="323"/>
      <c r="E103" s="324"/>
      <c r="F103" s="324"/>
      <c r="G103" s="324"/>
      <c r="H103" s="324"/>
    </row>
    <row r="104" s="155" customFormat="1" spans="1:8">
      <c r="A104" s="208" t="s">
        <v>26</v>
      </c>
      <c r="B104" s="249">
        <f>C104</f>
        <v>12</v>
      </c>
      <c r="C104" s="249">
        <v>12</v>
      </c>
      <c r="D104" s="323"/>
      <c r="E104" s="203"/>
      <c r="F104" s="203"/>
      <c r="G104" s="203"/>
      <c r="H104" s="203"/>
    </row>
    <row r="105" s="155" customFormat="1" spans="1:8">
      <c r="A105" s="212" t="s">
        <v>24</v>
      </c>
      <c r="B105" s="249">
        <f>C105</f>
        <v>105</v>
      </c>
      <c r="C105" s="249">
        <v>105</v>
      </c>
      <c r="D105" s="323"/>
      <c r="E105" s="203"/>
      <c r="F105" s="203"/>
      <c r="G105" s="203"/>
      <c r="H105" s="203"/>
    </row>
    <row r="106" s="155" customFormat="1" spans="1:8">
      <c r="A106" s="295" t="s">
        <v>29</v>
      </c>
      <c r="B106" s="316">
        <f>C106</f>
        <v>85</v>
      </c>
      <c r="C106" s="316">
        <v>85</v>
      </c>
      <c r="D106" s="325"/>
      <c r="E106" s="203"/>
      <c r="F106" s="203"/>
      <c r="G106" s="203"/>
      <c r="H106" s="203"/>
    </row>
    <row r="107" s="155" customFormat="1" ht="14.25" customHeight="1" spans="1:8">
      <c r="A107" s="326" t="s">
        <v>80</v>
      </c>
      <c r="B107" s="326"/>
      <c r="C107" s="326"/>
      <c r="D107" s="218" t="s">
        <v>81</v>
      </c>
      <c r="E107" s="327">
        <v>0.4</v>
      </c>
      <c r="F107" s="190">
        <v>0.1</v>
      </c>
      <c r="G107" s="190">
        <v>9.3</v>
      </c>
      <c r="H107" s="190">
        <v>39</v>
      </c>
    </row>
    <row r="108" s="155" customFormat="1" ht="15.75" spans="1:8">
      <c r="A108" s="225" t="s">
        <v>30</v>
      </c>
      <c r="B108" s="249"/>
      <c r="C108" s="285"/>
      <c r="D108" s="230">
        <v>20</v>
      </c>
      <c r="E108" s="239">
        <v>1.12</v>
      </c>
      <c r="F108" s="239">
        <v>0.22</v>
      </c>
      <c r="G108" s="239">
        <v>11.58</v>
      </c>
      <c r="H108" s="239">
        <v>55.25</v>
      </c>
    </row>
    <row r="109" ht="19.5" spans="1:8">
      <c r="A109" s="183" t="s">
        <v>32</v>
      </c>
      <c r="B109" s="232"/>
      <c r="C109" s="232"/>
      <c r="D109" s="328">
        <f>D110+D141+D145+D151+D155+D156</f>
        <v>700</v>
      </c>
      <c r="E109" s="185">
        <f>SUM(E110:E156)</f>
        <v>23.91</v>
      </c>
      <c r="F109" s="185">
        <f>SUM(F110:F156)</f>
        <v>24.89</v>
      </c>
      <c r="G109" s="185">
        <f>SUM(G110:G156)</f>
        <v>105.33</v>
      </c>
      <c r="H109" s="185">
        <f>SUM(H110:H156)</f>
        <v>739.29</v>
      </c>
    </row>
    <row r="110" s="163" customFormat="1" ht="33" customHeight="1" spans="1:8">
      <c r="A110" s="329" t="s">
        <v>82</v>
      </c>
      <c r="B110" s="330"/>
      <c r="C110" s="331"/>
      <c r="D110" s="189" t="s">
        <v>21</v>
      </c>
      <c r="E110" s="239">
        <v>9.2</v>
      </c>
      <c r="F110" s="239">
        <v>12.78</v>
      </c>
      <c r="G110" s="239">
        <v>16.25</v>
      </c>
      <c r="H110" s="239">
        <v>166.99</v>
      </c>
    </row>
    <row r="111" s="154" customFormat="1" spans="1:8">
      <c r="A111" s="240" t="s">
        <v>34</v>
      </c>
      <c r="B111" s="241">
        <f>C111*1.45</f>
        <v>18.125</v>
      </c>
      <c r="C111" s="241">
        <f>C112*1.25</f>
        <v>12.5</v>
      </c>
      <c r="D111" s="189"/>
      <c r="E111" s="231"/>
      <c r="F111" s="231"/>
      <c r="G111" s="231"/>
      <c r="H111" s="231"/>
    </row>
    <row r="112" s="154" customFormat="1" spans="1:8">
      <c r="A112" s="244" t="s">
        <v>83</v>
      </c>
      <c r="B112" s="245"/>
      <c r="C112" s="246">
        <v>10</v>
      </c>
      <c r="D112" s="189"/>
      <c r="E112" s="231"/>
      <c r="F112" s="231"/>
      <c r="G112" s="231"/>
      <c r="H112" s="231"/>
    </row>
    <row r="113" s="154" customFormat="1" spans="1:8">
      <c r="A113" s="332" t="s">
        <v>36</v>
      </c>
      <c r="B113" s="333">
        <f>C113*1.33</f>
        <v>59.85</v>
      </c>
      <c r="C113" s="241">
        <v>45</v>
      </c>
      <c r="D113" s="189"/>
      <c r="E113" s="231"/>
      <c r="F113" s="231"/>
      <c r="G113" s="231"/>
      <c r="H113" s="231"/>
    </row>
    <row r="114" s="154" customFormat="1" spans="1:8">
      <c r="A114" s="247" t="s">
        <v>84</v>
      </c>
      <c r="B114" s="241">
        <f>C114*1.67</f>
        <v>75.15</v>
      </c>
      <c r="C114" s="319">
        <v>45</v>
      </c>
      <c r="D114" s="334"/>
      <c r="E114" s="231"/>
      <c r="F114" s="231"/>
      <c r="G114" s="231"/>
      <c r="H114" s="231"/>
    </row>
    <row r="115" s="154" customFormat="1" spans="1:8">
      <c r="A115" s="335" t="s">
        <v>85</v>
      </c>
      <c r="B115" s="336">
        <f>C115</f>
        <v>4</v>
      </c>
      <c r="C115" s="336">
        <v>4</v>
      </c>
      <c r="D115" s="334"/>
      <c r="E115" s="231"/>
      <c r="F115" s="231"/>
      <c r="G115" s="231"/>
      <c r="H115" s="231"/>
    </row>
    <row r="116" s="154" customFormat="1" spans="1:8">
      <c r="A116" s="247" t="s">
        <v>39</v>
      </c>
      <c r="B116" s="336">
        <f>C116*1.25</f>
        <v>12.5</v>
      </c>
      <c r="C116" s="336">
        <v>10</v>
      </c>
      <c r="D116" s="334"/>
      <c r="E116" s="231"/>
      <c r="F116" s="231"/>
      <c r="G116" s="231"/>
      <c r="H116" s="231"/>
    </row>
    <row r="117" s="154" customFormat="1" spans="1:8">
      <c r="A117" s="247" t="s">
        <v>86</v>
      </c>
      <c r="B117" s="249">
        <f>C117*1.33</f>
        <v>13.3</v>
      </c>
      <c r="C117" s="249">
        <v>10</v>
      </c>
      <c r="D117" s="303"/>
      <c r="E117" s="231"/>
      <c r="F117" s="231"/>
      <c r="G117" s="231"/>
      <c r="H117" s="231"/>
    </row>
    <row r="118" s="154" customFormat="1" spans="1:8">
      <c r="A118" s="335" t="s">
        <v>40</v>
      </c>
      <c r="B118" s="256">
        <f>C118*1.19</f>
        <v>9.52</v>
      </c>
      <c r="C118" s="336">
        <v>8</v>
      </c>
      <c r="D118" s="303"/>
      <c r="E118" s="231"/>
      <c r="F118" s="231"/>
      <c r="G118" s="231"/>
      <c r="H118" s="231"/>
    </row>
    <row r="119" s="154" customFormat="1" spans="1:8">
      <c r="A119" s="251" t="s">
        <v>41</v>
      </c>
      <c r="B119" s="336">
        <f>C119</f>
        <v>0.01</v>
      </c>
      <c r="C119" s="336">
        <v>0.01</v>
      </c>
      <c r="D119" s="303"/>
      <c r="E119" s="231"/>
      <c r="F119" s="231"/>
      <c r="G119" s="231"/>
      <c r="H119" s="231"/>
    </row>
    <row r="120" s="154" customFormat="1" spans="1:8">
      <c r="A120" s="301" t="s">
        <v>87</v>
      </c>
      <c r="B120" s="302">
        <f>C120*1.9</f>
        <v>19</v>
      </c>
      <c r="C120" s="302">
        <v>10</v>
      </c>
      <c r="D120" s="303"/>
      <c r="E120" s="231"/>
      <c r="F120" s="231"/>
      <c r="G120" s="231"/>
      <c r="H120" s="231"/>
    </row>
    <row r="121" s="154" customFormat="1" spans="1:8">
      <c r="A121" s="301" t="s">
        <v>46</v>
      </c>
      <c r="B121" s="302">
        <f>C121</f>
        <v>3.89</v>
      </c>
      <c r="C121" s="302">
        <v>3.89</v>
      </c>
      <c r="D121" s="303"/>
      <c r="E121" s="231"/>
      <c r="F121" s="231"/>
      <c r="G121" s="231"/>
      <c r="H121" s="231"/>
    </row>
    <row r="122" s="154" customFormat="1" spans="1:8">
      <c r="A122" s="213" t="s">
        <v>25</v>
      </c>
      <c r="B122" s="214">
        <f>C122</f>
        <v>0.45</v>
      </c>
      <c r="C122" s="252">
        <v>0.45</v>
      </c>
      <c r="D122" s="303"/>
      <c r="E122" s="231"/>
      <c r="F122" s="231"/>
      <c r="G122" s="231"/>
      <c r="H122" s="231"/>
    </row>
    <row r="123" s="154" customFormat="1" spans="1:8">
      <c r="A123" s="247" t="s">
        <v>23</v>
      </c>
      <c r="B123" s="336">
        <f>C123</f>
        <v>188</v>
      </c>
      <c r="C123" s="336">
        <v>188</v>
      </c>
      <c r="D123" s="303"/>
      <c r="E123" s="231"/>
      <c r="F123" s="231"/>
      <c r="G123" s="231"/>
      <c r="H123" s="231"/>
    </row>
    <row r="124" s="154" customFormat="1" spans="1:8">
      <c r="A124" s="337" t="s">
        <v>88</v>
      </c>
      <c r="B124" s="336">
        <f>C124</f>
        <v>10</v>
      </c>
      <c r="C124" s="336">
        <v>10</v>
      </c>
      <c r="D124" s="303"/>
      <c r="E124" s="231"/>
      <c r="F124" s="231"/>
      <c r="G124" s="231"/>
      <c r="H124" s="231"/>
    </row>
    <row r="125" s="154" customFormat="1" spans="1:8">
      <c r="A125" s="255" t="s">
        <v>47</v>
      </c>
      <c r="B125" s="256">
        <f>C125*1.35</f>
        <v>0.675</v>
      </c>
      <c r="C125" s="256">
        <v>0.5</v>
      </c>
      <c r="D125" s="257"/>
      <c r="E125" s="231"/>
      <c r="F125" s="231"/>
      <c r="G125" s="231"/>
      <c r="H125" s="231"/>
    </row>
    <row r="126" s="154" customFormat="1" ht="15.75" spans="1:8">
      <c r="A126" s="338" t="s">
        <v>89</v>
      </c>
      <c r="B126" s="339"/>
      <c r="C126" s="340"/>
      <c r="D126" s="341">
        <v>90</v>
      </c>
      <c r="E126" s="190">
        <v>5.89</v>
      </c>
      <c r="F126" s="190">
        <v>5.74</v>
      </c>
      <c r="G126" s="190">
        <v>14.35</v>
      </c>
      <c r="H126" s="190">
        <v>173.5</v>
      </c>
    </row>
    <row r="127" s="154" customFormat="1" spans="1:8">
      <c r="A127" s="342" t="s">
        <v>90</v>
      </c>
      <c r="B127" s="343">
        <f>C127*1.54</f>
        <v>100.1</v>
      </c>
      <c r="C127" s="249">
        <v>65</v>
      </c>
      <c r="D127" s="344"/>
      <c r="E127" s="231"/>
      <c r="F127" s="231"/>
      <c r="G127" s="231"/>
      <c r="H127" s="231"/>
    </row>
    <row r="128" s="154" customFormat="1" spans="1:8">
      <c r="A128" s="345" t="s">
        <v>91</v>
      </c>
      <c r="B128" s="343">
        <f>C128*1.6</f>
        <v>104</v>
      </c>
      <c r="C128" s="346">
        <v>65</v>
      </c>
      <c r="D128" s="347"/>
      <c r="E128" s="231"/>
      <c r="F128" s="231"/>
      <c r="G128" s="231"/>
      <c r="H128" s="231"/>
    </row>
    <row r="129" s="154" customFormat="1" spans="1:8">
      <c r="A129" s="348" t="s">
        <v>92</v>
      </c>
      <c r="B129" s="252">
        <f>C129*1.05</f>
        <v>12.264</v>
      </c>
      <c r="C129" s="349">
        <v>11.68</v>
      </c>
      <c r="D129" s="341"/>
      <c r="E129" s="231"/>
      <c r="F129" s="231"/>
      <c r="G129" s="231"/>
      <c r="H129" s="231"/>
    </row>
    <row r="130" s="154" customFormat="1" spans="1:8">
      <c r="A130" s="335" t="s">
        <v>40</v>
      </c>
      <c r="B130" s="256">
        <f>C130*1.19</f>
        <v>7.3899</v>
      </c>
      <c r="C130" s="336">
        <v>6.21</v>
      </c>
      <c r="D130" s="303"/>
      <c r="E130" s="231"/>
      <c r="F130" s="231"/>
      <c r="G130" s="231"/>
      <c r="H130" s="231"/>
    </row>
    <row r="131" s="154" customFormat="1" spans="1:8">
      <c r="A131" s="247" t="s">
        <v>39</v>
      </c>
      <c r="B131" s="256">
        <f>C131*1.25</f>
        <v>8.75</v>
      </c>
      <c r="C131" s="336">
        <v>7</v>
      </c>
      <c r="D131" s="303"/>
      <c r="E131" s="231"/>
      <c r="F131" s="231"/>
      <c r="G131" s="231"/>
      <c r="H131" s="231"/>
    </row>
    <row r="132" s="154" customFormat="1" spans="1:8">
      <c r="A132" s="247" t="s">
        <v>86</v>
      </c>
      <c r="B132" s="249">
        <f>C132*1.33</f>
        <v>9.31</v>
      </c>
      <c r="C132" s="249">
        <v>7</v>
      </c>
      <c r="D132" s="303"/>
      <c r="E132" s="231"/>
      <c r="F132" s="231"/>
      <c r="G132" s="231"/>
      <c r="H132" s="231"/>
    </row>
    <row r="133" s="154" customFormat="1" spans="1:8">
      <c r="A133" s="301" t="s">
        <v>46</v>
      </c>
      <c r="B133" s="302">
        <f t="shared" ref="B133:B138" si="6">C133</f>
        <v>2.51</v>
      </c>
      <c r="C133" s="302">
        <v>2.51</v>
      </c>
      <c r="D133" s="303"/>
      <c r="E133" s="231"/>
      <c r="F133" s="231"/>
      <c r="G133" s="231"/>
      <c r="H133" s="231"/>
    </row>
    <row r="134" s="154" customFormat="1" spans="1:8">
      <c r="A134" s="292" t="s">
        <v>93</v>
      </c>
      <c r="B134" s="302">
        <f t="shared" si="6"/>
        <v>9</v>
      </c>
      <c r="C134" s="256">
        <v>9</v>
      </c>
      <c r="D134" s="283"/>
      <c r="E134" s="231"/>
      <c r="F134" s="231"/>
      <c r="G134" s="231"/>
      <c r="H134" s="231"/>
    </row>
    <row r="135" s="154" customFormat="1" spans="1:8">
      <c r="A135" s="212" t="s">
        <v>24</v>
      </c>
      <c r="B135" s="249">
        <f t="shared" si="6"/>
        <v>2.4</v>
      </c>
      <c r="C135" s="249">
        <v>2.4</v>
      </c>
      <c r="D135" s="323"/>
      <c r="E135" s="231"/>
      <c r="F135" s="231"/>
      <c r="G135" s="231"/>
      <c r="H135" s="231"/>
    </row>
    <row r="136" s="154" customFormat="1" spans="1:8">
      <c r="A136" s="202" t="s">
        <v>19</v>
      </c>
      <c r="B136" s="265">
        <f t="shared" si="6"/>
        <v>2</v>
      </c>
      <c r="C136" s="265">
        <v>2</v>
      </c>
      <c r="D136" s="271"/>
      <c r="E136" s="231"/>
      <c r="F136" s="231"/>
      <c r="G136" s="231"/>
      <c r="H136" s="231"/>
    </row>
    <row r="137" s="154" customFormat="1" spans="1:8">
      <c r="A137" s="213" t="s">
        <v>25</v>
      </c>
      <c r="B137" s="214">
        <f t="shared" si="6"/>
        <v>0.2</v>
      </c>
      <c r="C137" s="252">
        <v>0.2</v>
      </c>
      <c r="D137" s="303"/>
      <c r="E137" s="231"/>
      <c r="F137" s="231"/>
      <c r="G137" s="231"/>
      <c r="H137" s="231"/>
    </row>
    <row r="138" s="154" customFormat="1" spans="1:8">
      <c r="A138" s="202" t="s">
        <v>94</v>
      </c>
      <c r="B138" s="265">
        <f t="shared" si="6"/>
        <v>4</v>
      </c>
      <c r="C138" s="265">
        <v>4</v>
      </c>
      <c r="D138" s="271"/>
      <c r="E138" s="231"/>
      <c r="F138" s="231"/>
      <c r="G138" s="231"/>
      <c r="H138" s="231"/>
    </row>
    <row r="139" s="154" customFormat="1" spans="1:8">
      <c r="A139" s="350" t="s">
        <v>54</v>
      </c>
      <c r="B139" s="351"/>
      <c r="C139" s="351">
        <f>C138+C137+C136+C135+C134+C133+C132+C130+C129+C128</f>
        <v>110</v>
      </c>
      <c r="D139" s="352"/>
      <c r="E139" s="231"/>
      <c r="F139" s="231"/>
      <c r="G139" s="231"/>
      <c r="H139" s="231"/>
    </row>
    <row r="140" s="154" customFormat="1" spans="1:8">
      <c r="A140" s="353" t="s">
        <v>95</v>
      </c>
      <c r="B140" s="252">
        <v>1</v>
      </c>
      <c r="C140" s="252">
        <v>1</v>
      </c>
      <c r="D140" s="354"/>
      <c r="E140" s="231"/>
      <c r="F140" s="231"/>
      <c r="G140" s="231"/>
      <c r="H140" s="231"/>
    </row>
    <row r="141" s="154" customFormat="1" ht="15.75" spans="1:8">
      <c r="A141" s="338" t="s">
        <v>89</v>
      </c>
      <c r="B141" s="339"/>
      <c r="C141" s="340"/>
      <c r="D141" s="355">
        <v>90</v>
      </c>
      <c r="E141" s="190"/>
      <c r="F141" s="190"/>
      <c r="G141" s="190"/>
      <c r="H141" s="190"/>
    </row>
    <row r="142" s="154" customFormat="1" spans="1:8">
      <c r="A142" s="356" t="s">
        <v>96</v>
      </c>
      <c r="B142" s="343">
        <f>C142</f>
        <v>1</v>
      </c>
      <c r="C142" s="343">
        <v>1</v>
      </c>
      <c r="D142" s="355"/>
      <c r="E142" s="231"/>
      <c r="F142" s="231"/>
      <c r="G142" s="231"/>
      <c r="H142" s="231"/>
    </row>
    <row r="143" s="154" customFormat="1" spans="1:8">
      <c r="A143" s="357" t="s">
        <v>54</v>
      </c>
      <c r="B143" s="358"/>
      <c r="C143" s="359">
        <v>110</v>
      </c>
      <c r="D143" s="360"/>
      <c r="E143" s="231"/>
      <c r="F143" s="231"/>
      <c r="G143" s="231"/>
      <c r="H143" s="231"/>
    </row>
    <row r="144" s="154" customFormat="1" spans="1:8">
      <c r="A144" s="361" t="s">
        <v>51</v>
      </c>
      <c r="B144" s="343">
        <f>C144</f>
        <v>2</v>
      </c>
      <c r="C144" s="343">
        <v>2</v>
      </c>
      <c r="D144" s="360"/>
      <c r="E144" s="231"/>
      <c r="F144" s="231"/>
      <c r="G144" s="231"/>
      <c r="H144" s="231"/>
    </row>
    <row r="145" s="154" customFormat="1" ht="15.75" spans="1:8">
      <c r="A145" s="280" t="s">
        <v>97</v>
      </c>
      <c r="B145" s="281"/>
      <c r="C145" s="282"/>
      <c r="D145" s="322">
        <v>150</v>
      </c>
      <c r="E145" s="190">
        <v>5.83</v>
      </c>
      <c r="F145" s="190">
        <v>5.72</v>
      </c>
      <c r="G145" s="190">
        <v>32.68</v>
      </c>
      <c r="H145" s="190">
        <v>205.85</v>
      </c>
    </row>
    <row r="146" s="154" customFormat="1" spans="1:8">
      <c r="A146" s="247" t="s">
        <v>36</v>
      </c>
      <c r="B146" s="241">
        <f>C146*1.33</f>
        <v>172.9</v>
      </c>
      <c r="C146" s="241">
        <v>130</v>
      </c>
      <c r="D146" s="323"/>
      <c r="E146" s="231"/>
      <c r="F146" s="231"/>
      <c r="G146" s="231"/>
      <c r="H146" s="231"/>
    </row>
    <row r="147" s="154" customFormat="1" spans="1:8">
      <c r="A147" s="247" t="s">
        <v>37</v>
      </c>
      <c r="B147" s="241">
        <f>C147*1.67</f>
        <v>217.1</v>
      </c>
      <c r="C147" s="241">
        <v>130</v>
      </c>
      <c r="D147" s="323"/>
      <c r="E147" s="231"/>
      <c r="F147" s="231"/>
      <c r="G147" s="231"/>
      <c r="H147" s="231"/>
    </row>
    <row r="148" s="158" customFormat="1" spans="1:8">
      <c r="A148" s="212" t="s">
        <v>24</v>
      </c>
      <c r="B148" s="249">
        <f>C148*1.05</f>
        <v>23.625</v>
      </c>
      <c r="C148" s="249">
        <v>22.5</v>
      </c>
      <c r="D148" s="323"/>
      <c r="E148" s="243"/>
      <c r="F148" s="243"/>
      <c r="G148" s="243"/>
      <c r="H148" s="243"/>
    </row>
    <row r="149" s="158" customFormat="1" spans="1:8">
      <c r="A149" s="213" t="s">
        <v>25</v>
      </c>
      <c r="B149" s="214">
        <f>C149</f>
        <v>0.25</v>
      </c>
      <c r="C149" s="252">
        <v>0.25</v>
      </c>
      <c r="D149" s="323"/>
      <c r="E149" s="243"/>
      <c r="F149" s="243"/>
      <c r="G149" s="243"/>
      <c r="H149" s="243"/>
    </row>
    <row r="150" s="158" customFormat="1" spans="1:8">
      <c r="A150" s="191" t="s">
        <v>16</v>
      </c>
      <c r="B150" s="249">
        <f>C150</f>
        <v>4</v>
      </c>
      <c r="C150" s="249">
        <v>4</v>
      </c>
      <c r="D150" s="197"/>
      <c r="E150" s="243"/>
      <c r="F150" s="243"/>
      <c r="G150" s="243"/>
      <c r="H150" s="243"/>
    </row>
    <row r="151" s="158" customFormat="1" ht="15.75" spans="1:8">
      <c r="A151" s="362" t="s">
        <v>98</v>
      </c>
      <c r="B151" s="363"/>
      <c r="C151" s="364"/>
      <c r="D151" s="365">
        <v>200</v>
      </c>
      <c r="E151" s="284">
        <v>0.08</v>
      </c>
      <c r="F151" s="284">
        <v>0.08</v>
      </c>
      <c r="G151" s="284">
        <v>11.94</v>
      </c>
      <c r="H151" s="284">
        <v>49.3</v>
      </c>
    </row>
    <row r="152" s="158" customFormat="1" spans="1:8">
      <c r="A152" s="348" t="s">
        <v>99</v>
      </c>
      <c r="B152" s="297">
        <f>C152</f>
        <v>25</v>
      </c>
      <c r="C152" s="297">
        <v>25</v>
      </c>
      <c r="D152" s="334"/>
      <c r="E152" s="243"/>
      <c r="F152" s="243"/>
      <c r="G152" s="243"/>
      <c r="H152" s="243"/>
    </row>
    <row r="153" s="164" customFormat="1" spans="1:8">
      <c r="A153" s="208" t="s">
        <v>26</v>
      </c>
      <c r="B153" s="249">
        <f>C153</f>
        <v>13</v>
      </c>
      <c r="C153" s="249">
        <v>13</v>
      </c>
      <c r="D153" s="334"/>
      <c r="E153" s="366"/>
      <c r="F153" s="366"/>
      <c r="G153" s="366"/>
      <c r="H153" s="366"/>
    </row>
    <row r="154" s="154" customFormat="1" spans="1:8">
      <c r="A154" s="367" t="s">
        <v>29</v>
      </c>
      <c r="B154" s="297">
        <f>C154</f>
        <v>210</v>
      </c>
      <c r="C154" s="297">
        <v>210</v>
      </c>
      <c r="D154" s="334"/>
      <c r="E154" s="231"/>
      <c r="F154" s="231"/>
      <c r="G154" s="231"/>
      <c r="H154" s="231"/>
    </row>
    <row r="155" s="154" customFormat="1" ht="15.75" spans="1:8">
      <c r="A155" s="225" t="s">
        <v>30</v>
      </c>
      <c r="B155" s="249"/>
      <c r="C155" s="285"/>
      <c r="D155" s="230">
        <v>20</v>
      </c>
      <c r="E155" s="239">
        <v>1.12</v>
      </c>
      <c r="F155" s="239">
        <v>0.22</v>
      </c>
      <c r="G155" s="239">
        <v>11.58</v>
      </c>
      <c r="H155" s="239">
        <v>55.25</v>
      </c>
    </row>
    <row r="156" s="154" customFormat="1" ht="15.75" spans="1:8">
      <c r="A156" s="286" t="s">
        <v>59</v>
      </c>
      <c r="B156" s="287"/>
      <c r="C156" s="287"/>
      <c r="D156" s="283">
        <v>40</v>
      </c>
      <c r="E156" s="239">
        <v>1.79</v>
      </c>
      <c r="F156" s="239">
        <v>0.35</v>
      </c>
      <c r="G156" s="239">
        <v>18.53</v>
      </c>
      <c r="H156" s="239">
        <v>88.4</v>
      </c>
    </row>
    <row r="157" ht="19.5" spans="1:8">
      <c r="A157" s="183" t="s">
        <v>60</v>
      </c>
      <c r="B157" s="288"/>
      <c r="C157" s="288"/>
      <c r="D157" s="233">
        <f>D158+D168+D172</f>
        <v>350</v>
      </c>
      <c r="E157" s="185">
        <f>SUM(E158:E172)</f>
        <v>7.42</v>
      </c>
      <c r="F157" s="185">
        <f>SUM(F158:F172)</f>
        <v>7.67</v>
      </c>
      <c r="G157" s="185">
        <f>SUM(G158:G172)</f>
        <v>34.23</v>
      </c>
      <c r="H157" s="185">
        <f>SUM(H158:H172)</f>
        <v>223.49</v>
      </c>
    </row>
    <row r="158" s="163" customFormat="1" ht="23.25" customHeight="1" spans="1:8">
      <c r="A158" s="368" t="s">
        <v>100</v>
      </c>
      <c r="B158" s="368"/>
      <c r="C158" s="368"/>
      <c r="D158" s="369">
        <v>50</v>
      </c>
      <c r="E158" s="291">
        <v>7.01</v>
      </c>
      <c r="F158" s="291">
        <v>7.57</v>
      </c>
      <c r="G158" s="291">
        <v>18.95</v>
      </c>
      <c r="H158" s="291">
        <v>144.51</v>
      </c>
    </row>
    <row r="159" spans="1:8">
      <c r="A159" s="208" t="s">
        <v>101</v>
      </c>
      <c r="B159" s="192">
        <f t="shared" ref="B159" si="7">C159</f>
        <v>15</v>
      </c>
      <c r="C159" s="192">
        <v>15</v>
      </c>
      <c r="D159" s="370"/>
      <c r="E159" s="320"/>
      <c r="F159" s="320"/>
      <c r="G159" s="320"/>
      <c r="H159" s="320"/>
    </row>
    <row r="160" spans="1:8">
      <c r="A160" s="353" t="s">
        <v>19</v>
      </c>
      <c r="B160" s="252">
        <f t="shared" ref="B160:B164" si="8">C160</f>
        <v>8</v>
      </c>
      <c r="C160" s="252">
        <v>8</v>
      </c>
      <c r="D160" s="369"/>
      <c r="E160" s="320"/>
      <c r="F160" s="320"/>
      <c r="G160" s="320"/>
      <c r="H160" s="320"/>
    </row>
    <row r="161" spans="1:8">
      <c r="A161" s="371" t="s">
        <v>102</v>
      </c>
      <c r="B161" s="252">
        <f t="shared" si="8"/>
        <v>15</v>
      </c>
      <c r="C161" s="252">
        <v>15</v>
      </c>
      <c r="D161" s="369"/>
      <c r="E161" s="320"/>
      <c r="F161" s="320"/>
      <c r="G161" s="320"/>
      <c r="H161" s="320"/>
    </row>
    <row r="162" spans="1:8">
      <c r="A162" s="371" t="s">
        <v>103</v>
      </c>
      <c r="B162" s="252">
        <f t="shared" si="8"/>
        <v>4</v>
      </c>
      <c r="C162" s="252">
        <v>4</v>
      </c>
      <c r="D162" s="354"/>
      <c r="E162" s="320"/>
      <c r="F162" s="320"/>
      <c r="G162" s="320"/>
      <c r="H162" s="320"/>
    </row>
    <row r="163" spans="1:8">
      <c r="A163" s="353" t="s">
        <v>104</v>
      </c>
      <c r="B163" s="252">
        <f t="shared" si="8"/>
        <v>17</v>
      </c>
      <c r="C163" s="252">
        <v>17</v>
      </c>
      <c r="D163" s="354"/>
      <c r="E163" s="320"/>
      <c r="F163" s="320"/>
      <c r="G163" s="320"/>
      <c r="H163" s="320"/>
    </row>
    <row r="164" spans="1:8">
      <c r="A164" s="367" t="s">
        <v>105</v>
      </c>
      <c r="B164" s="252">
        <f t="shared" si="8"/>
        <v>1.7</v>
      </c>
      <c r="C164" s="252">
        <v>1.7</v>
      </c>
      <c r="D164" s="369"/>
      <c r="E164" s="320"/>
      <c r="F164" s="320"/>
      <c r="G164" s="320"/>
      <c r="H164" s="320"/>
    </row>
    <row r="165" spans="1:8">
      <c r="A165" s="299" t="s">
        <v>65</v>
      </c>
      <c r="B165" s="296">
        <f t="shared" ref="B165" si="9">C165</f>
        <v>1.5</v>
      </c>
      <c r="C165" s="296">
        <v>1.5</v>
      </c>
      <c r="D165" s="270"/>
      <c r="E165" s="320"/>
      <c r="F165" s="320"/>
      <c r="G165" s="320"/>
      <c r="H165" s="320"/>
    </row>
    <row r="166" spans="1:8">
      <c r="A166" s="372" t="s">
        <v>54</v>
      </c>
      <c r="B166" s="296"/>
      <c r="C166" s="373">
        <f>SUM(C159:C165)</f>
        <v>62.2</v>
      </c>
      <c r="D166" s="270"/>
      <c r="E166" s="320"/>
      <c r="F166" s="320"/>
      <c r="G166" s="320"/>
      <c r="H166" s="320"/>
    </row>
    <row r="167" spans="1:8">
      <c r="A167" s="353" t="s">
        <v>106</v>
      </c>
      <c r="B167" s="252">
        <f>C167</f>
        <v>1</v>
      </c>
      <c r="C167" s="252">
        <v>1</v>
      </c>
      <c r="D167" s="369"/>
      <c r="E167" s="320"/>
      <c r="F167" s="320"/>
      <c r="G167" s="320"/>
      <c r="H167" s="320"/>
    </row>
    <row r="168" s="158" customFormat="1" ht="15.75" spans="1:8">
      <c r="A168" s="374" t="s">
        <v>107</v>
      </c>
      <c r="B168" s="374"/>
      <c r="C168" s="374"/>
      <c r="D168" s="375">
        <v>200</v>
      </c>
      <c r="E168" s="239">
        <v>0.01</v>
      </c>
      <c r="F168" s="239">
        <v>0</v>
      </c>
      <c r="G168" s="239">
        <v>5.98</v>
      </c>
      <c r="H168" s="239">
        <v>39.98</v>
      </c>
    </row>
    <row r="169" s="158" customFormat="1" spans="1:8">
      <c r="A169" s="219" t="s">
        <v>28</v>
      </c>
      <c r="B169" s="269">
        <f>C169</f>
        <v>0.8</v>
      </c>
      <c r="C169" s="220">
        <v>0.8</v>
      </c>
      <c r="D169" s="376"/>
      <c r="E169" s="243"/>
      <c r="F169" s="243"/>
      <c r="G169" s="243"/>
      <c r="H169" s="243"/>
    </row>
    <row r="170" s="158" customFormat="1" spans="1:8">
      <c r="A170" s="219" t="s">
        <v>29</v>
      </c>
      <c r="B170" s="269">
        <f>C170</f>
        <v>205</v>
      </c>
      <c r="C170" s="269">
        <v>205</v>
      </c>
      <c r="D170" s="376"/>
      <c r="E170" s="243"/>
      <c r="F170" s="243"/>
      <c r="G170" s="243"/>
      <c r="H170" s="243"/>
    </row>
    <row r="171" s="158" customFormat="1" spans="1:8">
      <c r="A171" s="208" t="s">
        <v>26</v>
      </c>
      <c r="B171" s="269">
        <f>C171</f>
        <v>10</v>
      </c>
      <c r="C171" s="269">
        <v>10</v>
      </c>
      <c r="D171" s="376"/>
      <c r="E171" s="243"/>
      <c r="F171" s="243"/>
      <c r="G171" s="243"/>
      <c r="H171" s="243"/>
    </row>
    <row r="172" s="158" customFormat="1" ht="15.75" spans="1:8">
      <c r="A172" s="326" t="s">
        <v>80</v>
      </c>
      <c r="B172" s="269">
        <f>C172</f>
        <v>100</v>
      </c>
      <c r="C172" s="269">
        <v>100</v>
      </c>
      <c r="D172" s="283">
        <v>100</v>
      </c>
      <c r="E172" s="327">
        <v>0.4</v>
      </c>
      <c r="F172" s="190">
        <v>0.1</v>
      </c>
      <c r="G172" s="190">
        <v>9.3</v>
      </c>
      <c r="H172" s="190">
        <v>39</v>
      </c>
    </row>
    <row r="173" ht="18.75" spans="1:8">
      <c r="A173" s="309" t="s">
        <v>70</v>
      </c>
      <c r="B173" s="310"/>
      <c r="C173" s="310"/>
      <c r="D173" s="311"/>
      <c r="E173" s="312">
        <f>E157+E109+E90</f>
        <v>46.53</v>
      </c>
      <c r="F173" s="312">
        <f>F157+F109+F90</f>
        <v>48.05</v>
      </c>
      <c r="G173" s="312">
        <f>G157+G109+G90</f>
        <v>209.34</v>
      </c>
      <c r="H173" s="312">
        <f>H157+H109+H90</f>
        <v>1409.61</v>
      </c>
    </row>
    <row r="174" ht="30.75" customHeight="1" spans="1:8">
      <c r="A174" s="174" t="s">
        <v>108</v>
      </c>
      <c r="B174" s="175"/>
      <c r="C174" s="175"/>
      <c r="D174" s="175"/>
      <c r="E174" s="175"/>
      <c r="F174" s="175"/>
      <c r="G174" s="175"/>
      <c r="H174" s="176"/>
    </row>
    <row r="175" ht="24" customHeight="1" spans="1:8">
      <c r="A175" s="177" t="s">
        <v>5</v>
      </c>
      <c r="B175" s="177" t="s">
        <v>6</v>
      </c>
      <c r="C175" s="177" t="s">
        <v>7</v>
      </c>
      <c r="D175" s="178" t="s">
        <v>8</v>
      </c>
      <c r="E175" s="179" t="s">
        <v>9</v>
      </c>
      <c r="F175" s="179" t="s">
        <v>10</v>
      </c>
      <c r="G175" s="179" t="s">
        <v>11</v>
      </c>
      <c r="H175" s="179" t="s">
        <v>12</v>
      </c>
    </row>
    <row r="176" ht="22.5" customHeight="1" spans="1:8">
      <c r="A176" s="180"/>
      <c r="B176" s="180"/>
      <c r="C176" s="180"/>
      <c r="D176" s="181"/>
      <c r="E176" s="182"/>
      <c r="F176" s="182"/>
      <c r="G176" s="182"/>
      <c r="H176" s="182"/>
    </row>
    <row r="177" ht="19.5" spans="1:8">
      <c r="A177" s="183" t="s">
        <v>13</v>
      </c>
      <c r="B177" s="183"/>
      <c r="C177" s="183"/>
      <c r="D177" s="184">
        <v>503</v>
      </c>
      <c r="E177" s="377">
        <f>SUM(E178:E194)</f>
        <v>14.98</v>
      </c>
      <c r="F177" s="377">
        <f>SUM(F178:F194)</f>
        <v>16.37</v>
      </c>
      <c r="G177" s="377">
        <f>SUM(G178:G194)</f>
        <v>64.08</v>
      </c>
      <c r="H177" s="377">
        <f>SUM(H178:H194)</f>
        <v>471.32</v>
      </c>
    </row>
    <row r="178" s="163" customFormat="1" ht="15.75" spans="1:8">
      <c r="A178" s="378" t="s">
        <v>109</v>
      </c>
      <c r="B178" s="379"/>
      <c r="C178" s="379"/>
      <c r="D178" s="380" t="s">
        <v>110</v>
      </c>
      <c r="E178" s="190">
        <v>1.45</v>
      </c>
      <c r="F178" s="190">
        <v>4.15</v>
      </c>
      <c r="G178" s="190">
        <v>19.23</v>
      </c>
      <c r="H178" s="190">
        <v>109.07</v>
      </c>
    </row>
    <row r="179" s="154" customFormat="1" spans="1:8">
      <c r="A179" s="195" t="s">
        <v>17</v>
      </c>
      <c r="B179" s="302">
        <f>C179</f>
        <v>18</v>
      </c>
      <c r="C179" s="302">
        <v>18</v>
      </c>
      <c r="D179" s="218"/>
      <c r="E179" s="231"/>
      <c r="F179" s="231"/>
      <c r="G179" s="231"/>
      <c r="H179" s="231"/>
    </row>
    <row r="180" s="154" customFormat="1" spans="1:8">
      <c r="A180" s="191" t="s">
        <v>16</v>
      </c>
      <c r="B180" s="336">
        <f>C180</f>
        <v>5</v>
      </c>
      <c r="C180" s="319">
        <v>5</v>
      </c>
      <c r="D180" s="334"/>
      <c r="E180" s="231"/>
      <c r="F180" s="231"/>
      <c r="G180" s="231"/>
      <c r="H180" s="231"/>
    </row>
    <row r="181" s="154" customFormat="1" spans="1:8">
      <c r="A181" s="191" t="s">
        <v>111</v>
      </c>
      <c r="B181" s="297">
        <f>C181</f>
        <v>10</v>
      </c>
      <c r="C181" s="297">
        <v>10</v>
      </c>
      <c r="D181" s="381"/>
      <c r="E181" s="231"/>
      <c r="F181" s="231"/>
      <c r="G181" s="231"/>
      <c r="H181" s="231"/>
    </row>
    <row r="182" s="154" customFormat="1" ht="15.75" spans="1:8">
      <c r="A182" s="382" t="s">
        <v>112</v>
      </c>
      <c r="B182" s="383"/>
      <c r="C182" s="384"/>
      <c r="D182" s="293">
        <v>120</v>
      </c>
      <c r="E182" s="190">
        <v>8.46</v>
      </c>
      <c r="F182" s="190">
        <v>9.04</v>
      </c>
      <c r="G182" s="190">
        <v>10.03</v>
      </c>
      <c r="H182" s="190">
        <v>140.59</v>
      </c>
    </row>
    <row r="183" s="154" customFormat="1" spans="1:8">
      <c r="A183" s="202" t="s">
        <v>19</v>
      </c>
      <c r="B183" s="265">
        <f>C183</f>
        <v>68</v>
      </c>
      <c r="C183" s="265">
        <v>68</v>
      </c>
      <c r="D183" s="271"/>
      <c r="E183" s="231"/>
      <c r="F183" s="231"/>
      <c r="G183" s="231"/>
      <c r="H183" s="231"/>
    </row>
    <row r="184" s="154" customFormat="1" spans="1:8">
      <c r="A184" s="212" t="s">
        <v>24</v>
      </c>
      <c r="B184" s="210">
        <f>C184</f>
        <v>65</v>
      </c>
      <c r="C184" s="210">
        <v>65</v>
      </c>
      <c r="D184" s="271"/>
      <c r="E184" s="231"/>
      <c r="F184" s="231"/>
      <c r="G184" s="231"/>
      <c r="H184" s="231"/>
    </row>
    <row r="185" s="154" customFormat="1" spans="1:8">
      <c r="A185" s="385" t="s">
        <v>113</v>
      </c>
      <c r="B185" s="386"/>
      <c r="C185" s="386">
        <f>C183+C184</f>
        <v>133</v>
      </c>
      <c r="D185" s="271"/>
      <c r="E185" s="231"/>
      <c r="F185" s="231"/>
      <c r="G185" s="231"/>
      <c r="H185" s="231"/>
    </row>
    <row r="186" s="154" customFormat="1" spans="1:8">
      <c r="A186" s="213" t="s">
        <v>25</v>
      </c>
      <c r="B186" s="214">
        <f>C186</f>
        <v>0.39</v>
      </c>
      <c r="C186" s="210">
        <v>0.39</v>
      </c>
      <c r="D186" s="271"/>
      <c r="E186" s="231"/>
      <c r="F186" s="231"/>
      <c r="G186" s="231"/>
      <c r="H186" s="231"/>
    </row>
    <row r="187" s="154" customFormat="1" spans="1:8">
      <c r="A187" s="387" t="s">
        <v>51</v>
      </c>
      <c r="B187" s="210">
        <f>C187</f>
        <v>1</v>
      </c>
      <c r="C187" s="210">
        <v>1</v>
      </c>
      <c r="D187" s="271"/>
      <c r="E187" s="231"/>
      <c r="F187" s="231"/>
      <c r="G187" s="231"/>
      <c r="H187" s="231"/>
    </row>
    <row r="188" s="154" customFormat="1" ht="15.75" spans="1:8">
      <c r="A188" s="368" t="s">
        <v>114</v>
      </c>
      <c r="B188" s="368"/>
      <c r="C188" s="368"/>
      <c r="D188" s="369">
        <v>200</v>
      </c>
      <c r="E188" s="190">
        <v>3.28</v>
      </c>
      <c r="F188" s="190">
        <v>2.83</v>
      </c>
      <c r="G188" s="190">
        <v>16.3</v>
      </c>
      <c r="H188" s="190">
        <v>133.26</v>
      </c>
    </row>
    <row r="189" s="154" customFormat="1" spans="1:8">
      <c r="A189" s="388" t="s">
        <v>105</v>
      </c>
      <c r="B189" s="319">
        <f>C189</f>
        <v>2.6</v>
      </c>
      <c r="C189" s="319">
        <v>2.6</v>
      </c>
      <c r="D189" s="389"/>
      <c r="E189" s="231"/>
      <c r="F189" s="231"/>
      <c r="G189" s="231"/>
      <c r="H189" s="231"/>
    </row>
    <row r="190" s="154" customFormat="1" spans="1:8">
      <c r="A190" s="212" t="s">
        <v>24</v>
      </c>
      <c r="B190" s="319">
        <f>C190</f>
        <v>100</v>
      </c>
      <c r="C190" s="241">
        <v>100</v>
      </c>
      <c r="D190" s="390"/>
      <c r="E190" s="231"/>
      <c r="F190" s="231"/>
      <c r="G190" s="231"/>
      <c r="H190" s="231"/>
    </row>
    <row r="191" s="154" customFormat="1" spans="1:8">
      <c r="A191" s="219" t="s">
        <v>29</v>
      </c>
      <c r="B191" s="269">
        <f>C191</f>
        <v>110</v>
      </c>
      <c r="C191" s="269">
        <v>110</v>
      </c>
      <c r="D191" s="390"/>
      <c r="E191" s="231"/>
      <c r="F191" s="231"/>
      <c r="G191" s="231"/>
      <c r="H191" s="231"/>
    </row>
    <row r="192" s="154" customFormat="1" spans="1:8">
      <c r="A192" s="208" t="s">
        <v>26</v>
      </c>
      <c r="B192" s="319">
        <f>C192</f>
        <v>13</v>
      </c>
      <c r="C192" s="241">
        <v>13</v>
      </c>
      <c r="D192" s="390"/>
      <c r="E192" s="231"/>
      <c r="F192" s="231"/>
      <c r="G192" s="231"/>
      <c r="H192" s="231"/>
    </row>
    <row r="193" s="154" customFormat="1" ht="15.75" spans="1:8">
      <c r="A193" s="326" t="s">
        <v>80</v>
      </c>
      <c r="B193" s="391"/>
      <c r="C193" s="391"/>
      <c r="D193" s="283">
        <v>130</v>
      </c>
      <c r="E193" s="190">
        <v>0.9</v>
      </c>
      <c r="F193" s="190">
        <v>0.18</v>
      </c>
      <c r="G193" s="190">
        <v>9.26</v>
      </c>
      <c r="H193" s="190">
        <v>44.2</v>
      </c>
    </row>
    <row r="194" s="154" customFormat="1" ht="15.75" spans="1:8">
      <c r="A194" s="286" t="s">
        <v>59</v>
      </c>
      <c r="B194" s="287"/>
      <c r="C194" s="287"/>
      <c r="D194" s="283">
        <v>20</v>
      </c>
      <c r="E194" s="190">
        <v>0.89</v>
      </c>
      <c r="F194" s="190">
        <v>0.17</v>
      </c>
      <c r="G194" s="190">
        <v>9.26</v>
      </c>
      <c r="H194" s="190">
        <v>44.2</v>
      </c>
    </row>
    <row r="195" ht="19.5" spans="1:8">
      <c r="A195" s="183" t="s">
        <v>32</v>
      </c>
      <c r="B195" s="232"/>
      <c r="C195" s="232"/>
      <c r="D195" s="392">
        <f>D196+D201+D220+D231+D235+D236</f>
        <v>710</v>
      </c>
      <c r="E195" s="377">
        <f>SUM(E196:E237)</f>
        <v>24.05</v>
      </c>
      <c r="F195" s="377">
        <f>SUM(F196:F237)</f>
        <v>24.41</v>
      </c>
      <c r="G195" s="377">
        <f>SUM(G196:G237)</f>
        <v>105.31</v>
      </c>
      <c r="H195" s="377">
        <f>SUM(H196:H237)</f>
        <v>737.74</v>
      </c>
    </row>
    <row r="196" s="163" customFormat="1" customHeight="1" spans="1:8">
      <c r="A196" s="393" t="s">
        <v>115</v>
      </c>
      <c r="B196" s="394"/>
      <c r="C196" s="395"/>
      <c r="D196" s="396">
        <v>60</v>
      </c>
      <c r="E196" s="239">
        <v>0.64</v>
      </c>
      <c r="F196" s="239">
        <v>2.09</v>
      </c>
      <c r="G196" s="239">
        <v>1.5</v>
      </c>
      <c r="H196" s="239">
        <v>36.97</v>
      </c>
    </row>
    <row r="197" s="154" customFormat="1" spans="1:8">
      <c r="A197" s="247" t="s">
        <v>116</v>
      </c>
      <c r="B197" s="249">
        <f>C197*1.05</f>
        <v>63</v>
      </c>
      <c r="C197" s="249">
        <v>60</v>
      </c>
      <c r="D197" s="397"/>
      <c r="E197" s="231"/>
      <c r="F197" s="231"/>
      <c r="G197" s="231"/>
      <c r="H197" s="231"/>
    </row>
    <row r="198" s="154" customFormat="1" spans="1:8">
      <c r="A198" s="247" t="s">
        <v>117</v>
      </c>
      <c r="B198" s="249">
        <f>C198*1.05</f>
        <v>63</v>
      </c>
      <c r="C198" s="249">
        <v>60</v>
      </c>
      <c r="D198" s="397"/>
      <c r="E198" s="231"/>
      <c r="F198" s="231"/>
      <c r="G198" s="231"/>
      <c r="H198" s="231"/>
    </row>
    <row r="199" s="163" customFormat="1" spans="1:8">
      <c r="A199" s="247" t="s">
        <v>118</v>
      </c>
      <c r="B199" s="214">
        <f>C199*1.25</f>
        <v>75</v>
      </c>
      <c r="C199" s="214">
        <v>60</v>
      </c>
      <c r="D199" s="397"/>
      <c r="E199" s="398"/>
      <c r="F199" s="398"/>
      <c r="G199" s="398"/>
      <c r="H199" s="398"/>
    </row>
    <row r="200" s="158" customFormat="1" spans="1:8">
      <c r="A200" s="213" t="s">
        <v>119</v>
      </c>
      <c r="B200" s="214">
        <f>C200*1.3</f>
        <v>78</v>
      </c>
      <c r="C200" s="214">
        <v>60</v>
      </c>
      <c r="D200" s="397"/>
      <c r="E200" s="243"/>
      <c r="F200" s="243"/>
      <c r="G200" s="243"/>
      <c r="H200" s="243"/>
    </row>
    <row r="201" s="158" customFormat="1" ht="15.75" spans="1:8">
      <c r="A201" s="304" t="s">
        <v>120</v>
      </c>
      <c r="B201" s="305"/>
      <c r="C201" s="306"/>
      <c r="D201" s="399">
        <v>200</v>
      </c>
      <c r="E201" s="239">
        <v>6.9</v>
      </c>
      <c r="F201" s="239">
        <v>7.47</v>
      </c>
      <c r="G201" s="239">
        <v>9.89</v>
      </c>
      <c r="H201" s="239">
        <v>195</v>
      </c>
    </row>
    <row r="202" s="158" customFormat="1" spans="1:8">
      <c r="A202" s="240" t="s">
        <v>34</v>
      </c>
      <c r="B202" s="241">
        <f>C202*1.45</f>
        <v>18.125</v>
      </c>
      <c r="C202" s="241">
        <f>C203*1.25</f>
        <v>12.5</v>
      </c>
      <c r="D202" s="197"/>
      <c r="E202" s="243"/>
      <c r="F202" s="243"/>
      <c r="G202" s="243"/>
      <c r="H202" s="243"/>
    </row>
    <row r="203" s="158" customFormat="1" ht="14.25" spans="1:8">
      <c r="A203" s="244" t="s">
        <v>83</v>
      </c>
      <c r="B203" s="245"/>
      <c r="C203" s="246">
        <v>10</v>
      </c>
      <c r="D203" s="197"/>
      <c r="E203" s="243"/>
      <c r="F203" s="243"/>
      <c r="G203" s="243"/>
      <c r="H203" s="243"/>
    </row>
    <row r="204" s="158" customFormat="1" spans="1:8">
      <c r="A204" s="247" t="s">
        <v>36</v>
      </c>
      <c r="B204" s="241">
        <f>C204*1.33</f>
        <v>29.26</v>
      </c>
      <c r="C204" s="241">
        <v>22</v>
      </c>
      <c r="D204" s="197"/>
      <c r="E204" s="243"/>
      <c r="F204" s="243"/>
      <c r="G204" s="243"/>
      <c r="H204" s="243"/>
    </row>
    <row r="205" s="158" customFormat="1" spans="1:8">
      <c r="A205" s="247" t="s">
        <v>37</v>
      </c>
      <c r="B205" s="241">
        <f>C205*1.67</f>
        <v>36.74</v>
      </c>
      <c r="C205" s="241">
        <v>22</v>
      </c>
      <c r="D205" s="270"/>
      <c r="E205" s="243"/>
      <c r="F205" s="243"/>
      <c r="G205" s="243"/>
      <c r="H205" s="243"/>
    </row>
    <row r="206" s="158" customFormat="1" spans="1:8">
      <c r="A206" s="400" t="s">
        <v>121</v>
      </c>
      <c r="B206" s="269">
        <f>C206*1.25</f>
        <v>23.75</v>
      </c>
      <c r="C206" s="269">
        <v>19</v>
      </c>
      <c r="D206" s="376"/>
      <c r="E206" s="243"/>
      <c r="F206" s="243"/>
      <c r="G206" s="243"/>
      <c r="H206" s="243"/>
    </row>
    <row r="207" s="158" customFormat="1" spans="1:8">
      <c r="A207" s="400" t="s">
        <v>122</v>
      </c>
      <c r="B207" s="269">
        <f>C207*1.25</f>
        <v>25</v>
      </c>
      <c r="C207" s="269">
        <v>20</v>
      </c>
      <c r="D207" s="376"/>
      <c r="E207" s="243"/>
      <c r="F207" s="243"/>
      <c r="G207" s="243"/>
      <c r="H207" s="243"/>
    </row>
    <row r="208" s="158" customFormat="1" spans="1:8">
      <c r="A208" s="219" t="s">
        <v>123</v>
      </c>
      <c r="B208" s="269">
        <f>C208*1.33</f>
        <v>26.6</v>
      </c>
      <c r="C208" s="269">
        <v>20</v>
      </c>
      <c r="D208" s="376"/>
      <c r="E208" s="243"/>
      <c r="F208" s="243"/>
      <c r="G208" s="243"/>
      <c r="H208" s="243"/>
    </row>
    <row r="209" s="158" customFormat="1" spans="1:8">
      <c r="A209" s="219" t="s">
        <v>39</v>
      </c>
      <c r="B209" s="269">
        <v>8.75</v>
      </c>
      <c r="C209" s="269">
        <v>11</v>
      </c>
      <c r="D209" s="376"/>
      <c r="E209" s="243"/>
      <c r="F209" s="243"/>
      <c r="G209" s="243"/>
      <c r="H209" s="243"/>
    </row>
    <row r="210" s="154" customFormat="1" spans="1:8">
      <c r="A210" s="247" t="s">
        <v>86</v>
      </c>
      <c r="B210" s="249">
        <v>9.31</v>
      </c>
      <c r="C210" s="269">
        <v>11</v>
      </c>
      <c r="D210" s="270"/>
      <c r="E210" s="231"/>
      <c r="F210" s="231"/>
      <c r="G210" s="231"/>
      <c r="H210" s="231"/>
    </row>
    <row r="211" s="154" customFormat="1" spans="1:8">
      <c r="A211" s="401" t="s">
        <v>124</v>
      </c>
      <c r="B211" s="262">
        <f>C211</f>
        <v>2.31</v>
      </c>
      <c r="C211" s="269">
        <v>2.31</v>
      </c>
      <c r="D211" s="376"/>
      <c r="E211" s="231"/>
      <c r="F211" s="231"/>
      <c r="G211" s="231"/>
      <c r="H211" s="231"/>
    </row>
    <row r="212" s="154" customFormat="1" spans="1:8">
      <c r="A212" s="219" t="s">
        <v>40</v>
      </c>
      <c r="B212" s="402">
        <f>C212*1.19</f>
        <v>11.9</v>
      </c>
      <c r="C212" s="269">
        <v>10</v>
      </c>
      <c r="D212" s="270"/>
      <c r="E212" s="231"/>
      <c r="F212" s="231"/>
      <c r="G212" s="231"/>
      <c r="H212" s="231"/>
    </row>
    <row r="213" s="154" customFormat="1" spans="1:8">
      <c r="A213" s="251" t="s">
        <v>41</v>
      </c>
      <c r="B213" s="402">
        <f>C213</f>
        <v>0.01</v>
      </c>
      <c r="C213" s="269">
        <v>0.01</v>
      </c>
      <c r="D213" s="270"/>
      <c r="E213" s="231"/>
      <c r="F213" s="231"/>
      <c r="G213" s="231"/>
      <c r="H213" s="231"/>
    </row>
    <row r="214" s="154" customFormat="1" spans="1:8">
      <c r="A214" s="219" t="s">
        <v>46</v>
      </c>
      <c r="B214" s="269">
        <f>C214</f>
        <v>3</v>
      </c>
      <c r="C214" s="269">
        <v>3</v>
      </c>
      <c r="D214" s="270"/>
      <c r="E214" s="231"/>
      <c r="F214" s="231"/>
      <c r="G214" s="231"/>
      <c r="H214" s="231"/>
    </row>
    <row r="215" s="154" customFormat="1" spans="1:8">
      <c r="A215" s="337" t="s">
        <v>88</v>
      </c>
      <c r="B215" s="269">
        <f>C215</f>
        <v>10</v>
      </c>
      <c r="C215" s="269">
        <v>10</v>
      </c>
      <c r="D215" s="270"/>
      <c r="E215" s="231"/>
      <c r="F215" s="231"/>
      <c r="G215" s="231"/>
      <c r="H215" s="231"/>
    </row>
    <row r="216" s="154" customFormat="1" spans="1:8">
      <c r="A216" s="403" t="s">
        <v>125</v>
      </c>
      <c r="B216" s="404">
        <f t="shared" ref="B216:B219" si="10">C216</f>
        <v>0.13</v>
      </c>
      <c r="C216" s="296">
        <v>0.13</v>
      </c>
      <c r="D216" s="218"/>
      <c r="E216" s="231"/>
      <c r="F216" s="231"/>
      <c r="G216" s="231"/>
      <c r="H216" s="231"/>
    </row>
    <row r="217" s="154" customFormat="1" spans="1:8">
      <c r="A217" s="403" t="s">
        <v>29</v>
      </c>
      <c r="B217" s="405">
        <f t="shared" si="10"/>
        <v>175</v>
      </c>
      <c r="C217" s="296">
        <v>175</v>
      </c>
      <c r="D217" s="218"/>
      <c r="E217" s="231"/>
      <c r="F217" s="231"/>
      <c r="G217" s="231"/>
      <c r="H217" s="231"/>
    </row>
    <row r="218" s="154" customFormat="1" spans="1:8">
      <c r="A218" s="213" t="s">
        <v>25</v>
      </c>
      <c r="B218" s="214">
        <f t="shared" si="10"/>
        <v>0.5</v>
      </c>
      <c r="C218" s="269">
        <v>0.5</v>
      </c>
      <c r="D218" s="270"/>
      <c r="E218" s="231"/>
      <c r="F218" s="231"/>
      <c r="G218" s="231"/>
      <c r="H218" s="231"/>
    </row>
    <row r="219" s="154" customFormat="1" spans="1:8">
      <c r="A219" s="208" t="s">
        <v>26</v>
      </c>
      <c r="B219" s="269">
        <f t="shared" si="10"/>
        <v>1.75</v>
      </c>
      <c r="C219" s="269">
        <v>1.75</v>
      </c>
      <c r="D219" s="270"/>
      <c r="E219" s="231"/>
      <c r="F219" s="231"/>
      <c r="G219" s="231"/>
      <c r="H219" s="231"/>
    </row>
    <row r="220" s="154" customFormat="1" ht="15.75" spans="1:8">
      <c r="A220" s="406" t="s">
        <v>126</v>
      </c>
      <c r="B220" s="407"/>
      <c r="C220" s="407"/>
      <c r="D220" s="341">
        <v>170</v>
      </c>
      <c r="E220" s="239">
        <v>11.89</v>
      </c>
      <c r="F220" s="239">
        <v>13.98</v>
      </c>
      <c r="G220" s="239">
        <v>30.71</v>
      </c>
      <c r="H220" s="239">
        <v>216.17</v>
      </c>
    </row>
    <row r="221" s="164" customFormat="1" ht="24" customHeight="1" spans="1:8">
      <c r="A221" s="348" t="s">
        <v>92</v>
      </c>
      <c r="B221" s="252">
        <f>C221*1.05</f>
        <v>51.45</v>
      </c>
      <c r="C221" s="349">
        <f>C222*1.4</f>
        <v>49</v>
      </c>
      <c r="D221" s="341"/>
      <c r="E221" s="366"/>
      <c r="F221" s="366"/>
      <c r="G221" s="366"/>
      <c r="H221" s="366"/>
    </row>
    <row r="222" s="154" customFormat="1" spans="1:8">
      <c r="A222" s="408" t="s">
        <v>127</v>
      </c>
      <c r="B222" s="409"/>
      <c r="C222" s="410">
        <v>35</v>
      </c>
      <c r="D222" s="257"/>
      <c r="E222" s="231"/>
      <c r="F222" s="231"/>
      <c r="G222" s="231"/>
      <c r="H222" s="231"/>
    </row>
    <row r="223" s="154" customFormat="1" spans="1:8">
      <c r="A223" s="348" t="s">
        <v>128</v>
      </c>
      <c r="B223" s="349">
        <f>C223</f>
        <v>50</v>
      </c>
      <c r="C223" s="349">
        <v>50</v>
      </c>
      <c r="D223" s="257"/>
      <c r="E223" s="231"/>
      <c r="F223" s="231"/>
      <c r="G223" s="231"/>
      <c r="H223" s="231"/>
    </row>
    <row r="224" s="154" customFormat="1" spans="1:8">
      <c r="A224" s="348" t="s">
        <v>129</v>
      </c>
      <c r="B224" s="349">
        <f>C224</f>
        <v>100</v>
      </c>
      <c r="C224" s="349">
        <f>C223*2</f>
        <v>100</v>
      </c>
      <c r="D224" s="257"/>
      <c r="E224" s="231"/>
      <c r="F224" s="231"/>
      <c r="G224" s="231"/>
      <c r="H224" s="231"/>
    </row>
    <row r="225" s="154" customFormat="1" spans="1:8">
      <c r="A225" s="247" t="s">
        <v>39</v>
      </c>
      <c r="B225" s="256">
        <f>C225*1.25</f>
        <v>20</v>
      </c>
      <c r="C225" s="336">
        <v>16</v>
      </c>
      <c r="D225" s="257"/>
      <c r="E225" s="231"/>
      <c r="F225" s="231"/>
      <c r="G225" s="231"/>
      <c r="H225" s="231"/>
    </row>
    <row r="226" s="154" customFormat="1" spans="1:8">
      <c r="A226" s="247" t="s">
        <v>86</v>
      </c>
      <c r="B226" s="249">
        <f>C226*1.33</f>
        <v>21.28</v>
      </c>
      <c r="C226" s="249">
        <v>16</v>
      </c>
      <c r="D226" s="257"/>
      <c r="E226" s="231"/>
      <c r="F226" s="231"/>
      <c r="G226" s="231"/>
      <c r="H226" s="231"/>
    </row>
    <row r="227" s="154" customFormat="1" spans="1:8">
      <c r="A227" s="348" t="s">
        <v>40</v>
      </c>
      <c r="B227" s="349">
        <f>C227*1.19</f>
        <v>17.4573</v>
      </c>
      <c r="C227" s="349">
        <v>14.67</v>
      </c>
      <c r="D227" s="257"/>
      <c r="E227" s="231"/>
      <c r="F227" s="231"/>
      <c r="G227" s="231"/>
      <c r="H227" s="231"/>
    </row>
    <row r="228" s="154" customFormat="1" spans="1:8">
      <c r="A228" s="408" t="s">
        <v>130</v>
      </c>
      <c r="B228" s="409"/>
      <c r="C228" s="410">
        <f>C227+C226+C230/1.8</f>
        <v>33.4477777777778</v>
      </c>
      <c r="D228" s="257"/>
      <c r="E228" s="231"/>
      <c r="F228" s="231"/>
      <c r="G228" s="231"/>
      <c r="H228" s="231"/>
    </row>
    <row r="229" s="154" customFormat="1" spans="1:8">
      <c r="A229" s="213" t="s">
        <v>25</v>
      </c>
      <c r="B229" s="214">
        <f>C229</f>
        <v>0.54</v>
      </c>
      <c r="C229" s="349">
        <v>0.54</v>
      </c>
      <c r="D229" s="257"/>
      <c r="E229" s="231"/>
      <c r="F229" s="231"/>
      <c r="G229" s="231"/>
      <c r="H229" s="231"/>
    </row>
    <row r="230" s="154" customFormat="1" spans="1:8">
      <c r="A230" s="348" t="s">
        <v>51</v>
      </c>
      <c r="B230" s="349">
        <f>C230</f>
        <v>5</v>
      </c>
      <c r="C230" s="349">
        <v>5</v>
      </c>
      <c r="D230" s="257"/>
      <c r="E230" s="231"/>
      <c r="F230" s="231"/>
      <c r="G230" s="231"/>
      <c r="H230" s="231"/>
    </row>
    <row r="231" s="154" customFormat="1" ht="15.75" spans="1:8">
      <c r="A231" s="280" t="s">
        <v>131</v>
      </c>
      <c r="B231" s="281"/>
      <c r="C231" s="282"/>
      <c r="D231" s="283">
        <v>200</v>
      </c>
      <c r="E231" s="239">
        <v>0.6</v>
      </c>
      <c r="F231" s="239">
        <v>0.08</v>
      </c>
      <c r="G231" s="239">
        <v>21.52</v>
      </c>
      <c r="H231" s="239">
        <v>90.7</v>
      </c>
    </row>
    <row r="232" s="154" customFormat="1" spans="1:8">
      <c r="A232" s="247" t="s">
        <v>132</v>
      </c>
      <c r="B232" s="249">
        <f>C232</f>
        <v>18</v>
      </c>
      <c r="C232" s="249">
        <v>18</v>
      </c>
      <c r="D232" s="270"/>
      <c r="E232" s="231"/>
      <c r="F232" s="231"/>
      <c r="G232" s="231"/>
      <c r="H232" s="231"/>
    </row>
    <row r="233" s="154" customFormat="1" spans="1:8">
      <c r="A233" s="208" t="s">
        <v>26</v>
      </c>
      <c r="B233" s="249">
        <f>C233</f>
        <v>13</v>
      </c>
      <c r="C233" s="249">
        <v>13</v>
      </c>
      <c r="D233" s="270"/>
      <c r="E233" s="231"/>
      <c r="F233" s="231"/>
      <c r="G233" s="231"/>
      <c r="H233" s="231"/>
    </row>
    <row r="234" s="154" customFormat="1" spans="1:8">
      <c r="A234" s="247" t="s">
        <v>29</v>
      </c>
      <c r="B234" s="249">
        <f>C234</f>
        <v>230</v>
      </c>
      <c r="C234" s="249">
        <v>230</v>
      </c>
      <c r="D234" s="270"/>
      <c r="E234" s="231"/>
      <c r="F234" s="231"/>
      <c r="G234" s="231"/>
      <c r="H234" s="231"/>
    </row>
    <row r="235" s="154" customFormat="1" ht="15.75" spans="1:8">
      <c r="A235" s="225" t="s">
        <v>30</v>
      </c>
      <c r="B235" s="249"/>
      <c r="C235" s="285"/>
      <c r="D235" s="230">
        <v>40</v>
      </c>
      <c r="E235" s="284">
        <v>2.24</v>
      </c>
      <c r="F235" s="284">
        <v>0.44</v>
      </c>
      <c r="G235" s="284">
        <v>23.16</v>
      </c>
      <c r="H235" s="284">
        <v>110.5</v>
      </c>
    </row>
    <row r="236" s="163" customFormat="1" ht="15.75" spans="1:8">
      <c r="A236" s="286" t="s">
        <v>59</v>
      </c>
      <c r="B236" s="287"/>
      <c r="C236" s="287"/>
      <c r="D236" s="283">
        <v>40</v>
      </c>
      <c r="E236" s="239">
        <v>1.78</v>
      </c>
      <c r="F236" s="239">
        <v>0.35</v>
      </c>
      <c r="G236" s="239">
        <v>18.53</v>
      </c>
      <c r="H236" s="239">
        <v>88.4</v>
      </c>
    </row>
    <row r="237" s="158" customFormat="1" ht="14.25" spans="1:8">
      <c r="A237" s="326"/>
      <c r="B237" s="326"/>
      <c r="C237" s="326"/>
      <c r="D237" s="218"/>
      <c r="E237" s="243"/>
      <c r="F237" s="243"/>
      <c r="G237" s="243"/>
      <c r="H237" s="243"/>
    </row>
    <row r="238" ht="19.5" spans="1:8">
      <c r="A238" s="183" t="s">
        <v>60</v>
      </c>
      <c r="B238" s="288"/>
      <c r="C238" s="288"/>
      <c r="D238" s="411">
        <f>D239+D249+D254</f>
        <v>350</v>
      </c>
      <c r="E238" s="377">
        <f>SUM(E239:E254)</f>
        <v>7.64</v>
      </c>
      <c r="F238" s="377">
        <f>SUM(F239:F254)</f>
        <v>7.85</v>
      </c>
      <c r="G238" s="377">
        <f>SUM(G239:G254)</f>
        <v>33.54</v>
      </c>
      <c r="H238" s="377">
        <f>SUM(H239:H254)</f>
        <v>237.38</v>
      </c>
    </row>
    <row r="239" s="163" customFormat="1" ht="15.75" spans="1:8">
      <c r="A239" s="412" t="s">
        <v>133</v>
      </c>
      <c r="B239" s="269"/>
      <c r="C239" s="269"/>
      <c r="D239" s="283">
        <v>50</v>
      </c>
      <c r="E239" s="291">
        <v>6.97</v>
      </c>
      <c r="F239" s="291">
        <v>7.66</v>
      </c>
      <c r="G239" s="291">
        <v>22.09</v>
      </c>
      <c r="H239" s="291">
        <v>155.24</v>
      </c>
    </row>
    <row r="240" s="158" customFormat="1" spans="1:8">
      <c r="A240" s="268" t="s">
        <v>134</v>
      </c>
      <c r="B240" s="269">
        <f>C240</f>
        <v>52</v>
      </c>
      <c r="C240" s="269">
        <v>52</v>
      </c>
      <c r="D240" s="270"/>
      <c r="E240" s="243"/>
      <c r="F240" s="243"/>
      <c r="G240" s="243"/>
      <c r="H240" s="243"/>
    </row>
    <row r="241" s="158" customFormat="1" spans="1:8">
      <c r="A241" s="337" t="s">
        <v>103</v>
      </c>
      <c r="B241" s="249">
        <f>C241</f>
        <v>2</v>
      </c>
      <c r="C241" s="249">
        <v>2</v>
      </c>
      <c r="D241" s="197"/>
      <c r="E241" s="243"/>
      <c r="F241" s="243"/>
      <c r="G241" s="243"/>
      <c r="H241" s="243"/>
    </row>
    <row r="242" s="158" customFormat="1" spans="1:8">
      <c r="A242" s="223" t="s">
        <v>135</v>
      </c>
      <c r="B242" s="319">
        <f t="shared" ref="B242:B244" si="11">C242</f>
        <v>0.3</v>
      </c>
      <c r="C242" s="319">
        <v>0.3</v>
      </c>
      <c r="D242" s="413"/>
      <c r="E242" s="243"/>
      <c r="F242" s="243"/>
      <c r="G242" s="243"/>
      <c r="H242" s="243"/>
    </row>
    <row r="243" s="158" customFormat="1" spans="1:8">
      <c r="A243" s="208" t="s">
        <v>26</v>
      </c>
      <c r="B243" s="269">
        <f t="shared" si="11"/>
        <v>4</v>
      </c>
      <c r="C243" s="269">
        <v>4</v>
      </c>
      <c r="D243" s="270"/>
      <c r="E243" s="243"/>
      <c r="F243" s="243"/>
      <c r="G243" s="243"/>
      <c r="H243" s="243"/>
    </row>
    <row r="244" s="158" customFormat="1" spans="1:8">
      <c r="A244" s="268" t="s">
        <v>136</v>
      </c>
      <c r="B244" s="269">
        <f t="shared" si="11"/>
        <v>1</v>
      </c>
      <c r="C244" s="269">
        <v>1</v>
      </c>
      <c r="D244" s="270"/>
      <c r="E244" s="243"/>
      <c r="F244" s="243"/>
      <c r="G244" s="243"/>
      <c r="H244" s="243"/>
    </row>
    <row r="245" s="158" customFormat="1" ht="14.25" spans="1:8">
      <c r="A245" s="414" t="s">
        <v>137</v>
      </c>
      <c r="B245" s="415"/>
      <c r="C245" s="415">
        <f>C243+C242+C241+C240</f>
        <v>58.3</v>
      </c>
      <c r="D245" s="413"/>
      <c r="E245" s="243"/>
      <c r="F245" s="243"/>
      <c r="G245" s="243"/>
      <c r="H245" s="243"/>
    </row>
    <row r="246" s="158" customFormat="1" spans="1:8">
      <c r="A246" s="403" t="s">
        <v>95</v>
      </c>
      <c r="B246" s="265">
        <f t="shared" ref="B246:B248" si="12">C246</f>
        <v>1.2</v>
      </c>
      <c r="C246" s="265">
        <v>1.2</v>
      </c>
      <c r="D246" s="416"/>
      <c r="E246" s="243"/>
      <c r="F246" s="243"/>
      <c r="G246" s="243"/>
      <c r="H246" s="243"/>
    </row>
    <row r="247" s="158" customFormat="1" spans="1:8">
      <c r="A247" s="403" t="s">
        <v>138</v>
      </c>
      <c r="B247" s="265">
        <f t="shared" si="12"/>
        <v>2</v>
      </c>
      <c r="C247" s="265">
        <v>2</v>
      </c>
      <c r="D247" s="416"/>
      <c r="E247" s="243"/>
      <c r="F247" s="243"/>
      <c r="G247" s="243"/>
      <c r="H247" s="243"/>
    </row>
    <row r="248" s="158" customFormat="1" spans="1:8">
      <c r="A248" s="403" t="s">
        <v>106</v>
      </c>
      <c r="B248" s="265">
        <f t="shared" si="12"/>
        <v>1</v>
      </c>
      <c r="C248" s="265">
        <v>1</v>
      </c>
      <c r="D248" s="416"/>
      <c r="E248" s="243"/>
      <c r="F248" s="243"/>
      <c r="G248" s="243"/>
      <c r="H248" s="243"/>
    </row>
    <row r="249" s="158" customFormat="1" ht="15.75" spans="1:8">
      <c r="A249" s="374" t="s">
        <v>139</v>
      </c>
      <c r="B249" s="374"/>
      <c r="C249" s="374"/>
      <c r="D249" s="375">
        <v>200</v>
      </c>
      <c r="E249" s="291">
        <v>0.27</v>
      </c>
      <c r="F249" s="291">
        <v>0.09</v>
      </c>
      <c r="G249" s="291">
        <v>2.15</v>
      </c>
      <c r="H249" s="291">
        <v>43.14</v>
      </c>
    </row>
    <row r="250" s="158" customFormat="1" spans="1:8">
      <c r="A250" s="219" t="s">
        <v>28</v>
      </c>
      <c r="B250" s="269">
        <f>C250</f>
        <v>1</v>
      </c>
      <c r="C250" s="220">
        <v>1</v>
      </c>
      <c r="D250" s="376"/>
      <c r="E250" s="243"/>
      <c r="F250" s="243"/>
      <c r="G250" s="243"/>
      <c r="H250" s="243"/>
    </row>
    <row r="251" s="158" customFormat="1" spans="1:8">
      <c r="A251" s="219" t="s">
        <v>29</v>
      </c>
      <c r="B251" s="269">
        <f>C251</f>
        <v>210</v>
      </c>
      <c r="C251" s="269">
        <v>210</v>
      </c>
      <c r="D251" s="376"/>
      <c r="E251" s="243"/>
      <c r="F251" s="243"/>
      <c r="G251" s="243"/>
      <c r="H251" s="243"/>
    </row>
    <row r="252" s="158" customFormat="1" spans="1:8">
      <c r="A252" s="208" t="s">
        <v>26</v>
      </c>
      <c r="B252" s="269">
        <f>C252</f>
        <v>12</v>
      </c>
      <c r="C252" s="269">
        <v>12</v>
      </c>
      <c r="D252" s="376"/>
      <c r="E252" s="243"/>
      <c r="F252" s="243"/>
      <c r="G252" s="243"/>
      <c r="H252" s="243"/>
    </row>
    <row r="253" s="164" customFormat="1" spans="1:8">
      <c r="A253" s="348" t="s">
        <v>140</v>
      </c>
      <c r="B253" s="297">
        <f>C253</f>
        <v>5</v>
      </c>
      <c r="C253" s="297">
        <v>5</v>
      </c>
      <c r="D253" s="334"/>
      <c r="E253" s="366"/>
      <c r="F253" s="366"/>
      <c r="G253" s="366"/>
      <c r="H253" s="366"/>
    </row>
    <row r="254" s="164" customFormat="1" ht="15.75" spans="1:8">
      <c r="A254" s="326" t="s">
        <v>80</v>
      </c>
      <c r="B254" s="326"/>
      <c r="C254" s="326"/>
      <c r="D254" s="218" t="s">
        <v>81</v>
      </c>
      <c r="E254" s="327">
        <v>0.4</v>
      </c>
      <c r="F254" s="190">
        <v>0.1</v>
      </c>
      <c r="G254" s="190">
        <v>9.3</v>
      </c>
      <c r="H254" s="190">
        <v>39</v>
      </c>
    </row>
    <row r="255" s="164" customFormat="1" spans="1:8">
      <c r="A255" s="209"/>
      <c r="B255" s="252"/>
      <c r="C255" s="252"/>
      <c r="D255" s="279"/>
      <c r="E255" s="366"/>
      <c r="F255" s="366"/>
      <c r="G255" s="366"/>
      <c r="H255" s="366"/>
    </row>
    <row r="256" ht="18.75" spans="1:8">
      <c r="A256" s="309" t="s">
        <v>70</v>
      </c>
      <c r="B256" s="310"/>
      <c r="C256" s="310"/>
      <c r="D256" s="311"/>
      <c r="E256" s="312">
        <f>E238+E195+E177</f>
        <v>46.67</v>
      </c>
      <c r="F256" s="312">
        <f>F238+F195+F177</f>
        <v>48.63</v>
      </c>
      <c r="G256" s="312">
        <f>G238+G195+G177</f>
        <v>202.93</v>
      </c>
      <c r="H256" s="312">
        <f>H238+H195+H177</f>
        <v>1446.44</v>
      </c>
    </row>
    <row r="257" ht="27.75" customHeight="1" spans="1:8">
      <c r="A257" s="174" t="s">
        <v>141</v>
      </c>
      <c r="B257" s="175"/>
      <c r="C257" s="175"/>
      <c r="D257" s="175"/>
      <c r="E257" s="175"/>
      <c r="F257" s="175"/>
      <c r="G257" s="175"/>
      <c r="H257" s="176"/>
    </row>
    <row r="258" ht="20.25" customHeight="1" spans="1:8">
      <c r="A258" s="177" t="s">
        <v>5</v>
      </c>
      <c r="B258" s="177" t="s">
        <v>6</v>
      </c>
      <c r="C258" s="177" t="s">
        <v>7</v>
      </c>
      <c r="D258" s="178" t="s">
        <v>8</v>
      </c>
      <c r="E258" s="179" t="s">
        <v>9</v>
      </c>
      <c r="F258" s="179" t="s">
        <v>10</v>
      </c>
      <c r="G258" s="179" t="s">
        <v>11</v>
      </c>
      <c r="H258" s="179" t="s">
        <v>12</v>
      </c>
    </row>
    <row r="259" ht="24" customHeight="1" spans="1:8">
      <c r="A259" s="180"/>
      <c r="B259" s="180"/>
      <c r="C259" s="180"/>
      <c r="D259" s="181"/>
      <c r="E259" s="182"/>
      <c r="F259" s="182"/>
      <c r="G259" s="182"/>
      <c r="H259" s="182"/>
    </row>
    <row r="260" ht="19.5" spans="1:8">
      <c r="A260" s="183" t="s">
        <v>13</v>
      </c>
      <c r="B260" s="183"/>
      <c r="C260" s="183"/>
      <c r="D260" s="417" t="s">
        <v>142</v>
      </c>
      <c r="E260" s="377">
        <f>SUM(E261:E278)</f>
        <v>14.7</v>
      </c>
      <c r="F260" s="377">
        <f>SUM(F261:F278)</f>
        <v>15.08</v>
      </c>
      <c r="G260" s="377">
        <f>SUM(G261:G278)</f>
        <v>63.89</v>
      </c>
      <c r="H260" s="377">
        <f>SUM(H261:H278)</f>
        <v>447.4</v>
      </c>
    </row>
    <row r="261" ht="15.75" spans="1:8">
      <c r="A261" s="418" t="s">
        <v>143</v>
      </c>
      <c r="B261" s="418"/>
      <c r="C261" s="418"/>
      <c r="D261" s="207" t="s">
        <v>144</v>
      </c>
      <c r="E261" s="190">
        <v>5.06</v>
      </c>
      <c r="F261" s="190">
        <v>5.03</v>
      </c>
      <c r="G261" s="190">
        <v>13.4</v>
      </c>
      <c r="H261" s="190">
        <v>138.9</v>
      </c>
    </row>
    <row r="262" spans="1:8">
      <c r="A262" s="318" t="s">
        <v>74</v>
      </c>
      <c r="B262" s="319">
        <f>C262*1.01</f>
        <v>10.1</v>
      </c>
      <c r="C262" s="319">
        <v>10</v>
      </c>
      <c r="D262" s="197"/>
      <c r="E262" s="320"/>
      <c r="F262" s="320"/>
      <c r="G262" s="320"/>
      <c r="H262" s="320"/>
    </row>
    <row r="263" spans="1:8">
      <c r="A263" s="195" t="s">
        <v>17</v>
      </c>
      <c r="B263" s="196">
        <f>C263</f>
        <v>18</v>
      </c>
      <c r="C263" s="196">
        <v>18</v>
      </c>
      <c r="D263" s="197"/>
      <c r="E263" s="320"/>
      <c r="F263" s="320"/>
      <c r="G263" s="320"/>
      <c r="H263" s="320"/>
    </row>
    <row r="264" spans="1:8">
      <c r="A264" s="337" t="s">
        <v>88</v>
      </c>
      <c r="B264" s="252">
        <f>C264</f>
        <v>5</v>
      </c>
      <c r="C264" s="252">
        <v>5</v>
      </c>
      <c r="D264" s="354"/>
      <c r="E264" s="320"/>
      <c r="F264" s="320"/>
      <c r="G264" s="320"/>
      <c r="H264" s="320"/>
    </row>
    <row r="265" s="154" customFormat="1" ht="15.75" spans="1:8">
      <c r="A265" s="204" t="s">
        <v>145</v>
      </c>
      <c r="B265" s="205"/>
      <c r="C265" s="206"/>
      <c r="D265" s="207" t="s">
        <v>146</v>
      </c>
      <c r="E265" s="190">
        <v>6.33</v>
      </c>
      <c r="F265" s="190">
        <v>7.03</v>
      </c>
      <c r="G265" s="190">
        <v>20.13</v>
      </c>
      <c r="H265" s="190">
        <v>150.69</v>
      </c>
    </row>
    <row r="266" s="154" customFormat="1" spans="1:8">
      <c r="A266" s="208" t="s">
        <v>147</v>
      </c>
      <c r="B266" s="192">
        <f t="shared" ref="B266:B271" si="13">C266</f>
        <v>18</v>
      </c>
      <c r="C266" s="192">
        <v>18</v>
      </c>
      <c r="D266" s="193"/>
      <c r="E266" s="231"/>
      <c r="F266" s="231"/>
      <c r="G266" s="231"/>
      <c r="H266" s="231"/>
    </row>
    <row r="267" s="154" customFormat="1" spans="1:8">
      <c r="A267" s="209" t="s">
        <v>23</v>
      </c>
      <c r="B267" s="192">
        <f t="shared" si="13"/>
        <v>52</v>
      </c>
      <c r="C267" s="210">
        <v>52</v>
      </c>
      <c r="D267" s="193"/>
      <c r="E267" s="231"/>
      <c r="F267" s="231"/>
      <c r="G267" s="231"/>
      <c r="H267" s="231"/>
    </row>
    <row r="268" s="154" customFormat="1" spans="1:8">
      <c r="A268" s="212" t="s">
        <v>24</v>
      </c>
      <c r="B268" s="192">
        <f t="shared" si="13"/>
        <v>93</v>
      </c>
      <c r="C268" s="210">
        <v>93</v>
      </c>
      <c r="D268" s="193"/>
      <c r="E268" s="231"/>
      <c r="F268" s="231"/>
      <c r="G268" s="231"/>
      <c r="H268" s="231"/>
    </row>
    <row r="269" s="154" customFormat="1" spans="1:8">
      <c r="A269" s="213" t="s">
        <v>25</v>
      </c>
      <c r="B269" s="214">
        <f t="shared" si="13"/>
        <v>0.4</v>
      </c>
      <c r="C269" s="349">
        <v>0.4</v>
      </c>
      <c r="D269" s="193"/>
      <c r="E269" s="231"/>
      <c r="F269" s="231"/>
      <c r="G269" s="231"/>
      <c r="H269" s="231"/>
    </row>
    <row r="270" s="154" customFormat="1" spans="1:8">
      <c r="A270" s="208" t="s">
        <v>26</v>
      </c>
      <c r="B270" s="192">
        <f t="shared" si="13"/>
        <v>3.8</v>
      </c>
      <c r="C270" s="192">
        <v>3.8</v>
      </c>
      <c r="D270" s="193"/>
      <c r="E270" s="231"/>
      <c r="F270" s="231"/>
      <c r="G270" s="231"/>
      <c r="H270" s="231"/>
    </row>
    <row r="271" s="154" customFormat="1" spans="1:8">
      <c r="A271" s="191" t="s">
        <v>16</v>
      </c>
      <c r="B271" s="192">
        <f t="shared" si="13"/>
        <v>2.5</v>
      </c>
      <c r="C271" s="192">
        <v>2.5</v>
      </c>
      <c r="D271" s="193"/>
      <c r="E271" s="231"/>
      <c r="F271" s="231"/>
      <c r="G271" s="231"/>
      <c r="H271" s="231"/>
    </row>
    <row r="272" s="154" customFormat="1" ht="15.75" spans="1:8">
      <c r="A272" s="374" t="s">
        <v>148</v>
      </c>
      <c r="B272" s="374"/>
      <c r="C272" s="374"/>
      <c r="D272" s="375">
        <v>200</v>
      </c>
      <c r="E272" s="190">
        <v>0.22</v>
      </c>
      <c r="F272" s="190">
        <v>0.05</v>
      </c>
      <c r="G272" s="190">
        <v>11.1</v>
      </c>
      <c r="H272" s="190">
        <v>55.61</v>
      </c>
    </row>
    <row r="273" s="154" customFormat="1" spans="1:8">
      <c r="A273" s="219" t="s">
        <v>28</v>
      </c>
      <c r="B273" s="269">
        <f>C273</f>
        <v>1</v>
      </c>
      <c r="C273" s="220">
        <v>1</v>
      </c>
      <c r="D273" s="376"/>
      <c r="E273" s="231"/>
      <c r="F273" s="231"/>
      <c r="G273" s="231"/>
      <c r="H273" s="231"/>
    </row>
    <row r="274" s="154" customFormat="1" spans="1:8">
      <c r="A274" s="219" t="s">
        <v>29</v>
      </c>
      <c r="B274" s="269">
        <f>C274</f>
        <v>210</v>
      </c>
      <c r="C274" s="269">
        <v>210</v>
      </c>
      <c r="D274" s="376"/>
      <c r="E274" s="231"/>
      <c r="F274" s="231"/>
      <c r="G274" s="231"/>
      <c r="H274" s="231"/>
    </row>
    <row r="275" s="154" customFormat="1" spans="1:8">
      <c r="A275" s="208" t="s">
        <v>26</v>
      </c>
      <c r="B275" s="269">
        <f>C275</f>
        <v>11</v>
      </c>
      <c r="C275" s="269">
        <v>11</v>
      </c>
      <c r="D275" s="376"/>
      <c r="E275" s="231"/>
      <c r="F275" s="231"/>
      <c r="G275" s="231"/>
      <c r="H275" s="231"/>
    </row>
    <row r="276" s="154" customFormat="1" spans="1:8">
      <c r="A276" s="419" t="s">
        <v>149</v>
      </c>
      <c r="B276" s="269">
        <f>C276*1.14</f>
        <v>2.28</v>
      </c>
      <c r="C276" s="269">
        <v>2</v>
      </c>
      <c r="D276" s="376"/>
      <c r="E276" s="231"/>
      <c r="F276" s="231"/>
      <c r="G276" s="231"/>
      <c r="H276" s="231"/>
    </row>
    <row r="277" s="154" customFormat="1" ht="15.75" spans="1:8">
      <c r="A277" s="229" t="s">
        <v>69</v>
      </c>
      <c r="B277" s="224"/>
      <c r="C277" s="224"/>
      <c r="D277" s="230">
        <v>125</v>
      </c>
      <c r="E277" s="190">
        <v>2.2</v>
      </c>
      <c r="F277" s="190">
        <v>2.8</v>
      </c>
      <c r="G277" s="190">
        <v>10</v>
      </c>
      <c r="H277" s="190">
        <v>58</v>
      </c>
    </row>
    <row r="278" s="163" customFormat="1" ht="15.75" spans="1:8">
      <c r="A278" s="286" t="s">
        <v>59</v>
      </c>
      <c r="B278" s="287"/>
      <c r="C278" s="287"/>
      <c r="D278" s="283">
        <v>20</v>
      </c>
      <c r="E278" s="190">
        <v>0.89</v>
      </c>
      <c r="F278" s="190">
        <v>0.17</v>
      </c>
      <c r="G278" s="190">
        <v>9.26</v>
      </c>
      <c r="H278" s="190">
        <v>44.2</v>
      </c>
    </row>
    <row r="279" ht="19.5" spans="1:8">
      <c r="A279" s="183" t="s">
        <v>32</v>
      </c>
      <c r="B279" s="232"/>
      <c r="C279" s="232"/>
      <c r="D279" s="420">
        <v>715</v>
      </c>
      <c r="E279" s="377">
        <f>SUM(E280:E325)</f>
        <v>24.16</v>
      </c>
      <c r="F279" s="377">
        <f>SUM(F280:F325)</f>
        <v>23.26</v>
      </c>
      <c r="G279" s="377">
        <f>SUM(G280:G325)</f>
        <v>99.88</v>
      </c>
      <c r="H279" s="377">
        <f>SUM(H280:H325)</f>
        <v>739.61</v>
      </c>
    </row>
    <row r="280" s="158" customFormat="1" ht="14.25" customHeight="1" spans="1:8">
      <c r="A280" s="421" t="s">
        <v>150</v>
      </c>
      <c r="B280" s="422"/>
      <c r="C280" s="423"/>
      <c r="D280" s="369" t="s">
        <v>151</v>
      </c>
      <c r="E280" s="239">
        <v>7.03</v>
      </c>
      <c r="F280" s="239">
        <v>5.52</v>
      </c>
      <c r="G280" s="239">
        <v>21.35</v>
      </c>
      <c r="H280" s="239">
        <v>144.21</v>
      </c>
    </row>
    <row r="281" s="158" customFormat="1" spans="1:8">
      <c r="A281" s="353" t="s">
        <v>152</v>
      </c>
      <c r="B281" s="296">
        <f>C281*1.1</f>
        <v>16.104</v>
      </c>
      <c r="C281" s="296">
        <v>14.64</v>
      </c>
      <c r="D281" s="369"/>
      <c r="E281" s="243"/>
      <c r="F281" s="243"/>
      <c r="G281" s="243"/>
      <c r="H281" s="243"/>
    </row>
    <row r="282" s="158" customFormat="1" spans="1:8">
      <c r="A282" s="247" t="s">
        <v>36</v>
      </c>
      <c r="B282" s="241">
        <f>C282*1.33</f>
        <v>99.75</v>
      </c>
      <c r="C282" s="241">
        <v>75</v>
      </c>
      <c r="D282" s="369"/>
      <c r="E282" s="243"/>
      <c r="F282" s="243"/>
      <c r="G282" s="243"/>
      <c r="H282" s="243"/>
    </row>
    <row r="283" s="158" customFormat="1" spans="1:8">
      <c r="A283" s="247" t="s">
        <v>37</v>
      </c>
      <c r="B283" s="241">
        <f>C283*1.67</f>
        <v>125.25</v>
      </c>
      <c r="C283" s="241">
        <v>75</v>
      </c>
      <c r="D283" s="354"/>
      <c r="E283" s="243"/>
      <c r="F283" s="243"/>
      <c r="G283" s="243"/>
      <c r="H283" s="243"/>
    </row>
    <row r="284" s="158" customFormat="1" spans="1:8">
      <c r="A284" s="247" t="s">
        <v>39</v>
      </c>
      <c r="B284" s="256">
        <f>C284*1.25</f>
        <v>25</v>
      </c>
      <c r="C284" s="336">
        <v>20</v>
      </c>
      <c r="D284" s="354"/>
      <c r="E284" s="243"/>
      <c r="F284" s="243"/>
      <c r="G284" s="243"/>
      <c r="H284" s="243"/>
    </row>
    <row r="285" s="158" customFormat="1" spans="1:8">
      <c r="A285" s="247" t="s">
        <v>86</v>
      </c>
      <c r="B285" s="249">
        <f>C285*1.33</f>
        <v>26.6</v>
      </c>
      <c r="C285" s="249">
        <v>20</v>
      </c>
      <c r="D285" s="354"/>
      <c r="E285" s="243"/>
      <c r="F285" s="243"/>
      <c r="G285" s="243"/>
      <c r="H285" s="243"/>
    </row>
    <row r="286" s="158" customFormat="1" spans="1:8">
      <c r="A286" s="424" t="s">
        <v>40</v>
      </c>
      <c r="B286" s="425">
        <f>C286*1.19</f>
        <v>17.85</v>
      </c>
      <c r="C286" s="316">
        <v>15</v>
      </c>
      <c r="D286" s="354"/>
      <c r="E286" s="243"/>
      <c r="F286" s="243"/>
      <c r="G286" s="243"/>
      <c r="H286" s="243"/>
    </row>
    <row r="287" s="158" customFormat="1" spans="1:8">
      <c r="A287" s="212" t="s">
        <v>24</v>
      </c>
      <c r="B287" s="210">
        <f>C287</f>
        <v>30</v>
      </c>
      <c r="C287" s="210">
        <v>30</v>
      </c>
      <c r="D287" s="426"/>
      <c r="E287" s="243"/>
      <c r="F287" s="243"/>
      <c r="G287" s="243"/>
      <c r="H287" s="243"/>
    </row>
    <row r="288" s="158" customFormat="1" spans="1:8">
      <c r="A288" s="427" t="s">
        <v>29</v>
      </c>
      <c r="B288" s="210">
        <f>C288</f>
        <v>80</v>
      </c>
      <c r="C288" s="210">
        <v>80</v>
      </c>
      <c r="D288" s="426"/>
      <c r="E288" s="243"/>
      <c r="F288" s="243"/>
      <c r="G288" s="243"/>
      <c r="H288" s="243"/>
    </row>
    <row r="289" s="158" customFormat="1" spans="1:8">
      <c r="A289" s="191" t="s">
        <v>16</v>
      </c>
      <c r="B289" s="210">
        <f>C289</f>
        <v>3</v>
      </c>
      <c r="C289" s="210">
        <v>3</v>
      </c>
      <c r="D289" s="426"/>
      <c r="E289" s="243"/>
      <c r="F289" s="243"/>
      <c r="G289" s="243"/>
      <c r="H289" s="243"/>
    </row>
    <row r="290" s="158" customFormat="1" spans="1:8">
      <c r="A290" s="213" t="s">
        <v>25</v>
      </c>
      <c r="B290" s="214">
        <f>C290</f>
        <v>0.36</v>
      </c>
      <c r="C290" s="285">
        <v>0.36</v>
      </c>
      <c r="D290" s="428"/>
      <c r="E290" s="243"/>
      <c r="F290" s="243"/>
      <c r="G290" s="243"/>
      <c r="H290" s="243"/>
    </row>
    <row r="291" s="158" customFormat="1" spans="1:8">
      <c r="A291" s="195" t="s">
        <v>93</v>
      </c>
      <c r="B291" s="285">
        <f>C291*1.6</f>
        <v>16</v>
      </c>
      <c r="C291" s="285">
        <v>10</v>
      </c>
      <c r="D291" s="428"/>
      <c r="E291" s="243"/>
      <c r="F291" s="243"/>
      <c r="G291" s="243"/>
      <c r="H291" s="243"/>
    </row>
    <row r="292" s="158" customFormat="1" ht="15.75" spans="1:8">
      <c r="A292" s="198" t="s">
        <v>153</v>
      </c>
      <c r="B292" s="429"/>
      <c r="C292" s="430"/>
      <c r="D292" s="431" t="s">
        <v>154</v>
      </c>
      <c r="E292" s="190">
        <v>10.31</v>
      </c>
      <c r="F292" s="190">
        <v>11.82</v>
      </c>
      <c r="G292" s="190">
        <v>11.31</v>
      </c>
      <c r="H292" s="190">
        <v>202.01</v>
      </c>
    </row>
    <row r="293" s="158" customFormat="1" spans="1:8">
      <c r="A293" s="264" t="s">
        <v>50</v>
      </c>
      <c r="B293" s="265">
        <f>C293*1.08</f>
        <v>8.0568</v>
      </c>
      <c r="C293" s="265">
        <v>7.46</v>
      </c>
      <c r="D293" s="266"/>
      <c r="E293" s="243"/>
      <c r="F293" s="243"/>
      <c r="G293" s="243"/>
      <c r="H293" s="243"/>
    </row>
    <row r="294" s="158" customFormat="1" spans="1:8">
      <c r="A294" s="353" t="s">
        <v>152</v>
      </c>
      <c r="B294" s="296">
        <f>C294*1.1</f>
        <v>47.2637362637363</v>
      </c>
      <c r="C294" s="432">
        <v>42.967032967033</v>
      </c>
      <c r="D294" s="266"/>
      <c r="E294" s="243"/>
      <c r="F294" s="243"/>
      <c r="G294" s="243"/>
      <c r="H294" s="243"/>
    </row>
    <row r="295" s="158" customFormat="1" spans="1:8">
      <c r="A295" s="348" t="s">
        <v>92</v>
      </c>
      <c r="B295" s="252">
        <f>C295*1.05</f>
        <v>23.8846153846154</v>
      </c>
      <c r="C295" s="349">
        <v>22.7472527472527</v>
      </c>
      <c r="D295" s="266"/>
      <c r="E295" s="243"/>
      <c r="F295" s="243"/>
      <c r="G295" s="243"/>
      <c r="H295" s="243"/>
    </row>
    <row r="296" s="158" customFormat="1" spans="1:8">
      <c r="A296" s="348" t="s">
        <v>40</v>
      </c>
      <c r="B296" s="349">
        <f>C296*1.19</f>
        <v>12.0307692307692</v>
      </c>
      <c r="C296" s="349">
        <v>10.1098901098901</v>
      </c>
      <c r="D296" s="266"/>
      <c r="E296" s="243"/>
      <c r="F296" s="243"/>
      <c r="G296" s="243"/>
      <c r="H296" s="243"/>
    </row>
    <row r="297" s="158" customFormat="1" spans="1:8">
      <c r="A297" s="292" t="s">
        <v>155</v>
      </c>
      <c r="B297" s="256">
        <f>C297</f>
        <v>13.9010989010989</v>
      </c>
      <c r="C297" s="256">
        <v>13.9010989010989</v>
      </c>
      <c r="D297" s="266"/>
      <c r="E297" s="243"/>
      <c r="F297" s="243"/>
      <c r="G297" s="243"/>
      <c r="H297" s="243"/>
    </row>
    <row r="298" s="158" customFormat="1" spans="1:8">
      <c r="A298" s="292" t="s">
        <v>29</v>
      </c>
      <c r="B298" s="256">
        <f>C298</f>
        <v>13.9010989010989</v>
      </c>
      <c r="C298" s="256">
        <v>13.9010989010989</v>
      </c>
      <c r="D298" s="266"/>
      <c r="E298" s="243"/>
      <c r="F298" s="243"/>
      <c r="G298" s="243"/>
      <c r="H298" s="243"/>
    </row>
    <row r="299" s="158" customFormat="1" spans="1:8">
      <c r="A299" s="213" t="s">
        <v>25</v>
      </c>
      <c r="B299" s="214">
        <f>C299</f>
        <v>0.126373626373626</v>
      </c>
      <c r="C299" s="285">
        <v>0.126373626373626</v>
      </c>
      <c r="D299" s="266"/>
      <c r="E299" s="243"/>
      <c r="F299" s="243"/>
      <c r="G299" s="243"/>
      <c r="H299" s="243"/>
    </row>
    <row r="300" s="158" customFormat="1" spans="1:8">
      <c r="A300" s="353" t="s">
        <v>156</v>
      </c>
      <c r="B300" s="252">
        <f t="shared" ref="B300" si="14">C300</f>
        <v>3.79120879120879</v>
      </c>
      <c r="C300" s="252">
        <v>3.79120879120879</v>
      </c>
      <c r="D300" s="266"/>
      <c r="E300" s="243"/>
      <c r="F300" s="243"/>
      <c r="G300" s="243"/>
      <c r="H300" s="243"/>
    </row>
    <row r="301" s="158" customFormat="1" spans="1:8">
      <c r="A301" s="353" t="s">
        <v>54</v>
      </c>
      <c r="B301" s="252"/>
      <c r="C301" s="433">
        <f>SUM(C293:C300)</f>
        <v>115.003956043956</v>
      </c>
      <c r="D301" s="434"/>
      <c r="E301" s="243"/>
      <c r="F301" s="243"/>
      <c r="G301" s="243"/>
      <c r="H301" s="243"/>
    </row>
    <row r="302" s="158" customFormat="1" spans="1:8">
      <c r="A302" s="353" t="s">
        <v>95</v>
      </c>
      <c r="B302" s="252">
        <f>C302</f>
        <v>1</v>
      </c>
      <c r="C302" s="252">
        <v>1</v>
      </c>
      <c r="D302" s="434"/>
      <c r="E302" s="243"/>
      <c r="F302" s="243"/>
      <c r="G302" s="243"/>
      <c r="H302" s="243"/>
    </row>
    <row r="303" s="158" customFormat="1" spans="1:8">
      <c r="A303" s="435" t="s">
        <v>157</v>
      </c>
      <c r="B303" s="319"/>
      <c r="C303" s="436">
        <v>20</v>
      </c>
      <c r="D303" s="221"/>
      <c r="E303" s="243"/>
      <c r="F303" s="243"/>
      <c r="G303" s="243"/>
      <c r="H303" s="243"/>
    </row>
    <row r="304" s="158" customFormat="1" spans="1:8">
      <c r="A304" s="348" t="s">
        <v>24</v>
      </c>
      <c r="B304" s="319">
        <f>C304*1.05</f>
        <v>12.6</v>
      </c>
      <c r="C304" s="319">
        <v>12</v>
      </c>
      <c r="D304" s="221"/>
      <c r="E304" s="243"/>
      <c r="F304" s="243"/>
      <c r="G304" s="243"/>
      <c r="H304" s="243"/>
    </row>
    <row r="305" s="158" customFormat="1" spans="1:8">
      <c r="A305" s="437" t="s">
        <v>158</v>
      </c>
      <c r="B305" s="316">
        <f>C305*1.01</f>
        <v>6.06</v>
      </c>
      <c r="C305" s="319">
        <v>6</v>
      </c>
      <c r="D305" s="221"/>
      <c r="E305" s="243"/>
      <c r="F305" s="243"/>
      <c r="G305" s="243"/>
      <c r="H305" s="243"/>
    </row>
    <row r="306" s="158" customFormat="1" spans="1:8">
      <c r="A306" s="219" t="s">
        <v>156</v>
      </c>
      <c r="B306" s="319">
        <f>C306</f>
        <v>1.6</v>
      </c>
      <c r="C306" s="319">
        <v>1.6</v>
      </c>
      <c r="D306" s="221"/>
      <c r="E306" s="243"/>
      <c r="F306" s="243"/>
      <c r="G306" s="243"/>
      <c r="H306" s="243"/>
    </row>
    <row r="307" s="158" customFormat="1" spans="1:8">
      <c r="A307" s="438" t="s">
        <v>159</v>
      </c>
      <c r="B307" s="319">
        <f>C307</f>
        <v>14</v>
      </c>
      <c r="C307" s="319">
        <v>14</v>
      </c>
      <c r="D307" s="221"/>
      <c r="E307" s="243"/>
      <c r="F307" s="243"/>
      <c r="G307" s="243"/>
      <c r="H307" s="243"/>
    </row>
    <row r="308" s="158" customFormat="1" spans="1:8">
      <c r="A308" s="438" t="s">
        <v>160</v>
      </c>
      <c r="B308" s="319">
        <f>C308*1.28</f>
        <v>0.384</v>
      </c>
      <c r="C308" s="319">
        <v>0.3</v>
      </c>
      <c r="D308" s="221"/>
      <c r="E308" s="243"/>
      <c r="F308" s="243"/>
      <c r="G308" s="243"/>
      <c r="H308" s="243"/>
    </row>
    <row r="309" s="158" customFormat="1" spans="1:8">
      <c r="A309" s="212" t="s">
        <v>51</v>
      </c>
      <c r="B309" s="252">
        <f>C309</f>
        <v>2</v>
      </c>
      <c r="C309" s="241">
        <v>2</v>
      </c>
      <c r="D309" s="439"/>
      <c r="E309" s="243"/>
      <c r="F309" s="243"/>
      <c r="G309" s="243"/>
      <c r="H309" s="243"/>
    </row>
    <row r="310" s="158" customFormat="1" spans="1:8">
      <c r="A310" s="440" t="s">
        <v>161</v>
      </c>
      <c r="B310" s="441"/>
      <c r="C310" s="441"/>
      <c r="D310" s="441"/>
      <c r="E310" s="243"/>
      <c r="F310" s="243"/>
      <c r="G310" s="243"/>
      <c r="H310" s="243"/>
    </row>
    <row r="311" s="158" customFormat="1" spans="1:8">
      <c r="A311" s="198" t="s">
        <v>162</v>
      </c>
      <c r="B311" s="252"/>
      <c r="C311" s="241"/>
      <c r="D311" s="207" t="s">
        <v>163</v>
      </c>
      <c r="E311" s="243"/>
      <c r="F311" s="243"/>
      <c r="G311" s="243"/>
      <c r="H311" s="243"/>
    </row>
    <row r="312" s="154" customFormat="1" ht="15.75" spans="1:8">
      <c r="A312" s="326" t="s">
        <v>164</v>
      </c>
      <c r="B312" s="326"/>
      <c r="C312" s="326"/>
      <c r="D312" s="442">
        <v>150</v>
      </c>
      <c r="E312" s="190">
        <v>3.95</v>
      </c>
      <c r="F312" s="190">
        <v>5.45</v>
      </c>
      <c r="G312" s="190">
        <v>22.16</v>
      </c>
      <c r="H312" s="190">
        <v>194.18</v>
      </c>
    </row>
    <row r="313" ht="15.75" customHeight="1" spans="1:8">
      <c r="A313" s="443" t="s">
        <v>165</v>
      </c>
      <c r="B313" s="249">
        <f>C313</f>
        <v>50</v>
      </c>
      <c r="C313" s="249">
        <v>50</v>
      </c>
      <c r="D313" s="444"/>
      <c r="E313" s="320"/>
      <c r="F313" s="320"/>
      <c r="G313" s="320"/>
      <c r="H313" s="320"/>
    </row>
    <row r="314" ht="15.75" customHeight="1" spans="1:8">
      <c r="A314" s="213" t="s">
        <v>25</v>
      </c>
      <c r="B314" s="214">
        <f>C314</f>
        <v>1</v>
      </c>
      <c r="C314" s="285">
        <v>1</v>
      </c>
      <c r="D314" s="444"/>
      <c r="E314" s="320"/>
      <c r="F314" s="320"/>
      <c r="G314" s="320"/>
      <c r="H314" s="320"/>
    </row>
    <row r="315" s="164" customFormat="1" spans="1:8">
      <c r="A315" s="212" t="s">
        <v>51</v>
      </c>
      <c r="B315" s="252">
        <f>C315</f>
        <v>5</v>
      </c>
      <c r="C315" s="241">
        <v>5</v>
      </c>
      <c r="D315" s="439"/>
      <c r="E315" s="366"/>
      <c r="F315" s="366"/>
      <c r="G315" s="366"/>
      <c r="H315" s="366"/>
    </row>
    <row r="316" s="164" customFormat="1" spans="1:8">
      <c r="A316" s="209" t="s">
        <v>42</v>
      </c>
      <c r="B316" s="252">
        <f>C316</f>
        <v>10</v>
      </c>
      <c r="C316" s="241">
        <v>10</v>
      </c>
      <c r="D316" s="248"/>
      <c r="E316" s="366"/>
      <c r="F316" s="366"/>
      <c r="G316" s="366"/>
      <c r="H316" s="366"/>
    </row>
    <row r="317" s="164" customFormat="1" spans="1:8">
      <c r="A317" s="445" t="s">
        <v>166</v>
      </c>
      <c r="B317" s="404">
        <f>C317*1.65</f>
        <v>16.5</v>
      </c>
      <c r="C317" s="446">
        <v>10</v>
      </c>
      <c r="D317" s="257"/>
      <c r="E317" s="366"/>
      <c r="F317" s="366"/>
      <c r="G317" s="366"/>
      <c r="H317" s="366"/>
    </row>
    <row r="318" s="164" customFormat="1" spans="1:8">
      <c r="A318" s="348" t="s">
        <v>40</v>
      </c>
      <c r="B318" s="349">
        <f>C318*1.19</f>
        <v>8.33</v>
      </c>
      <c r="C318" s="349">
        <v>7</v>
      </c>
      <c r="D318" s="266"/>
      <c r="E318" s="366"/>
      <c r="F318" s="366"/>
      <c r="G318" s="366"/>
      <c r="H318" s="366"/>
    </row>
    <row r="319" s="164" customFormat="1" spans="1:8">
      <c r="A319" s="191" t="s">
        <v>29</v>
      </c>
      <c r="B319" s="249">
        <f>C319</f>
        <v>75</v>
      </c>
      <c r="C319" s="249">
        <f>C313*1.5</f>
        <v>75</v>
      </c>
      <c r="D319" s="444"/>
      <c r="E319" s="366"/>
      <c r="F319" s="366"/>
      <c r="G319" s="366"/>
      <c r="H319" s="366"/>
    </row>
    <row r="320" s="154" customFormat="1" ht="15.75" spans="1:8">
      <c r="A320" s="280" t="s">
        <v>167</v>
      </c>
      <c r="B320" s="281"/>
      <c r="C320" s="282"/>
      <c r="D320" s="283">
        <v>180</v>
      </c>
      <c r="E320" s="284">
        <v>0.58</v>
      </c>
      <c r="F320" s="284">
        <v>0.03</v>
      </c>
      <c r="G320" s="284">
        <v>21.43</v>
      </c>
      <c r="H320" s="284">
        <v>85.91</v>
      </c>
    </row>
    <row r="321" s="154" customFormat="1" spans="1:8">
      <c r="A321" s="247" t="s">
        <v>58</v>
      </c>
      <c r="B321" s="249">
        <f>C321</f>
        <v>17</v>
      </c>
      <c r="C321" s="249">
        <v>17</v>
      </c>
      <c r="D321" s="270"/>
      <c r="E321" s="231"/>
      <c r="F321" s="231"/>
      <c r="G321" s="231"/>
      <c r="H321" s="231"/>
    </row>
    <row r="322" s="154" customFormat="1" spans="1:8">
      <c r="A322" s="208" t="s">
        <v>26</v>
      </c>
      <c r="B322" s="249">
        <f>C322</f>
        <v>12</v>
      </c>
      <c r="C322" s="249">
        <v>12</v>
      </c>
      <c r="D322" s="270"/>
      <c r="E322" s="231"/>
      <c r="F322" s="231"/>
      <c r="G322" s="231"/>
      <c r="H322" s="231"/>
    </row>
    <row r="323" s="154" customFormat="1" spans="1:8">
      <c r="A323" s="247" t="s">
        <v>29</v>
      </c>
      <c r="B323" s="249">
        <f>C323</f>
        <v>210</v>
      </c>
      <c r="C323" s="249">
        <v>210</v>
      </c>
      <c r="D323" s="270"/>
      <c r="E323" s="231"/>
      <c r="F323" s="231"/>
      <c r="G323" s="231"/>
      <c r="H323" s="231"/>
    </row>
    <row r="324" s="154" customFormat="1" ht="15.75" spans="1:8">
      <c r="A324" s="225" t="s">
        <v>30</v>
      </c>
      <c r="B324" s="249"/>
      <c r="C324" s="285"/>
      <c r="D324" s="230">
        <v>25</v>
      </c>
      <c r="E324" s="190">
        <v>1.4</v>
      </c>
      <c r="F324" s="190">
        <v>0.27</v>
      </c>
      <c r="G324" s="190">
        <v>14.37</v>
      </c>
      <c r="H324" s="190">
        <v>69.1</v>
      </c>
    </row>
    <row r="325" s="154" customFormat="1" ht="15.75" spans="1:8">
      <c r="A325" s="286" t="s">
        <v>59</v>
      </c>
      <c r="B325" s="287"/>
      <c r="C325" s="287"/>
      <c r="D325" s="283">
        <v>20</v>
      </c>
      <c r="E325" s="190">
        <v>0.89</v>
      </c>
      <c r="F325" s="190">
        <v>0.17</v>
      </c>
      <c r="G325" s="190">
        <v>9.26</v>
      </c>
      <c r="H325" s="190">
        <v>44.2</v>
      </c>
    </row>
    <row r="326" s="154" customFormat="1" ht="19.5" spans="1:8">
      <c r="A326" s="183" t="s">
        <v>60</v>
      </c>
      <c r="B326" s="288"/>
      <c r="C326" s="288"/>
      <c r="D326" s="447"/>
      <c r="E326" s="377">
        <f>SUM(E327:E340)</f>
        <v>7.76</v>
      </c>
      <c r="F326" s="377">
        <f>SUM(F327:F340)</f>
        <v>7.95</v>
      </c>
      <c r="G326" s="377">
        <f>SUM(G327:G340)</f>
        <v>31.87</v>
      </c>
      <c r="H326" s="377">
        <f>SUM(H327:H340)</f>
        <v>229.36</v>
      </c>
    </row>
    <row r="327" s="154" customFormat="1" ht="15.75" spans="1:8">
      <c r="A327" s="448" t="s">
        <v>168</v>
      </c>
      <c r="B327" s="448"/>
      <c r="C327" s="448"/>
      <c r="D327" s="322" t="s">
        <v>169</v>
      </c>
      <c r="E327" s="291">
        <v>2.56</v>
      </c>
      <c r="F327" s="291">
        <v>5.31</v>
      </c>
      <c r="G327" s="291">
        <v>14.54</v>
      </c>
      <c r="H327" s="291">
        <v>125.36</v>
      </c>
    </row>
    <row r="328" s="154" customFormat="1" spans="1:8">
      <c r="A328" s="449" t="s">
        <v>170</v>
      </c>
      <c r="B328" s="448"/>
      <c r="C328" s="450">
        <f>SUM(C329:C336)</f>
        <v>84</v>
      </c>
      <c r="D328" s="322"/>
      <c r="E328" s="231"/>
      <c r="F328" s="231"/>
      <c r="G328" s="231"/>
      <c r="H328" s="231"/>
    </row>
    <row r="329" s="154" customFormat="1" spans="1:8">
      <c r="A329" s="268" t="s">
        <v>171</v>
      </c>
      <c r="B329" s="296">
        <f>C329</f>
        <v>47.887</v>
      </c>
      <c r="C329" s="296">
        <v>47.887</v>
      </c>
      <c r="D329" s="197"/>
      <c r="E329" s="231"/>
      <c r="F329" s="231"/>
      <c r="G329" s="231"/>
      <c r="H329" s="231"/>
    </row>
    <row r="330" s="154" customFormat="1" spans="1:8">
      <c r="A330" s="208" t="s">
        <v>26</v>
      </c>
      <c r="B330" s="296">
        <f t="shared" ref="B330:B337" si="15">C330</f>
        <v>8.288</v>
      </c>
      <c r="C330" s="296">
        <v>8.288</v>
      </c>
      <c r="D330" s="197"/>
      <c r="E330" s="231"/>
      <c r="F330" s="231"/>
      <c r="G330" s="231"/>
      <c r="H330" s="231"/>
    </row>
    <row r="331" s="154" customFormat="1" spans="1:8">
      <c r="A331" s="212" t="s">
        <v>51</v>
      </c>
      <c r="B331" s="296">
        <f t="shared" si="15"/>
        <v>6.65</v>
      </c>
      <c r="C331" s="296">
        <v>6.65</v>
      </c>
      <c r="D331" s="197"/>
      <c r="E331" s="231"/>
      <c r="F331" s="231"/>
      <c r="G331" s="231"/>
      <c r="H331" s="231"/>
    </row>
    <row r="332" s="154" customFormat="1" spans="1:8">
      <c r="A332" s="295" t="s">
        <v>64</v>
      </c>
      <c r="B332" s="296">
        <f t="shared" si="15"/>
        <v>0.035</v>
      </c>
      <c r="C332" s="297">
        <v>0.035</v>
      </c>
      <c r="D332" s="197"/>
      <c r="E332" s="231"/>
      <c r="F332" s="231"/>
      <c r="G332" s="231"/>
      <c r="H332" s="231"/>
    </row>
    <row r="333" s="154" customFormat="1" spans="1:8">
      <c r="A333" s="213" t="s">
        <v>25</v>
      </c>
      <c r="B333" s="214">
        <f t="shared" si="15"/>
        <v>0.21</v>
      </c>
      <c r="C333" s="297">
        <v>0.21</v>
      </c>
      <c r="D333" s="197"/>
      <c r="E333" s="231"/>
      <c r="F333" s="231"/>
      <c r="G333" s="231"/>
      <c r="H333" s="231"/>
    </row>
    <row r="334" s="154" customFormat="1" spans="1:8">
      <c r="A334" s="451" t="s">
        <v>172</v>
      </c>
      <c r="B334" s="296">
        <f t="shared" si="15"/>
        <v>0.63</v>
      </c>
      <c r="C334" s="297">
        <v>0.63</v>
      </c>
      <c r="D334" s="197"/>
      <c r="E334" s="231"/>
      <c r="F334" s="231"/>
      <c r="G334" s="231"/>
      <c r="H334" s="231"/>
    </row>
    <row r="335" s="154" customFormat="1" spans="1:8">
      <c r="A335" s="212" t="s">
        <v>24</v>
      </c>
      <c r="B335" s="296">
        <f t="shared" si="15"/>
        <v>6.3</v>
      </c>
      <c r="C335" s="297">
        <v>6.3</v>
      </c>
      <c r="D335" s="197"/>
      <c r="E335" s="231"/>
      <c r="F335" s="231"/>
      <c r="G335" s="231"/>
      <c r="H335" s="231"/>
    </row>
    <row r="336" s="154" customFormat="1" spans="1:8">
      <c r="A336" s="247" t="s">
        <v>29</v>
      </c>
      <c r="B336" s="296">
        <f t="shared" si="15"/>
        <v>14</v>
      </c>
      <c r="C336" s="297">
        <v>14</v>
      </c>
      <c r="D336" s="197"/>
      <c r="E336" s="231"/>
      <c r="F336" s="231"/>
      <c r="G336" s="231"/>
      <c r="H336" s="231"/>
    </row>
    <row r="337" s="154" customFormat="1" spans="1:8">
      <c r="A337" s="295" t="s">
        <v>95</v>
      </c>
      <c r="B337" s="297">
        <f t="shared" si="15"/>
        <v>0.8</v>
      </c>
      <c r="C337" s="297">
        <v>0.8</v>
      </c>
      <c r="D337" s="298"/>
      <c r="E337" s="231"/>
      <c r="F337" s="231"/>
      <c r="G337" s="231"/>
      <c r="H337" s="231"/>
    </row>
    <row r="338" s="158" customFormat="1" ht="15.75" spans="1:8">
      <c r="A338" s="452" t="s">
        <v>173</v>
      </c>
      <c r="B338" s="278"/>
      <c r="C338" s="278"/>
      <c r="D338" s="453">
        <v>200</v>
      </c>
      <c r="E338" s="239">
        <v>4.8</v>
      </c>
      <c r="F338" s="239">
        <v>2.54</v>
      </c>
      <c r="G338" s="239">
        <v>8.03</v>
      </c>
      <c r="H338" s="239">
        <v>65</v>
      </c>
    </row>
    <row r="339" s="158" customFormat="1" spans="1:8">
      <c r="A339" s="454" t="s">
        <v>174</v>
      </c>
      <c r="B339" s="249">
        <v>200</v>
      </c>
      <c r="C339" s="249">
        <v>200</v>
      </c>
      <c r="D339" s="221"/>
      <c r="E339" s="243"/>
      <c r="F339" s="243"/>
      <c r="G339" s="243"/>
      <c r="H339" s="243"/>
    </row>
    <row r="340" s="158" customFormat="1" ht="15.75" spans="1:8">
      <c r="A340" s="326" t="s">
        <v>80</v>
      </c>
      <c r="B340" s="269">
        <f>C340</f>
        <v>100</v>
      </c>
      <c r="C340" s="269">
        <v>100</v>
      </c>
      <c r="D340" s="283">
        <v>100</v>
      </c>
      <c r="E340" s="327">
        <v>0.4</v>
      </c>
      <c r="F340" s="190">
        <v>0.1</v>
      </c>
      <c r="G340" s="190">
        <v>9.3</v>
      </c>
      <c r="H340" s="190">
        <v>39</v>
      </c>
    </row>
    <row r="341" ht="18.75" spans="1:8">
      <c r="A341" s="309" t="s">
        <v>70</v>
      </c>
      <c r="B341" s="310"/>
      <c r="C341" s="310"/>
      <c r="D341" s="311"/>
      <c r="E341" s="312">
        <f>E326+E279+E260</f>
        <v>46.62</v>
      </c>
      <c r="F341" s="312">
        <f>F326+F279+F260</f>
        <v>46.29</v>
      </c>
      <c r="G341" s="312">
        <f>G326+G279+G260</f>
        <v>195.64</v>
      </c>
      <c r="H341" s="312">
        <f>H326+H279+H260</f>
        <v>1416.37</v>
      </c>
    </row>
    <row r="342" ht="29.25" customHeight="1" spans="1:8">
      <c r="A342" s="174" t="s">
        <v>175</v>
      </c>
      <c r="B342" s="175"/>
      <c r="C342" s="175"/>
      <c r="D342" s="175"/>
      <c r="E342" s="175"/>
      <c r="F342" s="175"/>
      <c r="G342" s="175"/>
      <c r="H342" s="176"/>
    </row>
    <row r="343" ht="29.25" customHeight="1" spans="1:8">
      <c r="A343" s="177" t="s">
        <v>5</v>
      </c>
      <c r="B343" s="177" t="s">
        <v>6</v>
      </c>
      <c r="C343" s="177" t="s">
        <v>7</v>
      </c>
      <c r="D343" s="178" t="s">
        <v>8</v>
      </c>
      <c r="E343" s="179" t="s">
        <v>9</v>
      </c>
      <c r="F343" s="179" t="s">
        <v>10</v>
      </c>
      <c r="G343" s="179" t="s">
        <v>11</v>
      </c>
      <c r="H343" s="179" t="s">
        <v>12</v>
      </c>
    </row>
    <row r="344" ht="18.75" customHeight="1" spans="1:8">
      <c r="A344" s="180"/>
      <c r="B344" s="180"/>
      <c r="C344" s="180"/>
      <c r="D344" s="181"/>
      <c r="E344" s="182"/>
      <c r="F344" s="182"/>
      <c r="G344" s="182"/>
      <c r="H344" s="182"/>
    </row>
    <row r="345" ht="19.5" spans="1:8">
      <c r="A345" s="183" t="s">
        <v>13</v>
      </c>
      <c r="B345" s="183"/>
      <c r="C345" s="183"/>
      <c r="D345" s="455">
        <v>503</v>
      </c>
      <c r="E345" s="377">
        <f>SUM(E346:E363)</f>
        <v>15.08</v>
      </c>
      <c r="F345" s="377">
        <f>SUM(F346:F363)</f>
        <v>15.03</v>
      </c>
      <c r="G345" s="377">
        <f>SUM(G346:G363)</f>
        <v>69.96</v>
      </c>
      <c r="H345" s="377">
        <f>SUM(H346:H363)</f>
        <v>488.39</v>
      </c>
    </row>
    <row r="346" s="154" customFormat="1" ht="15.75" spans="1:8">
      <c r="A346" s="456" t="s">
        <v>176</v>
      </c>
      <c r="B346" s="457"/>
      <c r="C346" s="458"/>
      <c r="D346" s="459" t="s">
        <v>177</v>
      </c>
      <c r="E346" s="190">
        <v>1.44</v>
      </c>
      <c r="F346" s="190">
        <v>0.6</v>
      </c>
      <c r="G346" s="190">
        <v>18.2</v>
      </c>
      <c r="H346" s="190">
        <v>90.27</v>
      </c>
    </row>
    <row r="347" s="154" customFormat="1" spans="1:8">
      <c r="A347" s="191" t="s">
        <v>111</v>
      </c>
      <c r="B347" s="297">
        <f>C347</f>
        <v>15</v>
      </c>
      <c r="C347" s="297">
        <v>15</v>
      </c>
      <c r="D347" s="381"/>
      <c r="E347" s="231"/>
      <c r="F347" s="231"/>
      <c r="G347" s="231"/>
      <c r="H347" s="231"/>
    </row>
    <row r="348" s="154" customFormat="1" spans="1:8">
      <c r="A348" s="195" t="s">
        <v>17</v>
      </c>
      <c r="B348" s="196">
        <f>C348</f>
        <v>18</v>
      </c>
      <c r="C348" s="196">
        <v>18</v>
      </c>
      <c r="D348" s="381"/>
      <c r="E348" s="231"/>
      <c r="F348" s="231"/>
      <c r="G348" s="231"/>
      <c r="H348" s="231"/>
    </row>
    <row r="349" s="154" customFormat="1" ht="15.75" spans="1:8">
      <c r="A349" s="198" t="s">
        <v>18</v>
      </c>
      <c r="B349" s="199"/>
      <c r="C349" s="200"/>
      <c r="D349" s="201">
        <v>40</v>
      </c>
      <c r="E349" s="190">
        <v>5.16</v>
      </c>
      <c r="F349" s="190">
        <v>4.64</v>
      </c>
      <c r="G349" s="190">
        <v>0.32</v>
      </c>
      <c r="H349" s="190">
        <v>64</v>
      </c>
    </row>
    <row r="350" s="154" customFormat="1" spans="1:8">
      <c r="A350" s="202" t="s">
        <v>19</v>
      </c>
      <c r="B350" s="196">
        <f>C350</f>
        <v>40</v>
      </c>
      <c r="C350" s="200">
        <v>40</v>
      </c>
      <c r="D350" s="197"/>
      <c r="E350" s="231"/>
      <c r="F350" s="231"/>
      <c r="G350" s="231"/>
      <c r="H350" s="231"/>
    </row>
    <row r="351" s="154" customFormat="1" ht="15.75" spans="1:8">
      <c r="A351" s="204" t="s">
        <v>178</v>
      </c>
      <c r="B351" s="205"/>
      <c r="C351" s="206"/>
      <c r="D351" s="207" t="s">
        <v>179</v>
      </c>
      <c r="E351" s="190">
        <v>4.81</v>
      </c>
      <c r="F351" s="190">
        <v>7.89</v>
      </c>
      <c r="G351" s="190">
        <v>18.06</v>
      </c>
      <c r="H351" s="190">
        <v>165.24</v>
      </c>
    </row>
    <row r="352" s="154" customFormat="1" spans="1:8">
      <c r="A352" s="212" t="s">
        <v>180</v>
      </c>
      <c r="B352" s="192">
        <f t="shared" ref="B352:B357" si="16">C352</f>
        <v>24</v>
      </c>
      <c r="C352" s="192">
        <v>24</v>
      </c>
      <c r="D352" s="370"/>
      <c r="E352" s="231"/>
      <c r="F352" s="231"/>
      <c r="G352" s="231"/>
      <c r="H352" s="231"/>
    </row>
    <row r="353" s="154" customFormat="1" spans="1:8">
      <c r="A353" s="209" t="s">
        <v>23</v>
      </c>
      <c r="B353" s="192">
        <f t="shared" si="16"/>
        <v>76</v>
      </c>
      <c r="C353" s="210">
        <v>76</v>
      </c>
      <c r="D353" s="370"/>
      <c r="E353" s="231"/>
      <c r="F353" s="231"/>
      <c r="G353" s="231"/>
      <c r="H353" s="231"/>
    </row>
    <row r="354" s="154" customFormat="1" spans="1:8">
      <c r="A354" s="212" t="s">
        <v>24</v>
      </c>
      <c r="B354" s="192">
        <f t="shared" si="16"/>
        <v>98</v>
      </c>
      <c r="C354" s="210">
        <v>98</v>
      </c>
      <c r="D354" s="370"/>
      <c r="E354" s="231"/>
      <c r="F354" s="231"/>
      <c r="G354" s="231"/>
      <c r="H354" s="231"/>
    </row>
    <row r="355" s="154" customFormat="1" spans="1:8">
      <c r="A355" s="208" t="s">
        <v>26</v>
      </c>
      <c r="B355" s="192">
        <f t="shared" si="16"/>
        <v>3.8</v>
      </c>
      <c r="C355" s="192">
        <v>3.8</v>
      </c>
      <c r="D355" s="370"/>
      <c r="E355" s="231"/>
      <c r="F355" s="231"/>
      <c r="G355" s="231"/>
      <c r="H355" s="231"/>
    </row>
    <row r="356" s="154" customFormat="1" spans="1:8">
      <c r="A356" s="213" t="s">
        <v>25</v>
      </c>
      <c r="B356" s="214">
        <f t="shared" si="16"/>
        <v>0.76</v>
      </c>
      <c r="C356" s="297">
        <v>0.76</v>
      </c>
      <c r="D356" s="370"/>
      <c r="E356" s="231"/>
      <c r="F356" s="231"/>
      <c r="G356" s="231"/>
      <c r="H356" s="231"/>
    </row>
    <row r="357" s="154" customFormat="1" spans="1:8">
      <c r="A357" s="191" t="s">
        <v>16</v>
      </c>
      <c r="B357" s="192">
        <f t="shared" si="16"/>
        <v>3.8</v>
      </c>
      <c r="C357" s="192">
        <v>3.8</v>
      </c>
      <c r="D357" s="370"/>
      <c r="E357" s="231"/>
      <c r="F357" s="231"/>
      <c r="G357" s="231"/>
      <c r="H357" s="231"/>
    </row>
    <row r="358" s="164" customFormat="1" ht="15.75" spans="1:8">
      <c r="A358" s="460" t="s">
        <v>27</v>
      </c>
      <c r="B358" s="461"/>
      <c r="C358" s="462"/>
      <c r="D358" s="369">
        <v>200</v>
      </c>
      <c r="E358" s="190">
        <v>1.88</v>
      </c>
      <c r="F358" s="190">
        <v>1.55</v>
      </c>
      <c r="G358" s="190">
        <v>14.85</v>
      </c>
      <c r="H358" s="190">
        <v>80.48</v>
      </c>
    </row>
    <row r="359" s="154" customFormat="1" spans="1:8">
      <c r="A359" s="219" t="s">
        <v>28</v>
      </c>
      <c r="B359" s="269">
        <f>C359</f>
        <v>1</v>
      </c>
      <c r="C359" s="220">
        <v>1</v>
      </c>
      <c r="D359" s="376"/>
      <c r="E359" s="231"/>
      <c r="F359" s="231"/>
      <c r="G359" s="231"/>
      <c r="H359" s="231"/>
    </row>
    <row r="360" s="154" customFormat="1" spans="1:8">
      <c r="A360" s="212" t="s">
        <v>24</v>
      </c>
      <c r="B360" s="319">
        <f>C360</f>
        <v>100</v>
      </c>
      <c r="C360" s="241">
        <v>100</v>
      </c>
      <c r="D360" s="390"/>
      <c r="E360" s="231"/>
      <c r="F360" s="231"/>
      <c r="G360" s="231"/>
      <c r="H360" s="231"/>
    </row>
    <row r="361" s="154" customFormat="1" spans="1:8">
      <c r="A361" s="223" t="s">
        <v>29</v>
      </c>
      <c r="B361" s="224">
        <f>C361</f>
        <v>110</v>
      </c>
      <c r="C361" s="224">
        <v>110</v>
      </c>
      <c r="D361" s="390"/>
      <c r="E361" s="231"/>
      <c r="F361" s="231"/>
      <c r="G361" s="231"/>
      <c r="H361" s="231"/>
    </row>
    <row r="362" s="154" customFormat="1" spans="1:8">
      <c r="A362" s="208" t="s">
        <v>26</v>
      </c>
      <c r="B362" s="319">
        <f>C362</f>
        <v>10</v>
      </c>
      <c r="C362" s="241">
        <v>10</v>
      </c>
      <c r="D362" s="390"/>
      <c r="E362" s="231"/>
      <c r="F362" s="231"/>
      <c r="G362" s="231"/>
      <c r="H362" s="231"/>
    </row>
    <row r="363" s="154" customFormat="1" ht="15.75" spans="1:8">
      <c r="A363" s="286" t="s">
        <v>59</v>
      </c>
      <c r="B363" s="287"/>
      <c r="C363" s="287"/>
      <c r="D363" s="283">
        <v>40</v>
      </c>
      <c r="E363" s="190">
        <v>1.79</v>
      </c>
      <c r="F363" s="190">
        <v>0.35</v>
      </c>
      <c r="G363" s="190">
        <v>18.53</v>
      </c>
      <c r="H363" s="190">
        <v>88.4</v>
      </c>
    </row>
    <row r="364" ht="19.5" spans="1:8">
      <c r="A364" s="183" t="s">
        <v>32</v>
      </c>
      <c r="B364" s="232"/>
      <c r="C364" s="232"/>
      <c r="D364" s="411" t="s">
        <v>181</v>
      </c>
      <c r="E364" s="377">
        <f>SUM(E365:E406)</f>
        <v>24.04</v>
      </c>
      <c r="F364" s="377">
        <f>SUM(F365:F406)</f>
        <v>24.437</v>
      </c>
      <c r="G364" s="377">
        <f>SUM(G365:G406)</f>
        <v>103.29</v>
      </c>
      <c r="H364" s="377">
        <f>SUM(H365:H406)</f>
        <v>732.73</v>
      </c>
    </row>
    <row r="365" s="154" customFormat="1" ht="15.75" spans="1:8">
      <c r="A365" s="463" t="s">
        <v>182</v>
      </c>
      <c r="B365" s="463"/>
      <c r="C365" s="463"/>
      <c r="D365" s="464">
        <v>220</v>
      </c>
      <c r="E365" s="239">
        <v>7.65</v>
      </c>
      <c r="F365" s="239">
        <v>5.71</v>
      </c>
      <c r="G365" s="239">
        <v>10.57</v>
      </c>
      <c r="H365" s="239">
        <v>124.32</v>
      </c>
    </row>
    <row r="366" s="154" customFormat="1" spans="1:8">
      <c r="A366" s="307" t="s">
        <v>90</v>
      </c>
      <c r="B366" s="465">
        <f>C366*1.54</f>
        <v>60.06</v>
      </c>
      <c r="C366" s="252">
        <f>C368*1.3</f>
        <v>39</v>
      </c>
      <c r="D366" s="466"/>
      <c r="E366" s="231"/>
      <c r="F366" s="231"/>
      <c r="G366" s="231"/>
      <c r="H366" s="231"/>
    </row>
    <row r="367" s="154" customFormat="1" spans="1:8">
      <c r="A367" s="307" t="s">
        <v>183</v>
      </c>
      <c r="B367" s="465">
        <f>C367*1.59</f>
        <v>62.01</v>
      </c>
      <c r="C367" s="252">
        <f>C368*1.3</f>
        <v>39</v>
      </c>
      <c r="D367" s="466"/>
      <c r="E367" s="231"/>
      <c r="F367" s="231"/>
      <c r="G367" s="231"/>
      <c r="H367" s="231"/>
    </row>
    <row r="368" s="154" customFormat="1" spans="1:8">
      <c r="A368" s="467" t="s">
        <v>184</v>
      </c>
      <c r="B368" s="468"/>
      <c r="C368" s="469">
        <v>30</v>
      </c>
      <c r="D368" s="466"/>
      <c r="E368" s="231"/>
      <c r="F368" s="231"/>
      <c r="G368" s="231"/>
      <c r="H368" s="231"/>
    </row>
    <row r="369" s="154" customFormat="1" spans="1:8">
      <c r="A369" s="247" t="s">
        <v>36</v>
      </c>
      <c r="B369" s="241">
        <f>C369*1.33</f>
        <v>71.82</v>
      </c>
      <c r="C369" s="241">
        <v>54</v>
      </c>
      <c r="D369" s="466"/>
      <c r="E369" s="231"/>
      <c r="F369" s="231"/>
      <c r="G369" s="231"/>
      <c r="H369" s="231"/>
    </row>
    <row r="370" s="163" customFormat="1" spans="1:8">
      <c r="A370" s="247" t="s">
        <v>37</v>
      </c>
      <c r="B370" s="241">
        <f>C370*1.67</f>
        <v>90.18</v>
      </c>
      <c r="C370" s="241">
        <v>54</v>
      </c>
      <c r="D370" s="344"/>
      <c r="E370" s="398"/>
      <c r="F370" s="398"/>
      <c r="G370" s="398"/>
      <c r="H370" s="398"/>
    </row>
    <row r="371" s="158" customFormat="1" spans="1:8">
      <c r="A371" s="470" t="s">
        <v>40</v>
      </c>
      <c r="B371" s="222">
        <f>C371*1.19</f>
        <v>14.28</v>
      </c>
      <c r="C371" s="222">
        <v>12</v>
      </c>
      <c r="D371" s="344"/>
      <c r="E371" s="243"/>
      <c r="F371" s="243"/>
      <c r="G371" s="243"/>
      <c r="H371" s="243"/>
    </row>
    <row r="372" s="158" customFormat="1" spans="1:8">
      <c r="A372" s="337" t="s">
        <v>87</v>
      </c>
      <c r="B372" s="249">
        <f>C372*1.9</f>
        <v>15.2</v>
      </c>
      <c r="C372" s="319">
        <v>8</v>
      </c>
      <c r="D372" s="376"/>
      <c r="E372" s="243"/>
      <c r="F372" s="243"/>
      <c r="G372" s="243"/>
      <c r="H372" s="243"/>
    </row>
    <row r="373" s="158" customFormat="1" spans="1:8">
      <c r="A373" s="223" t="s">
        <v>185</v>
      </c>
      <c r="B373" s="249">
        <f>C373*3</f>
        <v>2.1</v>
      </c>
      <c r="C373" s="249">
        <v>0.7</v>
      </c>
      <c r="D373" s="257"/>
      <c r="E373" s="243"/>
      <c r="F373" s="243"/>
      <c r="G373" s="243"/>
      <c r="H373" s="243"/>
    </row>
    <row r="374" s="158" customFormat="1" spans="1:8">
      <c r="A374" s="247" t="s">
        <v>186</v>
      </c>
      <c r="B374" s="269">
        <f>C374</f>
        <v>2.5</v>
      </c>
      <c r="C374" s="319">
        <v>2.5</v>
      </c>
      <c r="D374" s="376"/>
      <c r="E374" s="243"/>
      <c r="F374" s="243"/>
      <c r="G374" s="243"/>
      <c r="H374" s="243"/>
    </row>
    <row r="375" s="158" customFormat="1" spans="1:8">
      <c r="A375" s="471" t="s">
        <v>25</v>
      </c>
      <c r="B375" s="214">
        <f>C375</f>
        <v>0.6</v>
      </c>
      <c r="C375" s="297">
        <v>0.6</v>
      </c>
      <c r="D375" s="344"/>
      <c r="E375" s="243"/>
      <c r="F375" s="243"/>
      <c r="G375" s="243"/>
      <c r="H375" s="243"/>
    </row>
    <row r="376" s="158" customFormat="1" spans="1:8">
      <c r="A376" s="470" t="s">
        <v>46</v>
      </c>
      <c r="B376" s="222">
        <f>C376</f>
        <v>5.14</v>
      </c>
      <c r="C376" s="222">
        <v>5.14</v>
      </c>
      <c r="D376" s="347"/>
      <c r="E376" s="243"/>
      <c r="F376" s="243"/>
      <c r="G376" s="243"/>
      <c r="H376" s="243"/>
    </row>
    <row r="377" s="158" customFormat="1" spans="1:8">
      <c r="A377" s="223" t="s">
        <v>29</v>
      </c>
      <c r="B377" s="224">
        <f>C377</f>
        <v>155</v>
      </c>
      <c r="C377" s="224">
        <v>155</v>
      </c>
      <c r="D377" s="390"/>
      <c r="E377" s="243"/>
      <c r="F377" s="243"/>
      <c r="G377" s="243"/>
      <c r="H377" s="243"/>
    </row>
    <row r="378" s="158" customFormat="1" spans="1:8">
      <c r="A378" s="223" t="s">
        <v>47</v>
      </c>
      <c r="B378" s="319">
        <f>C378*1.35</f>
        <v>1.35</v>
      </c>
      <c r="C378" s="319">
        <v>1</v>
      </c>
      <c r="D378" s="221"/>
      <c r="E378" s="243"/>
      <c r="F378" s="243"/>
      <c r="G378" s="243"/>
      <c r="H378" s="243"/>
    </row>
    <row r="379" s="158" customFormat="1" ht="15.75" spans="1:8">
      <c r="A379" s="472" t="s">
        <v>187</v>
      </c>
      <c r="B379" s="473"/>
      <c r="C379" s="474"/>
      <c r="D379" s="228" t="s">
        <v>163</v>
      </c>
      <c r="E379" s="190">
        <v>7.4</v>
      </c>
      <c r="F379" s="190">
        <v>14.02</v>
      </c>
      <c r="G379" s="190">
        <v>5.6</v>
      </c>
      <c r="H379" s="190">
        <v>153.6</v>
      </c>
    </row>
    <row r="380" s="158" customFormat="1" spans="1:8">
      <c r="A380" s="264" t="s">
        <v>50</v>
      </c>
      <c r="B380" s="265">
        <f>C380*1.08</f>
        <v>48.6</v>
      </c>
      <c r="C380" s="265">
        <v>45</v>
      </c>
      <c r="D380" s="266"/>
      <c r="E380" s="243"/>
      <c r="F380" s="243"/>
      <c r="G380" s="243"/>
      <c r="H380" s="243"/>
    </row>
    <row r="381" s="158" customFormat="1" spans="1:8">
      <c r="A381" s="403" t="s">
        <v>40</v>
      </c>
      <c r="B381" s="432">
        <f>C381*1.19</f>
        <v>17.85</v>
      </c>
      <c r="C381" s="432">
        <v>15</v>
      </c>
      <c r="D381" s="266"/>
      <c r="E381" s="243"/>
      <c r="F381" s="243"/>
      <c r="G381" s="243"/>
      <c r="H381" s="243"/>
    </row>
    <row r="382" s="158" customFormat="1" spans="1:8">
      <c r="A382" s="247" t="s">
        <v>39</v>
      </c>
      <c r="B382" s="256">
        <f>C382*1.25</f>
        <v>20</v>
      </c>
      <c r="C382" s="336">
        <v>16</v>
      </c>
      <c r="D382" s="266"/>
      <c r="E382" s="243"/>
      <c r="F382" s="243"/>
      <c r="G382" s="243"/>
      <c r="H382" s="243"/>
    </row>
    <row r="383" s="158" customFormat="1" spans="1:8">
      <c r="A383" s="247" t="s">
        <v>86</v>
      </c>
      <c r="B383" s="249">
        <f>C383*1.33</f>
        <v>21.28</v>
      </c>
      <c r="C383" s="249">
        <v>16</v>
      </c>
      <c r="D383" s="266"/>
      <c r="E383" s="243"/>
      <c r="F383" s="243"/>
      <c r="G383" s="243"/>
      <c r="H383" s="243"/>
    </row>
    <row r="384" s="158" customFormat="1" spans="1:8">
      <c r="A384" s="332" t="s">
        <v>188</v>
      </c>
      <c r="B384" s="296">
        <f>C384*1.33</f>
        <v>18.62</v>
      </c>
      <c r="C384" s="475">
        <v>14</v>
      </c>
      <c r="D384" s="476"/>
      <c r="E384" s="243"/>
      <c r="F384" s="243"/>
      <c r="G384" s="243"/>
      <c r="H384" s="243"/>
    </row>
    <row r="385" s="158" customFormat="1" spans="1:8">
      <c r="A385" s="332" t="s">
        <v>189</v>
      </c>
      <c r="B385" s="296">
        <f>C385</f>
        <v>14</v>
      </c>
      <c r="C385" s="475">
        <v>14</v>
      </c>
      <c r="D385" s="476"/>
      <c r="E385" s="243"/>
      <c r="F385" s="243"/>
      <c r="G385" s="243"/>
      <c r="H385" s="243"/>
    </row>
    <row r="386" s="158" customFormat="1" spans="1:8">
      <c r="A386" s="403" t="s">
        <v>51</v>
      </c>
      <c r="B386" s="265">
        <f t="shared" ref="B386:B392" si="17">C386</f>
        <v>6</v>
      </c>
      <c r="C386" s="265">
        <v>6</v>
      </c>
      <c r="D386" s="266"/>
      <c r="E386" s="243"/>
      <c r="F386" s="243"/>
      <c r="G386" s="243"/>
      <c r="H386" s="243"/>
    </row>
    <row r="387" s="158" customFormat="1" spans="1:8">
      <c r="A387" s="292" t="s">
        <v>186</v>
      </c>
      <c r="B387" s="265">
        <f t="shared" si="17"/>
        <v>5</v>
      </c>
      <c r="C387" s="265">
        <v>5</v>
      </c>
      <c r="D387" s="266"/>
      <c r="E387" s="243"/>
      <c r="F387" s="243"/>
      <c r="G387" s="243"/>
      <c r="H387" s="243"/>
    </row>
    <row r="388" s="158" customFormat="1" spans="1:8">
      <c r="A388" s="403" t="s">
        <v>29</v>
      </c>
      <c r="B388" s="432">
        <f t="shared" si="17"/>
        <v>100</v>
      </c>
      <c r="C388" s="432">
        <v>100</v>
      </c>
      <c r="D388" s="293"/>
      <c r="E388" s="243"/>
      <c r="F388" s="243"/>
      <c r="G388" s="243"/>
      <c r="H388" s="243"/>
    </row>
    <row r="389" s="158" customFormat="1" spans="1:8">
      <c r="A389" s="477" t="s">
        <v>25</v>
      </c>
      <c r="B389" s="432">
        <f t="shared" si="17"/>
        <v>0.6</v>
      </c>
      <c r="C389" s="265">
        <v>0.6</v>
      </c>
      <c r="D389" s="293"/>
      <c r="E389" s="243"/>
      <c r="F389" s="243"/>
      <c r="G389" s="243"/>
      <c r="H389" s="243"/>
    </row>
    <row r="390" s="158" customFormat="1" spans="1:8">
      <c r="A390" s="478" t="s">
        <v>26</v>
      </c>
      <c r="B390" s="265">
        <f t="shared" si="17"/>
        <v>1.2</v>
      </c>
      <c r="C390" s="265">
        <v>1.2</v>
      </c>
      <c r="D390" s="266"/>
      <c r="E390" s="243"/>
      <c r="F390" s="243"/>
      <c r="G390" s="243"/>
      <c r="H390" s="243"/>
    </row>
    <row r="391" s="158" customFormat="1" spans="1:8">
      <c r="A391" s="477" t="s">
        <v>190</v>
      </c>
      <c r="B391" s="432">
        <f t="shared" si="17"/>
        <v>0.01</v>
      </c>
      <c r="C391" s="265">
        <v>0.01</v>
      </c>
      <c r="D391" s="293"/>
      <c r="E391" s="243"/>
      <c r="F391" s="243"/>
      <c r="G391" s="243"/>
      <c r="H391" s="243"/>
    </row>
    <row r="392" s="158" customFormat="1" spans="1:8">
      <c r="A392" s="477" t="s">
        <v>191</v>
      </c>
      <c r="B392" s="432">
        <f t="shared" si="17"/>
        <v>0.01</v>
      </c>
      <c r="C392" s="265">
        <v>0.01</v>
      </c>
      <c r="D392" s="293"/>
      <c r="E392" s="243"/>
      <c r="F392" s="243"/>
      <c r="G392" s="243"/>
      <c r="H392" s="243"/>
    </row>
    <row r="393" s="158" customFormat="1" spans="1:8">
      <c r="A393" s="478" t="s">
        <v>160</v>
      </c>
      <c r="B393" s="479">
        <f>C393*1.2</f>
        <v>0.6</v>
      </c>
      <c r="C393" s="479">
        <v>0.5</v>
      </c>
      <c r="D393" s="480"/>
      <c r="E393" s="243"/>
      <c r="F393" s="243"/>
      <c r="G393" s="243"/>
      <c r="H393" s="243"/>
    </row>
    <row r="394" s="158" customFormat="1" ht="15.75" spans="1:8">
      <c r="A394" s="274" t="s">
        <v>55</v>
      </c>
      <c r="B394" s="275"/>
      <c r="C394" s="276"/>
      <c r="D394" s="277">
        <v>150</v>
      </c>
      <c r="E394" s="190">
        <v>5.98</v>
      </c>
      <c r="F394" s="190">
        <v>4.25</v>
      </c>
      <c r="G394" s="190">
        <v>40.82</v>
      </c>
      <c r="H394" s="190">
        <v>209.18</v>
      </c>
    </row>
    <row r="395" s="158" customFormat="1" spans="1:8">
      <c r="A395" s="219" t="s">
        <v>56</v>
      </c>
      <c r="B395" s="269">
        <f>C395</f>
        <v>57</v>
      </c>
      <c r="C395" s="269">
        <v>57</v>
      </c>
      <c r="D395" s="270"/>
      <c r="E395" s="243"/>
      <c r="F395" s="243"/>
      <c r="G395" s="243"/>
      <c r="H395" s="243"/>
    </row>
    <row r="396" s="158" customFormat="1" spans="1:8">
      <c r="A396" s="213" t="s">
        <v>25</v>
      </c>
      <c r="B396" s="214">
        <f>C396</f>
        <v>1.5</v>
      </c>
      <c r="C396" s="269">
        <v>1.5</v>
      </c>
      <c r="D396" s="270"/>
      <c r="E396" s="243"/>
      <c r="F396" s="243"/>
      <c r="G396" s="243"/>
      <c r="H396" s="243"/>
    </row>
    <row r="397" s="158" customFormat="1" spans="1:8">
      <c r="A397" s="219" t="s">
        <v>29</v>
      </c>
      <c r="B397" s="269">
        <f>C397</f>
        <v>360</v>
      </c>
      <c r="C397" s="269">
        <v>360</v>
      </c>
      <c r="D397" s="270"/>
      <c r="E397" s="243"/>
      <c r="F397" s="243"/>
      <c r="G397" s="243"/>
      <c r="H397" s="243"/>
    </row>
    <row r="398" s="158" customFormat="1" spans="1:8">
      <c r="A398" s="191" t="s">
        <v>16</v>
      </c>
      <c r="B398" s="269">
        <f>C398</f>
        <v>5</v>
      </c>
      <c r="C398" s="269">
        <v>5</v>
      </c>
      <c r="D398" s="270"/>
      <c r="E398" s="243"/>
      <c r="F398" s="243"/>
      <c r="G398" s="243"/>
      <c r="H398" s="243"/>
    </row>
    <row r="399" s="158" customFormat="1" customHeight="1" spans="1:8">
      <c r="A399" s="326" t="s">
        <v>192</v>
      </c>
      <c r="B399" s="326"/>
      <c r="C399" s="326"/>
      <c r="D399" s="481">
        <v>200</v>
      </c>
      <c r="E399" s="284">
        <v>0.5</v>
      </c>
      <c r="F399" s="284">
        <v>0</v>
      </c>
      <c r="G399" s="284">
        <v>20.36</v>
      </c>
      <c r="H399" s="284">
        <v>121.28</v>
      </c>
    </row>
    <row r="400" s="158" customFormat="1" spans="1:8">
      <c r="A400" s="191" t="s">
        <v>193</v>
      </c>
      <c r="B400" s="192">
        <f>C400*1.13</f>
        <v>28.25</v>
      </c>
      <c r="C400" s="192">
        <v>25</v>
      </c>
      <c r="D400" s="193"/>
      <c r="E400" s="243"/>
      <c r="F400" s="243"/>
      <c r="G400" s="243"/>
      <c r="H400" s="243"/>
    </row>
    <row r="401" s="158" customFormat="1" spans="1:8">
      <c r="A401" s="208" t="s">
        <v>26</v>
      </c>
      <c r="B401" s="192">
        <f>C401</f>
        <v>15</v>
      </c>
      <c r="C401" s="192">
        <v>15</v>
      </c>
      <c r="D401" s="193"/>
      <c r="E401" s="243"/>
      <c r="F401" s="243"/>
      <c r="G401" s="243"/>
      <c r="H401" s="243"/>
    </row>
    <row r="402" s="158" customFormat="1" spans="1:8">
      <c r="A402" s="419" t="s">
        <v>149</v>
      </c>
      <c r="B402" s="192">
        <f>C402*1.14</f>
        <v>5.7</v>
      </c>
      <c r="C402" s="220">
        <v>5</v>
      </c>
      <c r="D402" s="193"/>
      <c r="E402" s="243"/>
      <c r="F402" s="243"/>
      <c r="G402" s="243"/>
      <c r="H402" s="243"/>
    </row>
    <row r="403" s="158" customFormat="1" spans="1:8">
      <c r="A403" s="191" t="s">
        <v>29</v>
      </c>
      <c r="B403" s="192">
        <f>C403</f>
        <v>215</v>
      </c>
      <c r="C403" s="192">
        <v>215</v>
      </c>
      <c r="D403" s="193"/>
      <c r="E403" s="243"/>
      <c r="F403" s="243"/>
      <c r="G403" s="243"/>
      <c r="H403" s="243"/>
    </row>
    <row r="404" s="158" customFormat="1" spans="1:8">
      <c r="A404" s="191"/>
      <c r="B404" s="192"/>
      <c r="C404" s="192"/>
      <c r="D404" s="193"/>
      <c r="E404" s="243"/>
      <c r="F404" s="243"/>
      <c r="G404" s="243"/>
      <c r="H404" s="243"/>
    </row>
    <row r="405" s="158" customFormat="1" ht="15.75" spans="1:8">
      <c r="A405" s="225" t="s">
        <v>30</v>
      </c>
      <c r="B405" s="249"/>
      <c r="C405" s="285"/>
      <c r="D405" s="230">
        <v>25</v>
      </c>
      <c r="E405" s="190">
        <v>1.4</v>
      </c>
      <c r="F405" s="190">
        <v>0.247</v>
      </c>
      <c r="G405" s="190">
        <v>14.37</v>
      </c>
      <c r="H405" s="190">
        <v>69.1</v>
      </c>
    </row>
    <row r="406" s="158" customFormat="1" ht="15.75" spans="1:8">
      <c r="A406" s="286" t="s">
        <v>59</v>
      </c>
      <c r="B406" s="287"/>
      <c r="C406" s="287"/>
      <c r="D406" s="283">
        <v>25</v>
      </c>
      <c r="E406" s="190">
        <v>1.11</v>
      </c>
      <c r="F406" s="190">
        <v>0.21</v>
      </c>
      <c r="G406" s="190">
        <v>11.57</v>
      </c>
      <c r="H406" s="190">
        <v>55.25</v>
      </c>
    </row>
    <row r="407" ht="19.5" spans="1:8">
      <c r="A407" s="183" t="s">
        <v>60</v>
      </c>
      <c r="B407" s="288"/>
      <c r="C407" s="288"/>
      <c r="D407" s="447"/>
      <c r="E407" s="377">
        <f>SUM(E408:E419)</f>
        <v>7.52</v>
      </c>
      <c r="F407" s="377">
        <f>SUM(F408:F419)</f>
        <v>8.3</v>
      </c>
      <c r="G407" s="377">
        <f>SUM(G408:G419)</f>
        <v>35.03</v>
      </c>
      <c r="H407" s="377">
        <f>SUM(H408:H419)</f>
        <v>244.5</v>
      </c>
    </row>
    <row r="408" s="163" customFormat="1" ht="15.75" spans="1:8">
      <c r="A408" s="412" t="s">
        <v>194</v>
      </c>
      <c r="B408" s="269"/>
      <c r="C408" s="269"/>
      <c r="D408" s="283">
        <v>60</v>
      </c>
      <c r="E408" s="291">
        <v>5.18</v>
      </c>
      <c r="F408" s="291">
        <v>5.46</v>
      </c>
      <c r="G408" s="291">
        <v>15.01</v>
      </c>
      <c r="H408" s="291">
        <v>145.64</v>
      </c>
    </row>
    <row r="409" s="158" customFormat="1" spans="1:8">
      <c r="A409" s="268" t="s">
        <v>195</v>
      </c>
      <c r="B409" s="269">
        <f t="shared" ref="B409:B413" si="18">C409</f>
        <v>65</v>
      </c>
      <c r="C409" s="269">
        <v>65</v>
      </c>
      <c r="D409" s="270"/>
      <c r="E409" s="243"/>
      <c r="F409" s="243"/>
      <c r="G409" s="243"/>
      <c r="H409" s="243"/>
    </row>
    <row r="410" s="158" customFormat="1" spans="1:8">
      <c r="A410" s="208" t="s">
        <v>26</v>
      </c>
      <c r="B410" s="269">
        <f t="shared" si="18"/>
        <v>4</v>
      </c>
      <c r="C410" s="269">
        <v>4</v>
      </c>
      <c r="D410" s="270"/>
      <c r="E410" s="243"/>
      <c r="F410" s="243"/>
      <c r="G410" s="243"/>
      <c r="H410" s="243"/>
    </row>
    <row r="411" s="158" customFormat="1" spans="1:8">
      <c r="A411" s="268" t="s">
        <v>171</v>
      </c>
      <c r="B411" s="269">
        <f t="shared" si="18"/>
        <v>1</v>
      </c>
      <c r="C411" s="269">
        <v>1</v>
      </c>
      <c r="D411" s="270"/>
      <c r="E411" s="243"/>
      <c r="F411" s="243"/>
      <c r="G411" s="243"/>
      <c r="H411" s="243"/>
    </row>
    <row r="412" s="158" customFormat="1" spans="1:8">
      <c r="A412" s="202" t="s">
        <v>19</v>
      </c>
      <c r="B412" s="269">
        <f t="shared" si="18"/>
        <v>2</v>
      </c>
      <c r="C412" s="269">
        <v>2</v>
      </c>
      <c r="D412" s="270"/>
      <c r="E412" s="243"/>
      <c r="F412" s="243"/>
      <c r="G412" s="243"/>
      <c r="H412" s="243"/>
    </row>
    <row r="413" s="158" customFormat="1" spans="1:8">
      <c r="A413" s="482" t="s">
        <v>95</v>
      </c>
      <c r="B413" s="269">
        <f t="shared" si="18"/>
        <v>1</v>
      </c>
      <c r="C413" s="269">
        <v>1</v>
      </c>
      <c r="D413" s="270"/>
      <c r="E413" s="243"/>
      <c r="F413" s="243"/>
      <c r="G413" s="243"/>
      <c r="H413" s="243"/>
    </row>
    <row r="414" s="158" customFormat="1" ht="14.25" spans="1:8">
      <c r="A414" s="483" t="s">
        <v>54</v>
      </c>
      <c r="B414" s="300"/>
      <c r="C414" s="300">
        <f>C412+C411+C410+C409</f>
        <v>72</v>
      </c>
      <c r="D414" s="270"/>
      <c r="E414" s="243"/>
      <c r="F414" s="243"/>
      <c r="G414" s="243"/>
      <c r="H414" s="243"/>
    </row>
    <row r="415" s="158" customFormat="1" ht="15.75" spans="1:8">
      <c r="A415" s="374" t="s">
        <v>196</v>
      </c>
      <c r="B415" s="374"/>
      <c r="C415" s="374"/>
      <c r="D415" s="375">
        <v>200</v>
      </c>
      <c r="E415" s="190">
        <v>0.14</v>
      </c>
      <c r="F415" s="190">
        <v>0.04</v>
      </c>
      <c r="G415" s="190">
        <v>10.02</v>
      </c>
      <c r="H415" s="190">
        <v>40.86</v>
      </c>
    </row>
    <row r="416" s="158" customFormat="1" spans="1:8">
      <c r="A416" s="219" t="s">
        <v>28</v>
      </c>
      <c r="B416" s="269">
        <f>C416</f>
        <v>0.7</v>
      </c>
      <c r="C416" s="220">
        <v>0.7</v>
      </c>
      <c r="D416" s="376"/>
      <c r="E416" s="243"/>
      <c r="F416" s="243"/>
      <c r="G416" s="243"/>
      <c r="H416" s="243"/>
    </row>
    <row r="417" s="158" customFormat="1" spans="1:8">
      <c r="A417" s="219" t="s">
        <v>29</v>
      </c>
      <c r="B417" s="269">
        <f>C417</f>
        <v>210</v>
      </c>
      <c r="C417" s="269">
        <v>210</v>
      </c>
      <c r="D417" s="376"/>
      <c r="E417" s="243"/>
      <c r="F417" s="243"/>
      <c r="G417" s="243"/>
      <c r="H417" s="243"/>
    </row>
    <row r="418" s="158" customFormat="1" spans="1:8">
      <c r="A418" s="208" t="s">
        <v>26</v>
      </c>
      <c r="B418" s="269">
        <f>C418</f>
        <v>10</v>
      </c>
      <c r="C418" s="269">
        <v>10</v>
      </c>
      <c r="D418" s="376"/>
      <c r="E418" s="243"/>
      <c r="F418" s="243"/>
      <c r="G418" s="243"/>
      <c r="H418" s="243"/>
    </row>
    <row r="419" s="158" customFormat="1" ht="15.75" spans="1:8">
      <c r="A419" s="229" t="s">
        <v>69</v>
      </c>
      <c r="B419" s="224"/>
      <c r="C419" s="224"/>
      <c r="D419" s="230">
        <v>125</v>
      </c>
      <c r="E419" s="190">
        <v>2.2</v>
      </c>
      <c r="F419" s="190">
        <v>2.8</v>
      </c>
      <c r="G419" s="190">
        <v>10</v>
      </c>
      <c r="H419" s="190">
        <v>58</v>
      </c>
    </row>
    <row r="420" ht="18.75" spans="1:8">
      <c r="A420" s="309" t="s">
        <v>70</v>
      </c>
      <c r="B420" s="310"/>
      <c r="C420" s="310"/>
      <c r="D420" s="311"/>
      <c r="E420" s="312">
        <f>E407+E364+E345</f>
        <v>46.64</v>
      </c>
      <c r="F420" s="312">
        <f>F407+F364+F345</f>
        <v>47.767</v>
      </c>
      <c r="G420" s="312">
        <f>G407+G364+G345</f>
        <v>208.28</v>
      </c>
      <c r="H420" s="312">
        <f>H407+H364+H345</f>
        <v>1465.62</v>
      </c>
    </row>
    <row r="421" ht="32.25" customHeight="1" spans="1:8">
      <c r="A421" s="484" t="s">
        <v>197</v>
      </c>
      <c r="B421" s="485"/>
      <c r="C421" s="485"/>
      <c r="D421" s="485"/>
      <c r="E421" s="485"/>
      <c r="F421" s="485"/>
      <c r="G421" s="485"/>
      <c r="H421" s="486"/>
    </row>
    <row r="422" ht="33" customHeight="1" spans="1:8">
      <c r="A422" s="487" t="s">
        <v>198</v>
      </c>
      <c r="B422" s="488"/>
      <c r="C422" s="488"/>
      <c r="D422" s="488"/>
      <c r="E422" s="488"/>
      <c r="F422" s="488"/>
      <c r="G422" s="488"/>
      <c r="H422" s="489"/>
    </row>
    <row r="423" ht="26.25" customHeight="1" spans="1:8">
      <c r="A423" s="177" t="s">
        <v>5</v>
      </c>
      <c r="B423" s="177" t="s">
        <v>6</v>
      </c>
      <c r="C423" s="177" t="s">
        <v>7</v>
      </c>
      <c r="D423" s="178" t="s">
        <v>8</v>
      </c>
      <c r="E423" s="179" t="s">
        <v>9</v>
      </c>
      <c r="F423" s="179" t="s">
        <v>10</v>
      </c>
      <c r="G423" s="179" t="s">
        <v>11</v>
      </c>
      <c r="H423" s="179" t="s">
        <v>12</v>
      </c>
    </row>
    <row r="424" ht="24" customHeight="1" spans="1:8">
      <c r="A424" s="180"/>
      <c r="B424" s="180"/>
      <c r="C424" s="180"/>
      <c r="D424" s="181"/>
      <c r="E424" s="182"/>
      <c r="F424" s="182"/>
      <c r="G424" s="182"/>
      <c r="H424" s="182"/>
    </row>
    <row r="425" ht="21.75" customHeight="1" spans="1:8">
      <c r="A425" s="183" t="s">
        <v>13</v>
      </c>
      <c r="B425" s="183"/>
      <c r="C425" s="183"/>
      <c r="D425" s="184">
        <v>500</v>
      </c>
      <c r="E425" s="490">
        <f>SUM(E426:E442)</f>
        <v>16.16</v>
      </c>
      <c r="F425" s="490">
        <f>SUM(F426:F442)</f>
        <v>16.55</v>
      </c>
      <c r="G425" s="490">
        <f>SUM(G426:G442)</f>
        <v>64.22</v>
      </c>
      <c r="H425" s="377">
        <f>SUM(H426:H442)</f>
        <v>463.42</v>
      </c>
    </row>
    <row r="426" s="154" customFormat="1" ht="15.75" spans="1:8">
      <c r="A426" s="186" t="s">
        <v>72</v>
      </c>
      <c r="B426" s="187"/>
      <c r="C426" s="188"/>
      <c r="D426" s="189" t="s">
        <v>199</v>
      </c>
      <c r="E426" s="314">
        <v>3.44</v>
      </c>
      <c r="F426" s="314">
        <v>2.74</v>
      </c>
      <c r="G426" s="314">
        <v>8.96</v>
      </c>
      <c r="H426" s="315">
        <v>73.64</v>
      </c>
    </row>
    <row r="427" s="154" customFormat="1" spans="1:8">
      <c r="A427" s="318" t="s">
        <v>74</v>
      </c>
      <c r="B427" s="319">
        <f>C427*1.01</f>
        <v>12.12</v>
      </c>
      <c r="C427" s="319">
        <v>12</v>
      </c>
      <c r="D427" s="197"/>
      <c r="E427" s="231"/>
      <c r="F427" s="231"/>
      <c r="G427" s="231"/>
      <c r="H427" s="231"/>
    </row>
    <row r="428" s="154" customFormat="1" spans="1:8">
      <c r="A428" s="195" t="s">
        <v>17</v>
      </c>
      <c r="B428" s="196">
        <f>C428</f>
        <v>18</v>
      </c>
      <c r="C428" s="196">
        <v>18</v>
      </c>
      <c r="D428" s="197"/>
      <c r="E428" s="231"/>
      <c r="F428" s="231"/>
      <c r="G428" s="231"/>
      <c r="H428" s="231"/>
    </row>
    <row r="429" s="154" customFormat="1" ht="15.75" spans="1:8">
      <c r="A429" s="204" t="s">
        <v>200</v>
      </c>
      <c r="B429" s="205"/>
      <c r="C429" s="206"/>
      <c r="D429" s="207" t="s">
        <v>146</v>
      </c>
      <c r="E429" s="190">
        <v>4.25</v>
      </c>
      <c r="F429" s="190">
        <v>4.85</v>
      </c>
      <c r="G429" s="190">
        <v>18.21</v>
      </c>
      <c r="H429" s="190">
        <v>129.26</v>
      </c>
    </row>
    <row r="430" s="154" customFormat="1" spans="1:8">
      <c r="A430" s="208" t="s">
        <v>101</v>
      </c>
      <c r="B430" s="192">
        <f t="shared" ref="B430:B435" si="19">C430</f>
        <v>19</v>
      </c>
      <c r="C430" s="192">
        <v>19</v>
      </c>
      <c r="D430" s="370"/>
      <c r="E430" s="231"/>
      <c r="F430" s="231"/>
      <c r="G430" s="231"/>
      <c r="H430" s="231"/>
    </row>
    <row r="431" s="154" customFormat="1" spans="1:8">
      <c r="A431" s="209" t="s">
        <v>23</v>
      </c>
      <c r="B431" s="192">
        <f t="shared" si="19"/>
        <v>64.5</v>
      </c>
      <c r="C431" s="210">
        <v>64.5</v>
      </c>
      <c r="D431" s="370"/>
      <c r="E431" s="231"/>
      <c r="F431" s="231"/>
      <c r="G431" s="231"/>
      <c r="H431" s="231"/>
    </row>
    <row r="432" s="154" customFormat="1" spans="1:8">
      <c r="A432" s="212" t="s">
        <v>24</v>
      </c>
      <c r="B432" s="192">
        <f t="shared" si="19"/>
        <v>72</v>
      </c>
      <c r="C432" s="210">
        <v>72</v>
      </c>
      <c r="D432" s="370"/>
      <c r="E432" s="231"/>
      <c r="F432" s="231"/>
      <c r="G432" s="231"/>
      <c r="H432" s="231"/>
    </row>
    <row r="433" s="154" customFormat="1" spans="1:8">
      <c r="A433" s="208" t="s">
        <v>26</v>
      </c>
      <c r="B433" s="192">
        <f t="shared" si="19"/>
        <v>3</v>
      </c>
      <c r="C433" s="192">
        <v>3</v>
      </c>
      <c r="D433" s="370"/>
      <c r="E433" s="231"/>
      <c r="F433" s="231"/>
      <c r="G433" s="231"/>
      <c r="H433" s="231"/>
    </row>
    <row r="434" s="154" customFormat="1" spans="1:8">
      <c r="A434" s="213" t="s">
        <v>25</v>
      </c>
      <c r="B434" s="214">
        <f t="shared" si="19"/>
        <v>0.6</v>
      </c>
      <c r="C434" s="269">
        <v>0.6</v>
      </c>
      <c r="D434" s="370"/>
      <c r="E434" s="231"/>
      <c r="F434" s="231"/>
      <c r="G434" s="231"/>
      <c r="H434" s="231"/>
    </row>
    <row r="435" s="154" customFormat="1" spans="1:8">
      <c r="A435" s="191" t="s">
        <v>16</v>
      </c>
      <c r="B435" s="241">
        <f t="shared" si="19"/>
        <v>2.3</v>
      </c>
      <c r="C435" s="241">
        <v>2.3</v>
      </c>
      <c r="D435" s="370"/>
      <c r="E435" s="231"/>
      <c r="F435" s="231"/>
      <c r="G435" s="231"/>
      <c r="H435" s="231"/>
    </row>
    <row r="436" s="154" customFormat="1" ht="15.75" spans="1:8">
      <c r="A436" s="321" t="s">
        <v>201</v>
      </c>
      <c r="B436" s="321"/>
      <c r="C436" s="321"/>
      <c r="D436" s="322" t="s">
        <v>21</v>
      </c>
      <c r="E436" s="190">
        <v>4.18</v>
      </c>
      <c r="F436" s="190">
        <v>4.54</v>
      </c>
      <c r="G436" s="190">
        <v>17.12</v>
      </c>
      <c r="H436" s="190">
        <v>117.82</v>
      </c>
    </row>
    <row r="437" s="154" customFormat="1" spans="1:8">
      <c r="A437" s="219" t="s">
        <v>202</v>
      </c>
      <c r="B437" s="269">
        <f>C437</f>
        <v>4.5</v>
      </c>
      <c r="C437" s="269">
        <v>4.5</v>
      </c>
      <c r="D437" s="376"/>
      <c r="E437" s="231"/>
      <c r="F437" s="231"/>
      <c r="G437" s="231"/>
      <c r="H437" s="231"/>
    </row>
    <row r="438" s="154" customFormat="1" spans="1:8">
      <c r="A438" s="219" t="s">
        <v>29</v>
      </c>
      <c r="B438" s="269">
        <f>C438</f>
        <v>92</v>
      </c>
      <c r="C438" s="269">
        <v>92</v>
      </c>
      <c r="D438" s="376"/>
      <c r="E438" s="231"/>
      <c r="F438" s="231"/>
      <c r="G438" s="231"/>
      <c r="H438" s="231"/>
    </row>
    <row r="439" s="154" customFormat="1" spans="1:8">
      <c r="A439" s="208" t="s">
        <v>26</v>
      </c>
      <c r="B439" s="269">
        <f>C439</f>
        <v>7.94</v>
      </c>
      <c r="C439" s="269">
        <v>7.94</v>
      </c>
      <c r="D439" s="376"/>
      <c r="E439" s="231"/>
      <c r="F439" s="231"/>
      <c r="G439" s="231"/>
      <c r="H439" s="231"/>
    </row>
    <row r="440" s="154" customFormat="1" spans="1:8">
      <c r="A440" s="212" t="s">
        <v>24</v>
      </c>
      <c r="B440" s="249">
        <f>C440</f>
        <v>108</v>
      </c>
      <c r="C440" s="249">
        <v>108</v>
      </c>
      <c r="D440" s="376"/>
      <c r="E440" s="231"/>
      <c r="F440" s="231"/>
      <c r="G440" s="231"/>
      <c r="H440" s="231"/>
    </row>
    <row r="441" s="154" customFormat="1" ht="15.75" spans="1:8">
      <c r="A441" s="286" t="s">
        <v>59</v>
      </c>
      <c r="B441" s="287"/>
      <c r="C441" s="287"/>
      <c r="D441" s="283">
        <v>20</v>
      </c>
      <c r="E441" s="190">
        <v>0.89</v>
      </c>
      <c r="F441" s="190">
        <v>0.17</v>
      </c>
      <c r="G441" s="190">
        <v>9.26</v>
      </c>
      <c r="H441" s="190">
        <v>44.2</v>
      </c>
    </row>
    <row r="442" s="154" customFormat="1" ht="15.75" spans="1:8">
      <c r="A442" s="326" t="s">
        <v>203</v>
      </c>
      <c r="B442" s="326"/>
      <c r="C442" s="326"/>
      <c r="D442" s="218" t="s">
        <v>81</v>
      </c>
      <c r="E442" s="190">
        <v>3.4</v>
      </c>
      <c r="F442" s="190">
        <v>4.25</v>
      </c>
      <c r="G442" s="190">
        <v>10.67</v>
      </c>
      <c r="H442" s="190">
        <v>98.5</v>
      </c>
    </row>
    <row r="443" ht="19.5" spans="1:8">
      <c r="A443" s="183" t="s">
        <v>32</v>
      </c>
      <c r="B443" s="232"/>
      <c r="C443" s="232"/>
      <c r="D443" s="411" t="s">
        <v>204</v>
      </c>
      <c r="E443" s="377">
        <f>SUM(E444:E479)</f>
        <v>24.1</v>
      </c>
      <c r="F443" s="377">
        <f>SUM(F444:F479)</f>
        <v>24.73</v>
      </c>
      <c r="G443" s="377">
        <f>SUM(G444:G479)</f>
        <v>100.17</v>
      </c>
      <c r="H443" s="377">
        <f>SUM(H444:H479)</f>
        <v>731.68</v>
      </c>
    </row>
    <row r="444" s="163" customFormat="1" ht="15.75" spans="1:8">
      <c r="A444" s="491" t="s">
        <v>205</v>
      </c>
      <c r="B444" s="492"/>
      <c r="C444" s="492"/>
      <c r="D444" s="493">
        <v>60</v>
      </c>
      <c r="E444" s="327">
        <v>0.48</v>
      </c>
      <c r="F444" s="327">
        <v>0.06</v>
      </c>
      <c r="G444" s="327">
        <v>1.02</v>
      </c>
      <c r="H444" s="327">
        <v>6.6</v>
      </c>
    </row>
    <row r="445" s="154" customFormat="1" ht="15.75" spans="1:8">
      <c r="A445" s="494" t="s">
        <v>87</v>
      </c>
      <c r="B445" s="495">
        <f>C445*1.9</f>
        <v>114</v>
      </c>
      <c r="C445" s="239">
        <v>60</v>
      </c>
      <c r="D445" s="496"/>
      <c r="E445" s="231"/>
      <c r="F445" s="231"/>
      <c r="G445" s="231"/>
      <c r="H445" s="231"/>
    </row>
    <row r="446" s="154" customFormat="1" ht="15.75" spans="1:8">
      <c r="A446" s="497" t="s">
        <v>206</v>
      </c>
      <c r="B446" s="498"/>
      <c r="C446" s="499"/>
      <c r="D446" s="207" t="s">
        <v>207</v>
      </c>
      <c r="E446" s="239">
        <v>8.8</v>
      </c>
      <c r="F446" s="239">
        <v>6.57</v>
      </c>
      <c r="G446" s="239">
        <v>26.37</v>
      </c>
      <c r="H446" s="239">
        <v>189.72</v>
      </c>
    </row>
    <row r="447" s="154" customFormat="1" spans="1:8">
      <c r="A447" s="500" t="s">
        <v>34</v>
      </c>
      <c r="B447" s="265">
        <f>C447*1.45</f>
        <v>17.69</v>
      </c>
      <c r="C447" s="265">
        <f>C448*1.22</f>
        <v>12.2</v>
      </c>
      <c r="D447" s="323"/>
      <c r="E447" s="231"/>
      <c r="F447" s="231"/>
      <c r="G447" s="231"/>
      <c r="H447" s="231"/>
    </row>
    <row r="448" s="154" customFormat="1" spans="1:8">
      <c r="A448" s="501" t="s">
        <v>208</v>
      </c>
      <c r="B448" s="265"/>
      <c r="C448" s="502">
        <v>10</v>
      </c>
      <c r="D448" s="323"/>
      <c r="E448" s="231"/>
      <c r="F448" s="231"/>
      <c r="G448" s="231"/>
      <c r="H448" s="231"/>
    </row>
    <row r="449" s="154" customFormat="1" spans="1:8">
      <c r="A449" s="292" t="s">
        <v>209</v>
      </c>
      <c r="B449" s="265">
        <f>C449</f>
        <v>28</v>
      </c>
      <c r="C449" s="265">
        <v>28</v>
      </c>
      <c r="D449" s="503"/>
      <c r="E449" s="231"/>
      <c r="F449" s="231"/>
      <c r="G449" s="231"/>
      <c r="H449" s="231"/>
    </row>
    <row r="450" s="154" customFormat="1" spans="1:8">
      <c r="A450" s="504" t="s">
        <v>210</v>
      </c>
      <c r="B450" s="505"/>
      <c r="C450" s="506">
        <v>62</v>
      </c>
      <c r="D450" s="503"/>
      <c r="E450" s="231"/>
      <c r="F450" s="231"/>
      <c r="G450" s="231"/>
      <c r="H450" s="231"/>
    </row>
    <row r="451" s="154" customFormat="1" spans="1:8">
      <c r="A451" s="292" t="s">
        <v>160</v>
      </c>
      <c r="B451" s="265">
        <f>C451*1.28</f>
        <v>1.28</v>
      </c>
      <c r="C451" s="265">
        <v>1</v>
      </c>
      <c r="D451" s="503"/>
      <c r="E451" s="231"/>
      <c r="F451" s="231"/>
      <c r="G451" s="231"/>
      <c r="H451" s="231"/>
    </row>
    <row r="452" s="154" customFormat="1" spans="1:8">
      <c r="A452" s="292" t="s">
        <v>40</v>
      </c>
      <c r="B452" s="265">
        <f>C452*1.19</f>
        <v>13.09</v>
      </c>
      <c r="C452" s="265">
        <v>11</v>
      </c>
      <c r="D452" s="503"/>
      <c r="E452" s="231"/>
      <c r="F452" s="231"/>
      <c r="G452" s="231"/>
      <c r="H452" s="231"/>
    </row>
    <row r="453" s="154" customFormat="1" spans="1:8">
      <c r="A453" s="292" t="s">
        <v>51</v>
      </c>
      <c r="B453" s="265">
        <f t="shared" ref="B453:B459" si="20">C453</f>
        <v>4.5</v>
      </c>
      <c r="C453" s="265">
        <v>4.5</v>
      </c>
      <c r="D453" s="503"/>
      <c r="E453" s="231"/>
      <c r="F453" s="231"/>
      <c r="G453" s="231"/>
      <c r="H453" s="231"/>
    </row>
    <row r="454" s="154" customFormat="1" spans="1:8">
      <c r="A454" s="247" t="s">
        <v>36</v>
      </c>
      <c r="B454" s="241">
        <f>C454*1.33</f>
        <v>22.078</v>
      </c>
      <c r="C454" s="241">
        <v>16.6</v>
      </c>
      <c r="D454" s="503"/>
      <c r="E454" s="231"/>
      <c r="F454" s="231"/>
      <c r="G454" s="231"/>
      <c r="H454" s="231"/>
    </row>
    <row r="455" s="154" customFormat="1" spans="1:8">
      <c r="A455" s="247" t="s">
        <v>37</v>
      </c>
      <c r="B455" s="241">
        <f>C455*1.67</f>
        <v>27.722</v>
      </c>
      <c r="C455" s="241">
        <v>16.6</v>
      </c>
      <c r="D455" s="503"/>
      <c r="E455" s="231"/>
      <c r="F455" s="231"/>
      <c r="G455" s="231"/>
      <c r="H455" s="231"/>
    </row>
    <row r="456" s="154" customFormat="1" spans="1:8">
      <c r="A456" s="247" t="s">
        <v>39</v>
      </c>
      <c r="B456" s="256">
        <f>C456*1.25</f>
        <v>13.125</v>
      </c>
      <c r="C456" s="336">
        <v>10.5</v>
      </c>
      <c r="D456" s="503"/>
      <c r="E456" s="231"/>
      <c r="F456" s="231"/>
      <c r="G456" s="231"/>
      <c r="H456" s="231"/>
    </row>
    <row r="457" s="154" customFormat="1" spans="1:8">
      <c r="A457" s="247" t="s">
        <v>86</v>
      </c>
      <c r="B457" s="249">
        <f>C457*1.33</f>
        <v>13.965</v>
      </c>
      <c r="C457" s="336">
        <v>10.5</v>
      </c>
      <c r="D457" s="503"/>
      <c r="E457" s="231"/>
      <c r="F457" s="231"/>
      <c r="G457" s="231"/>
      <c r="H457" s="231"/>
    </row>
    <row r="458" s="154" customFormat="1" spans="1:8">
      <c r="A458" s="318" t="s">
        <v>25</v>
      </c>
      <c r="B458" s="256">
        <f>C458</f>
        <v>1.3</v>
      </c>
      <c r="C458" s="319">
        <v>1.3</v>
      </c>
      <c r="D458" s="503"/>
      <c r="E458" s="231"/>
      <c r="F458" s="231"/>
      <c r="G458" s="231"/>
      <c r="H458" s="231"/>
    </row>
    <row r="459" s="154" customFormat="1" spans="1:8">
      <c r="A459" s="292" t="s">
        <v>29</v>
      </c>
      <c r="B459" s="265">
        <f t="shared" si="20"/>
        <v>160</v>
      </c>
      <c r="C459" s="265">
        <v>160</v>
      </c>
      <c r="D459" s="503"/>
      <c r="E459" s="231"/>
      <c r="F459" s="231"/>
      <c r="G459" s="231"/>
      <c r="H459" s="231"/>
    </row>
    <row r="460" s="154" customFormat="1" spans="1:8">
      <c r="A460" s="500" t="s">
        <v>211</v>
      </c>
      <c r="B460" s="196">
        <f>C460*1.25</f>
        <v>11.25</v>
      </c>
      <c r="C460" s="196">
        <v>9</v>
      </c>
      <c r="D460" s="503"/>
      <c r="E460" s="231"/>
      <c r="F460" s="231"/>
      <c r="G460" s="231"/>
      <c r="H460" s="231"/>
    </row>
    <row r="461" s="154" customFormat="1" spans="1:8">
      <c r="A461" s="500" t="s">
        <v>186</v>
      </c>
      <c r="B461" s="196">
        <f>C461</f>
        <v>5</v>
      </c>
      <c r="C461" s="196">
        <v>5</v>
      </c>
      <c r="D461" s="503"/>
      <c r="E461" s="231"/>
      <c r="F461" s="231"/>
      <c r="G461" s="231"/>
      <c r="H461" s="231"/>
    </row>
    <row r="462" s="154" customFormat="1" ht="15.75" spans="1:8">
      <c r="A462" s="304" t="s">
        <v>212</v>
      </c>
      <c r="B462" s="305"/>
      <c r="C462" s="306"/>
      <c r="D462" s="380" t="s">
        <v>21</v>
      </c>
      <c r="E462" s="190">
        <v>10.67</v>
      </c>
      <c r="F462" s="190">
        <v>17.14</v>
      </c>
      <c r="G462" s="190">
        <v>15.24</v>
      </c>
      <c r="H462" s="190">
        <v>259.41</v>
      </c>
    </row>
    <row r="463" s="154" customFormat="1" spans="1:8">
      <c r="A463" s="424" t="s">
        <v>92</v>
      </c>
      <c r="B463" s="252">
        <f>C463*1.05</f>
        <v>58.8</v>
      </c>
      <c r="C463" s="252">
        <f>C464*1.4</f>
        <v>56</v>
      </c>
      <c r="D463" s="308"/>
      <c r="E463" s="231"/>
      <c r="F463" s="231"/>
      <c r="G463" s="231"/>
      <c r="H463" s="231"/>
    </row>
    <row r="464" s="158" customFormat="1" spans="1:8">
      <c r="A464" s="507" t="s">
        <v>213</v>
      </c>
      <c r="B464" s="508"/>
      <c r="C464" s="469">
        <v>40</v>
      </c>
      <c r="D464" s="308"/>
      <c r="E464" s="243"/>
      <c r="F464" s="243"/>
      <c r="G464" s="243"/>
      <c r="H464" s="243"/>
    </row>
    <row r="465" s="158" customFormat="1" spans="1:8">
      <c r="A465" s="307" t="s">
        <v>165</v>
      </c>
      <c r="B465" s="252">
        <f>C465</f>
        <v>55</v>
      </c>
      <c r="C465" s="252">
        <v>55</v>
      </c>
      <c r="D465" s="308"/>
      <c r="E465" s="243"/>
      <c r="F465" s="243"/>
      <c r="G465" s="243"/>
      <c r="H465" s="243"/>
    </row>
    <row r="466" s="158" customFormat="1" spans="1:8">
      <c r="A466" s="307" t="s">
        <v>29</v>
      </c>
      <c r="B466" s="252">
        <f>C466</f>
        <v>150</v>
      </c>
      <c r="C466" s="252">
        <v>150</v>
      </c>
      <c r="D466" s="308"/>
      <c r="E466" s="243"/>
      <c r="F466" s="243"/>
      <c r="G466" s="243"/>
      <c r="H466" s="243"/>
    </row>
    <row r="467" s="158" customFormat="1" spans="1:8">
      <c r="A467" s="213" t="s">
        <v>25</v>
      </c>
      <c r="B467" s="214">
        <f>C467</f>
        <v>0.5</v>
      </c>
      <c r="C467" s="252">
        <v>0.5</v>
      </c>
      <c r="D467" s="308"/>
      <c r="E467" s="243"/>
      <c r="F467" s="243"/>
      <c r="G467" s="243"/>
      <c r="H467" s="243"/>
    </row>
    <row r="468" s="158" customFormat="1" spans="1:8">
      <c r="A468" s="247" t="s">
        <v>39</v>
      </c>
      <c r="B468" s="256">
        <f>C468*1.25</f>
        <v>25</v>
      </c>
      <c r="C468" s="336">
        <v>20</v>
      </c>
      <c r="D468" s="308"/>
      <c r="E468" s="243"/>
      <c r="F468" s="243"/>
      <c r="G468" s="243"/>
      <c r="H468" s="243"/>
    </row>
    <row r="469" s="158" customFormat="1" spans="1:8">
      <c r="A469" s="247" t="s">
        <v>86</v>
      </c>
      <c r="B469" s="249">
        <f>C469*1.33</f>
        <v>26.6</v>
      </c>
      <c r="C469" s="249">
        <v>20</v>
      </c>
      <c r="D469" s="308"/>
      <c r="E469" s="243"/>
      <c r="F469" s="243"/>
      <c r="G469" s="243"/>
      <c r="H469" s="243"/>
    </row>
    <row r="470" s="158" customFormat="1" spans="1:8">
      <c r="A470" s="247" t="s">
        <v>214</v>
      </c>
      <c r="B470" s="249">
        <f>C470</f>
        <v>0.01</v>
      </c>
      <c r="C470" s="249">
        <v>0.01</v>
      </c>
      <c r="D470" s="308"/>
      <c r="E470" s="243"/>
      <c r="F470" s="243"/>
      <c r="G470" s="243"/>
      <c r="H470" s="243"/>
    </row>
    <row r="471" s="158" customFormat="1" spans="1:8">
      <c r="A471" s="509" t="s">
        <v>40</v>
      </c>
      <c r="B471" s="510">
        <f>C471*1.19</f>
        <v>14.28</v>
      </c>
      <c r="C471" s="510">
        <v>12</v>
      </c>
      <c r="D471" s="308"/>
      <c r="E471" s="243"/>
      <c r="F471" s="243"/>
      <c r="G471" s="243"/>
      <c r="H471" s="243"/>
    </row>
    <row r="472" s="158" customFormat="1" spans="1:8">
      <c r="A472" s="401" t="s">
        <v>124</v>
      </c>
      <c r="B472" s="262">
        <f>C472</f>
        <v>5</v>
      </c>
      <c r="C472" s="511">
        <v>5</v>
      </c>
      <c r="D472" s="308"/>
      <c r="E472" s="243"/>
      <c r="F472" s="243"/>
      <c r="G472" s="243"/>
      <c r="H472" s="243"/>
    </row>
    <row r="473" s="163" customFormat="1" spans="1:8">
      <c r="A473" s="512" t="s">
        <v>51</v>
      </c>
      <c r="B473" s="511">
        <f>C473</f>
        <v>4.98</v>
      </c>
      <c r="C473" s="511">
        <v>4.98</v>
      </c>
      <c r="D473" s="308"/>
      <c r="E473" s="398"/>
      <c r="F473" s="398"/>
      <c r="G473" s="398"/>
      <c r="H473" s="398"/>
    </row>
    <row r="474" s="158" customFormat="1" ht="15.75" spans="1:8">
      <c r="A474" s="513" t="s">
        <v>215</v>
      </c>
      <c r="B474" s="513"/>
      <c r="C474" s="513"/>
      <c r="D474" s="277">
        <v>180</v>
      </c>
      <c r="E474" s="190">
        <v>0.68</v>
      </c>
      <c r="F474" s="190">
        <v>0.28</v>
      </c>
      <c r="G474" s="190">
        <v>21.64</v>
      </c>
      <c r="H474" s="190">
        <v>104.68</v>
      </c>
    </row>
    <row r="475" s="158" customFormat="1" spans="1:8">
      <c r="A475" s="307" t="s">
        <v>216</v>
      </c>
      <c r="B475" s="278">
        <f>C475</f>
        <v>17</v>
      </c>
      <c r="C475" s="278">
        <v>17</v>
      </c>
      <c r="D475" s="308"/>
      <c r="E475" s="243"/>
      <c r="F475" s="243"/>
      <c r="G475" s="243"/>
      <c r="H475" s="243"/>
    </row>
    <row r="476" s="158" customFormat="1" spans="1:8">
      <c r="A476" s="208" t="s">
        <v>26</v>
      </c>
      <c r="B476" s="278">
        <f>C476</f>
        <v>13</v>
      </c>
      <c r="C476" s="278">
        <v>13</v>
      </c>
      <c r="D476" s="308"/>
      <c r="E476" s="243"/>
      <c r="F476" s="243"/>
      <c r="G476" s="243"/>
      <c r="H476" s="243"/>
    </row>
    <row r="477" s="158" customFormat="1" spans="1:8">
      <c r="A477" s="247" t="s">
        <v>29</v>
      </c>
      <c r="B477" s="249">
        <f>C477</f>
        <v>200</v>
      </c>
      <c r="C477" s="249">
        <v>200</v>
      </c>
      <c r="D477" s="221"/>
      <c r="E477" s="243"/>
      <c r="F477" s="243"/>
      <c r="G477" s="243"/>
      <c r="H477" s="243"/>
    </row>
    <row r="478" s="158" customFormat="1" ht="15.75" spans="1:8">
      <c r="A478" s="225" t="s">
        <v>30</v>
      </c>
      <c r="B478" s="249"/>
      <c r="C478" s="285"/>
      <c r="D478" s="230">
        <v>30</v>
      </c>
      <c r="E478" s="284">
        <v>1.68</v>
      </c>
      <c r="F478" s="284">
        <v>0.33</v>
      </c>
      <c r="G478" s="284">
        <v>17.37</v>
      </c>
      <c r="H478" s="284">
        <v>82.87</v>
      </c>
    </row>
    <row r="479" s="158" customFormat="1" ht="15.75" spans="1:8">
      <c r="A479" s="286" t="s">
        <v>59</v>
      </c>
      <c r="B479" s="287"/>
      <c r="C479" s="287"/>
      <c r="D479" s="283">
        <v>40</v>
      </c>
      <c r="E479" s="190">
        <v>1.79</v>
      </c>
      <c r="F479" s="190">
        <v>0.35</v>
      </c>
      <c r="G479" s="190">
        <v>18.53</v>
      </c>
      <c r="H479" s="190">
        <v>88.4</v>
      </c>
    </row>
    <row r="480" ht="19.5" spans="1:8">
      <c r="A480" s="183" t="s">
        <v>60</v>
      </c>
      <c r="B480" s="288"/>
      <c r="C480" s="288"/>
      <c r="D480" s="392">
        <f>D481+D499+D503</f>
        <v>350</v>
      </c>
      <c r="E480" s="377">
        <f>SUM(E481:E503)</f>
        <v>7.81</v>
      </c>
      <c r="F480" s="377">
        <f>SUM(F481:F503)</f>
        <v>8.19</v>
      </c>
      <c r="G480" s="377">
        <f>SUM(G481:G503)</f>
        <v>35.06</v>
      </c>
      <c r="H480" s="377">
        <f>SUM(H481:H503)</f>
        <v>244.84</v>
      </c>
    </row>
    <row r="481" s="154" customFormat="1" ht="15.75" spans="1:8">
      <c r="A481" s="514" t="s">
        <v>217</v>
      </c>
      <c r="B481" s="515"/>
      <c r="C481" s="515"/>
      <c r="D481" s="399">
        <v>70</v>
      </c>
      <c r="E481" s="291">
        <v>7.24</v>
      </c>
      <c r="F481" s="291">
        <v>8.03</v>
      </c>
      <c r="G481" s="291">
        <v>13.64</v>
      </c>
      <c r="H481" s="291">
        <v>145.06</v>
      </c>
    </row>
    <row r="482" s="154" customFormat="1" spans="1:8">
      <c r="A482" s="268" t="s">
        <v>171</v>
      </c>
      <c r="B482" s="285">
        <f>C482</f>
        <v>34.44</v>
      </c>
      <c r="C482" s="285">
        <v>34.44</v>
      </c>
      <c r="D482" s="516"/>
      <c r="E482" s="231"/>
      <c r="F482" s="231"/>
      <c r="G482" s="231"/>
      <c r="H482" s="231"/>
    </row>
    <row r="483" s="154" customFormat="1" spans="1:8">
      <c r="A483" s="247" t="s">
        <v>172</v>
      </c>
      <c r="B483" s="285">
        <f t="shared" ref="B483:B488" si="21">C483</f>
        <v>0.259</v>
      </c>
      <c r="C483" s="285">
        <v>0.259</v>
      </c>
      <c r="D483" s="516"/>
      <c r="E483" s="231"/>
      <c r="F483" s="231"/>
      <c r="G483" s="231"/>
      <c r="H483" s="231"/>
    </row>
    <row r="484" s="154" customFormat="1" spans="1:8">
      <c r="A484" s="208" t="s">
        <v>26</v>
      </c>
      <c r="B484" s="192">
        <f t="shared" si="21"/>
        <v>2.744</v>
      </c>
      <c r="C484" s="192">
        <v>2.744</v>
      </c>
      <c r="D484" s="516"/>
      <c r="E484" s="231"/>
      <c r="F484" s="231"/>
      <c r="G484" s="231"/>
      <c r="H484" s="231"/>
    </row>
    <row r="485" s="154" customFormat="1" spans="1:8">
      <c r="A485" s="213" t="s">
        <v>25</v>
      </c>
      <c r="B485" s="214">
        <f t="shared" si="21"/>
        <v>0.7</v>
      </c>
      <c r="C485" s="285">
        <v>0.7</v>
      </c>
      <c r="D485" s="516"/>
      <c r="E485" s="231"/>
      <c r="F485" s="231"/>
      <c r="G485" s="231"/>
      <c r="H485" s="231"/>
    </row>
    <row r="486" s="154" customFormat="1" spans="1:8">
      <c r="A486" s="202" t="s">
        <v>19</v>
      </c>
      <c r="B486" s="196">
        <f t="shared" si="21"/>
        <v>2.968</v>
      </c>
      <c r="C486" s="200">
        <v>2.968</v>
      </c>
      <c r="D486" s="516"/>
      <c r="E486" s="231"/>
      <c r="F486" s="231"/>
      <c r="G486" s="231"/>
      <c r="H486" s="231"/>
    </row>
    <row r="487" s="154" customFormat="1" spans="1:8">
      <c r="A487" s="247" t="s">
        <v>29</v>
      </c>
      <c r="B487" s="249">
        <f t="shared" si="21"/>
        <v>11.9</v>
      </c>
      <c r="C487" s="249">
        <v>11.9</v>
      </c>
      <c r="D487" s="516"/>
      <c r="E487" s="231"/>
      <c r="F487" s="231"/>
      <c r="G487" s="231"/>
      <c r="H487" s="231"/>
    </row>
    <row r="488" s="154" customFormat="1" spans="1:8">
      <c r="A488" s="191" t="s">
        <v>51</v>
      </c>
      <c r="B488" s="285">
        <f t="shared" si="21"/>
        <v>5.6</v>
      </c>
      <c r="C488" s="285">
        <v>5.6</v>
      </c>
      <c r="D488" s="516"/>
      <c r="E488" s="231"/>
      <c r="F488" s="231"/>
      <c r="G488" s="231"/>
      <c r="H488" s="231"/>
    </row>
    <row r="489" s="154" customFormat="1" spans="1:8">
      <c r="A489" s="517" t="s">
        <v>218</v>
      </c>
      <c r="B489" s="518"/>
      <c r="C489" s="518">
        <f>SUM(C482:C488)</f>
        <v>58.611</v>
      </c>
      <c r="D489" s="516"/>
      <c r="E489" s="231"/>
      <c r="F489" s="231"/>
      <c r="G489" s="231"/>
      <c r="H489" s="231"/>
    </row>
    <row r="490" s="154" customFormat="1" spans="1:8">
      <c r="A490" s="401" t="s">
        <v>124</v>
      </c>
      <c r="B490" s="262">
        <f>C490</f>
        <v>3.5</v>
      </c>
      <c r="C490" s="511">
        <v>3.5</v>
      </c>
      <c r="D490" s="308"/>
      <c r="E490" s="231"/>
      <c r="F490" s="231"/>
      <c r="G490" s="231"/>
      <c r="H490" s="231"/>
    </row>
    <row r="491" s="154" customFormat="1" spans="1:8">
      <c r="A491" s="307" t="s">
        <v>29</v>
      </c>
      <c r="B491" s="252">
        <f>C491</f>
        <v>1.5</v>
      </c>
      <c r="C491" s="252">
        <v>1.5</v>
      </c>
      <c r="D491" s="308"/>
      <c r="E491" s="231"/>
      <c r="F491" s="231"/>
      <c r="G491" s="231"/>
      <c r="H491" s="231"/>
    </row>
    <row r="492" s="154" customFormat="1" spans="1:8">
      <c r="A492" s="307" t="s">
        <v>219</v>
      </c>
      <c r="B492" s="252">
        <f>C492</f>
        <v>0.007</v>
      </c>
      <c r="C492" s="252">
        <v>0.007</v>
      </c>
      <c r="D492" s="308"/>
      <c r="E492" s="231"/>
      <c r="F492" s="231"/>
      <c r="G492" s="231"/>
      <c r="H492" s="231"/>
    </row>
    <row r="493" s="154" customFormat="1" spans="1:8">
      <c r="A493" s="213" t="s">
        <v>25</v>
      </c>
      <c r="B493" s="214">
        <f>C493</f>
        <v>0.063</v>
      </c>
      <c r="C493" s="252">
        <v>0.063</v>
      </c>
      <c r="D493" s="308"/>
      <c r="E493" s="231"/>
      <c r="F493" s="231"/>
      <c r="G493" s="231"/>
      <c r="H493" s="231"/>
    </row>
    <row r="494" s="154" customFormat="1" spans="1:8">
      <c r="A494" s="517" t="s">
        <v>220</v>
      </c>
      <c r="B494" s="518"/>
      <c r="C494" s="518">
        <f>C490+C491</f>
        <v>5</v>
      </c>
      <c r="D494" s="308"/>
      <c r="E494" s="231"/>
      <c r="F494" s="231"/>
      <c r="G494" s="231"/>
      <c r="H494" s="231"/>
    </row>
    <row r="495" s="154" customFormat="1" spans="1:8">
      <c r="A495" s="519" t="s">
        <v>158</v>
      </c>
      <c r="B495" s="319">
        <f>C495*1.01</f>
        <v>11.11</v>
      </c>
      <c r="C495" s="285">
        <v>11</v>
      </c>
      <c r="D495" s="439"/>
      <c r="E495" s="231"/>
      <c r="F495" s="231"/>
      <c r="G495" s="231"/>
      <c r="H495" s="231"/>
    </row>
    <row r="496" s="154" customFormat="1" spans="1:8">
      <c r="A496" s="520" t="s">
        <v>221</v>
      </c>
      <c r="B496" s="319">
        <f t="shared" ref="B496" si="22">C496*1.05</f>
        <v>11.55</v>
      </c>
      <c r="C496" s="285">
        <v>11</v>
      </c>
      <c r="D496" s="439"/>
      <c r="E496" s="231"/>
      <c r="F496" s="231"/>
      <c r="G496" s="231"/>
      <c r="H496" s="231"/>
    </row>
    <row r="497" s="154" customFormat="1" spans="1:8">
      <c r="A497" s="520" t="s">
        <v>136</v>
      </c>
      <c r="B497" s="319">
        <f>C497</f>
        <v>1</v>
      </c>
      <c r="C497" s="285">
        <v>1</v>
      </c>
      <c r="D497" s="439"/>
      <c r="E497" s="231"/>
      <c r="F497" s="231"/>
      <c r="G497" s="231"/>
      <c r="H497" s="231"/>
    </row>
    <row r="498" s="154" customFormat="1" spans="1:8">
      <c r="A498" s="209" t="s">
        <v>95</v>
      </c>
      <c r="B498" s="521">
        <f>C498</f>
        <v>1</v>
      </c>
      <c r="C498" s="252">
        <v>1</v>
      </c>
      <c r="D498" s="439"/>
      <c r="E498" s="231"/>
      <c r="F498" s="231"/>
      <c r="G498" s="231"/>
      <c r="H498" s="231"/>
    </row>
    <row r="499" s="154" customFormat="1" ht="15.75" spans="1:8">
      <c r="A499" s="522" t="s">
        <v>222</v>
      </c>
      <c r="B499" s="523"/>
      <c r="C499" s="524"/>
      <c r="D499" s="481">
        <v>180</v>
      </c>
      <c r="E499" s="190">
        <v>0.17</v>
      </c>
      <c r="F499" s="190">
        <v>0.06</v>
      </c>
      <c r="G499" s="190">
        <v>12.12</v>
      </c>
      <c r="H499" s="190">
        <v>60.78</v>
      </c>
    </row>
    <row r="500" s="154" customFormat="1" spans="1:8">
      <c r="A500" s="307" t="s">
        <v>223</v>
      </c>
      <c r="B500" s="269">
        <f>C500</f>
        <v>28</v>
      </c>
      <c r="C500" s="269">
        <v>28</v>
      </c>
      <c r="D500" s="376"/>
      <c r="E500" s="231"/>
      <c r="F500" s="231"/>
      <c r="G500" s="231"/>
      <c r="H500" s="231"/>
    </row>
    <row r="501" s="154" customFormat="1" spans="1:8">
      <c r="A501" s="208" t="s">
        <v>26</v>
      </c>
      <c r="B501" s="269">
        <f>C501</f>
        <v>13</v>
      </c>
      <c r="C501" s="269">
        <v>13</v>
      </c>
      <c r="D501" s="376"/>
      <c r="E501" s="231"/>
      <c r="F501" s="231"/>
      <c r="G501" s="231"/>
      <c r="H501" s="231"/>
    </row>
    <row r="502" s="154" customFormat="1" spans="1:8">
      <c r="A502" s="208" t="s">
        <v>29</v>
      </c>
      <c r="B502" s="269">
        <f>C502</f>
        <v>195</v>
      </c>
      <c r="C502" s="269">
        <v>195</v>
      </c>
      <c r="D502" s="376"/>
      <c r="E502" s="231"/>
      <c r="F502" s="231"/>
      <c r="G502" s="231"/>
      <c r="H502" s="231"/>
    </row>
    <row r="503" s="154" customFormat="1" ht="15.75" spans="1:8">
      <c r="A503" s="326" t="s">
        <v>80</v>
      </c>
      <c r="B503" s="269">
        <f>C503</f>
        <v>100</v>
      </c>
      <c r="C503" s="269">
        <v>100</v>
      </c>
      <c r="D503" s="283">
        <v>100</v>
      </c>
      <c r="E503" s="327">
        <v>0.4</v>
      </c>
      <c r="F503" s="190">
        <v>0.1</v>
      </c>
      <c r="G503" s="190">
        <v>9.3</v>
      </c>
      <c r="H503" s="190">
        <v>39</v>
      </c>
    </row>
    <row r="504" ht="18.75" spans="1:8">
      <c r="A504" s="309" t="s">
        <v>70</v>
      </c>
      <c r="B504" s="310"/>
      <c r="C504" s="310"/>
      <c r="D504" s="311"/>
      <c r="E504" s="312">
        <f>E480+E443+E425</f>
        <v>48.07</v>
      </c>
      <c r="F504" s="312">
        <f>F480+F443+F425</f>
        <v>49.47</v>
      </c>
      <c r="G504" s="312">
        <f>G480+G443+G425</f>
        <v>199.45</v>
      </c>
      <c r="H504" s="312">
        <f>H480+H443+H425</f>
        <v>1439.94</v>
      </c>
    </row>
    <row r="505" ht="28.5" customHeight="1" spans="1:8">
      <c r="A505" s="174" t="s">
        <v>224</v>
      </c>
      <c r="B505" s="175"/>
      <c r="C505" s="175"/>
      <c r="D505" s="175"/>
      <c r="E505" s="175"/>
      <c r="F505" s="175"/>
      <c r="G505" s="175"/>
      <c r="H505" s="176"/>
    </row>
    <row r="506" ht="23.25" customHeight="1" spans="1:8">
      <c r="A506" s="177" t="s">
        <v>5</v>
      </c>
      <c r="B506" s="177" t="s">
        <v>6</v>
      </c>
      <c r="C506" s="177" t="s">
        <v>7</v>
      </c>
      <c r="D506" s="178" t="s">
        <v>8</v>
      </c>
      <c r="E506" s="179" t="s">
        <v>9</v>
      </c>
      <c r="F506" s="179" t="s">
        <v>10</v>
      </c>
      <c r="G506" s="179" t="s">
        <v>11</v>
      </c>
      <c r="H506" s="179" t="s">
        <v>12</v>
      </c>
    </row>
    <row r="507" ht="25.5" customHeight="1" spans="1:8">
      <c r="A507" s="180"/>
      <c r="B507" s="180"/>
      <c r="C507" s="180"/>
      <c r="D507" s="181"/>
      <c r="E507" s="182"/>
      <c r="F507" s="182"/>
      <c r="G507" s="182"/>
      <c r="H507" s="182"/>
    </row>
    <row r="508" ht="24.75" customHeight="1" spans="1:8">
      <c r="A508" s="183" t="s">
        <v>13</v>
      </c>
      <c r="B508" s="183"/>
      <c r="C508" s="183"/>
      <c r="D508" s="455">
        <v>505</v>
      </c>
      <c r="E508" s="377">
        <f>SUM(E509:E526)</f>
        <v>14.86</v>
      </c>
      <c r="F508" s="377">
        <f>SUM(F509:F526)</f>
        <v>15.06</v>
      </c>
      <c r="G508" s="377">
        <f>SUM(G509:G526)</f>
        <v>63.77</v>
      </c>
      <c r="H508" s="377">
        <f>SUM(H509:H526)</f>
        <v>448.69</v>
      </c>
    </row>
    <row r="509" s="154" customFormat="1" ht="15.75" spans="1:8">
      <c r="A509" s="418" t="s">
        <v>143</v>
      </c>
      <c r="B509" s="418"/>
      <c r="C509" s="418"/>
      <c r="D509" s="207" t="s">
        <v>144</v>
      </c>
      <c r="E509" s="190">
        <v>4.58</v>
      </c>
      <c r="F509" s="190">
        <v>4.69</v>
      </c>
      <c r="G509" s="190">
        <v>19.55</v>
      </c>
      <c r="H509" s="190">
        <v>118.23</v>
      </c>
    </row>
    <row r="510" s="154" customFormat="1" spans="1:8">
      <c r="A510" s="318" t="s">
        <v>74</v>
      </c>
      <c r="B510" s="319">
        <f>C510*1.01</f>
        <v>10.1</v>
      </c>
      <c r="C510" s="319">
        <v>10</v>
      </c>
      <c r="D510" s="197"/>
      <c r="E510" s="231"/>
      <c r="F510" s="231"/>
      <c r="G510" s="231"/>
      <c r="H510" s="231"/>
    </row>
    <row r="511" s="154" customFormat="1" spans="1:8">
      <c r="A511" s="195" t="s">
        <v>17</v>
      </c>
      <c r="B511" s="196">
        <f>C511</f>
        <v>18</v>
      </c>
      <c r="C511" s="196">
        <v>18</v>
      </c>
      <c r="D511" s="197"/>
      <c r="E511" s="231"/>
      <c r="F511" s="231"/>
      <c r="G511" s="231"/>
      <c r="H511" s="231"/>
    </row>
    <row r="512" s="154" customFormat="1" spans="1:8">
      <c r="A512" s="337" t="s">
        <v>88</v>
      </c>
      <c r="B512" s="252">
        <f>C512</f>
        <v>5</v>
      </c>
      <c r="C512" s="252">
        <v>5</v>
      </c>
      <c r="D512" s="354"/>
      <c r="E512" s="231"/>
      <c r="F512" s="231"/>
      <c r="G512" s="231"/>
      <c r="H512" s="231"/>
    </row>
    <row r="513" s="154" customFormat="1" ht="15.75" spans="1:8">
      <c r="A513" s="204" t="s">
        <v>20</v>
      </c>
      <c r="B513" s="205"/>
      <c r="C513" s="206"/>
      <c r="D513" s="207" t="s">
        <v>146</v>
      </c>
      <c r="E513" s="190">
        <v>4.8</v>
      </c>
      <c r="F513" s="190">
        <v>4.74</v>
      </c>
      <c r="G513" s="190">
        <v>17.92</v>
      </c>
      <c r="H513" s="190">
        <v>139.2</v>
      </c>
    </row>
    <row r="514" s="154" customFormat="1" spans="1:8">
      <c r="A514" s="208" t="s">
        <v>22</v>
      </c>
      <c r="B514" s="192">
        <f t="shared" ref="B514:B517" si="23">C514</f>
        <v>18.75</v>
      </c>
      <c r="C514" s="192">
        <v>18.75</v>
      </c>
      <c r="D514" s="193"/>
      <c r="E514" s="231"/>
      <c r="F514" s="231"/>
      <c r="G514" s="231"/>
      <c r="H514" s="231"/>
    </row>
    <row r="515" s="154" customFormat="1" spans="1:8">
      <c r="A515" s="209" t="s">
        <v>23</v>
      </c>
      <c r="B515" s="192">
        <f t="shared" si="23"/>
        <v>64.5</v>
      </c>
      <c r="C515" s="210">
        <v>64.5</v>
      </c>
      <c r="D515" s="193"/>
      <c r="E515" s="231"/>
      <c r="F515" s="231"/>
      <c r="G515" s="231"/>
      <c r="H515" s="231"/>
    </row>
    <row r="516" s="154" customFormat="1" spans="1:8">
      <c r="A516" s="212" t="s">
        <v>24</v>
      </c>
      <c r="B516" s="192">
        <f t="shared" si="23"/>
        <v>72</v>
      </c>
      <c r="C516" s="210">
        <v>72</v>
      </c>
      <c r="D516" s="193"/>
      <c r="E516" s="231"/>
      <c r="F516" s="231"/>
      <c r="G516" s="231"/>
      <c r="H516" s="231"/>
    </row>
    <row r="517" s="154" customFormat="1" spans="1:8">
      <c r="A517" s="213" t="s">
        <v>25</v>
      </c>
      <c r="B517" s="214">
        <f t="shared" si="23"/>
        <v>0.3</v>
      </c>
      <c r="C517" s="214">
        <v>0.3</v>
      </c>
      <c r="D517" s="193"/>
      <c r="E517" s="231"/>
      <c r="F517" s="231"/>
      <c r="G517" s="231"/>
      <c r="H517" s="231"/>
    </row>
    <row r="518" s="154" customFormat="1" spans="1:8">
      <c r="A518" s="208" t="s">
        <v>26</v>
      </c>
      <c r="B518" s="192">
        <f t="shared" ref="B518:B519" si="24">C518</f>
        <v>3</v>
      </c>
      <c r="C518" s="192">
        <v>3</v>
      </c>
      <c r="D518" s="193"/>
      <c r="E518" s="231"/>
      <c r="F518" s="231"/>
      <c r="G518" s="231"/>
      <c r="H518" s="231"/>
    </row>
    <row r="519" s="154" customFormat="1" spans="1:8">
      <c r="A519" s="191" t="s">
        <v>16</v>
      </c>
      <c r="B519" s="192">
        <f t="shared" si="24"/>
        <v>3.5</v>
      </c>
      <c r="C519" s="192">
        <v>3.5</v>
      </c>
      <c r="D519" s="193"/>
      <c r="E519" s="231"/>
      <c r="F519" s="231"/>
      <c r="G519" s="231"/>
      <c r="H519" s="231"/>
    </row>
    <row r="520" s="154" customFormat="1" ht="15.75" spans="1:8">
      <c r="A520" s="460" t="s">
        <v>225</v>
      </c>
      <c r="B520" s="461"/>
      <c r="C520" s="462"/>
      <c r="D520" s="369">
        <v>200</v>
      </c>
      <c r="E520" s="190">
        <v>3.28</v>
      </c>
      <c r="F520" s="190">
        <v>2.83</v>
      </c>
      <c r="G520" s="190">
        <v>16.3</v>
      </c>
      <c r="H520" s="190">
        <v>133.26</v>
      </c>
    </row>
    <row r="521" s="154" customFormat="1" spans="1:8">
      <c r="A521" s="388" t="s">
        <v>105</v>
      </c>
      <c r="B521" s="319">
        <f>C521</f>
        <v>1.5</v>
      </c>
      <c r="C521" s="319">
        <v>1.5</v>
      </c>
      <c r="D521" s="389"/>
      <c r="E521" s="231"/>
      <c r="F521" s="231"/>
      <c r="G521" s="231"/>
      <c r="H521" s="231"/>
    </row>
    <row r="522" s="154" customFormat="1" spans="1:8">
      <c r="A522" s="212" t="s">
        <v>24</v>
      </c>
      <c r="B522" s="319">
        <f>C522</f>
        <v>100</v>
      </c>
      <c r="C522" s="241">
        <v>100</v>
      </c>
      <c r="D522" s="390"/>
      <c r="E522" s="231"/>
      <c r="F522" s="231"/>
      <c r="G522" s="231"/>
      <c r="H522" s="231"/>
    </row>
    <row r="523" s="154" customFormat="1" spans="1:8">
      <c r="A523" s="208" t="s">
        <v>29</v>
      </c>
      <c r="B523" s="269">
        <f>C523</f>
        <v>110</v>
      </c>
      <c r="C523" s="269">
        <v>110</v>
      </c>
      <c r="D523" s="390"/>
      <c r="E523" s="231"/>
      <c r="F523" s="231"/>
      <c r="G523" s="231"/>
      <c r="H523" s="231"/>
    </row>
    <row r="524" s="154" customFormat="1" spans="1:8">
      <c r="A524" s="208" t="s">
        <v>26</v>
      </c>
      <c r="B524" s="319">
        <f>C524</f>
        <v>11</v>
      </c>
      <c r="C524" s="241">
        <v>11</v>
      </c>
      <c r="D524" s="390"/>
      <c r="E524" s="231"/>
      <c r="F524" s="231"/>
      <c r="G524" s="231"/>
      <c r="H524" s="231"/>
    </row>
    <row r="525" s="154" customFormat="1" ht="15.75" spans="1:8">
      <c r="A525" s="229" t="s">
        <v>69</v>
      </c>
      <c r="B525" s="224"/>
      <c r="C525" s="224"/>
      <c r="D525" s="230">
        <v>125</v>
      </c>
      <c r="E525" s="190">
        <v>2.2</v>
      </c>
      <c r="F525" s="190">
        <v>2.8</v>
      </c>
      <c r="G525" s="190">
        <v>10</v>
      </c>
      <c r="H525" s="190">
        <v>58</v>
      </c>
    </row>
    <row r="526" s="154" customFormat="1" spans="1:8">
      <c r="A526" s="225"/>
      <c r="B526" s="249"/>
      <c r="C526" s="285"/>
      <c r="D526" s="230"/>
      <c r="E526" s="231"/>
      <c r="F526" s="231"/>
      <c r="G526" s="231"/>
      <c r="H526" s="231"/>
    </row>
    <row r="527" ht="19.5" spans="1:8">
      <c r="A527" s="183" t="s">
        <v>32</v>
      </c>
      <c r="B527" s="232"/>
      <c r="C527" s="232"/>
      <c r="D527" s="420"/>
      <c r="E527" s="377">
        <f>SUM(E528:E574)</f>
        <v>24.02</v>
      </c>
      <c r="F527" s="377">
        <f>SUM(F528:F574)</f>
        <v>22.52</v>
      </c>
      <c r="G527" s="377">
        <f>SUM(G528:G574)</f>
        <v>96.02</v>
      </c>
      <c r="H527" s="377">
        <f>SUM(H528:H574)</f>
        <v>684.62</v>
      </c>
    </row>
    <row r="528" s="154" customFormat="1" customHeight="1" spans="1:8">
      <c r="A528" s="525" t="s">
        <v>226</v>
      </c>
      <c r="B528" s="526"/>
      <c r="C528" s="527"/>
      <c r="D528" s="528">
        <v>220</v>
      </c>
      <c r="E528" s="239">
        <v>7.31</v>
      </c>
      <c r="F528" s="239">
        <v>8.67</v>
      </c>
      <c r="G528" s="239">
        <v>26.24</v>
      </c>
      <c r="H528" s="239">
        <v>198.73</v>
      </c>
    </row>
    <row r="529" s="154" customFormat="1" spans="1:8">
      <c r="A529" s="240" t="s">
        <v>34</v>
      </c>
      <c r="B529" s="241">
        <f>C529*1.45</f>
        <v>18.125</v>
      </c>
      <c r="C529" s="241">
        <f>C530*1.25</f>
        <v>12.5</v>
      </c>
      <c r="D529" s="298"/>
      <c r="E529" s="231"/>
      <c r="F529" s="231"/>
      <c r="G529" s="231"/>
      <c r="H529" s="231"/>
    </row>
    <row r="530" s="154" customFormat="1" spans="1:8">
      <c r="A530" s="244" t="s">
        <v>83</v>
      </c>
      <c r="B530" s="245"/>
      <c r="C530" s="246">
        <v>10</v>
      </c>
      <c r="D530" s="298"/>
      <c r="E530" s="231"/>
      <c r="F530" s="231"/>
      <c r="G530" s="231"/>
      <c r="H530" s="231"/>
    </row>
    <row r="531" s="154" customFormat="1" spans="1:8">
      <c r="A531" s="247" t="s">
        <v>36</v>
      </c>
      <c r="B531" s="241">
        <f>C531*1.33</f>
        <v>79.8</v>
      </c>
      <c r="C531" s="241">
        <v>60</v>
      </c>
      <c r="D531" s="298"/>
      <c r="E531" s="231"/>
      <c r="F531" s="231"/>
      <c r="G531" s="231"/>
      <c r="H531" s="231"/>
    </row>
    <row r="532" s="154" customFormat="1" spans="1:8">
      <c r="A532" s="247" t="s">
        <v>37</v>
      </c>
      <c r="B532" s="241">
        <f>C532*1.67</f>
        <v>100.2</v>
      </c>
      <c r="C532" s="241">
        <v>60</v>
      </c>
      <c r="D532" s="529"/>
      <c r="E532" s="231"/>
      <c r="F532" s="231"/>
      <c r="G532" s="231"/>
      <c r="H532" s="231"/>
    </row>
    <row r="533" s="154" customFormat="1" spans="1:8">
      <c r="A533" s="247" t="s">
        <v>227</v>
      </c>
      <c r="B533" s="249">
        <f>C533</f>
        <v>25</v>
      </c>
      <c r="C533" s="249">
        <v>25</v>
      </c>
      <c r="D533" s="529"/>
      <c r="E533" s="231"/>
      <c r="F533" s="231"/>
      <c r="G533" s="231"/>
      <c r="H533" s="231"/>
    </row>
    <row r="534" s="154" customFormat="1" spans="1:8">
      <c r="A534" s="247" t="s">
        <v>46</v>
      </c>
      <c r="B534" s="249">
        <f>C534</f>
        <v>4.3</v>
      </c>
      <c r="C534" s="249">
        <v>4.3</v>
      </c>
      <c r="D534" s="529"/>
      <c r="E534" s="231"/>
      <c r="F534" s="231"/>
      <c r="G534" s="231"/>
      <c r="H534" s="231"/>
    </row>
    <row r="535" s="154" customFormat="1" spans="1:8">
      <c r="A535" s="247" t="s">
        <v>40</v>
      </c>
      <c r="B535" s="249">
        <f>C535*1.19</f>
        <v>12.1975</v>
      </c>
      <c r="C535" s="249">
        <v>10.25</v>
      </c>
      <c r="D535" s="529"/>
      <c r="E535" s="231"/>
      <c r="F535" s="231"/>
      <c r="G535" s="231"/>
      <c r="H535" s="231"/>
    </row>
    <row r="536" s="154" customFormat="1" spans="1:8">
      <c r="A536" s="247" t="s">
        <v>39</v>
      </c>
      <c r="B536" s="256">
        <f>C536*1.25</f>
        <v>18.75</v>
      </c>
      <c r="C536" s="336">
        <v>15</v>
      </c>
      <c r="D536" s="529"/>
      <c r="E536" s="231"/>
      <c r="F536" s="231"/>
      <c r="G536" s="231"/>
      <c r="H536" s="231"/>
    </row>
    <row r="537" s="154" customFormat="1" spans="1:8">
      <c r="A537" s="247" t="s">
        <v>86</v>
      </c>
      <c r="B537" s="249">
        <f>C537*1.33</f>
        <v>19.95</v>
      </c>
      <c r="C537" s="249">
        <v>15</v>
      </c>
      <c r="D537" s="529"/>
      <c r="E537" s="231"/>
      <c r="F537" s="231"/>
      <c r="G537" s="231"/>
      <c r="H537" s="231"/>
    </row>
    <row r="538" s="154" customFormat="1" spans="1:8">
      <c r="A538" s="213" t="s">
        <v>25</v>
      </c>
      <c r="B538" s="214">
        <f>C538</f>
        <v>0.8</v>
      </c>
      <c r="C538" s="249">
        <v>0.8</v>
      </c>
      <c r="D538" s="529"/>
      <c r="E538" s="231"/>
      <c r="F538" s="231"/>
      <c r="G538" s="231"/>
      <c r="H538" s="231"/>
    </row>
    <row r="539" s="154" customFormat="1" spans="1:8">
      <c r="A539" s="247" t="s">
        <v>23</v>
      </c>
      <c r="B539" s="249">
        <f>C539</f>
        <v>175</v>
      </c>
      <c r="C539" s="249">
        <v>175</v>
      </c>
      <c r="D539" s="529"/>
      <c r="E539" s="231"/>
      <c r="F539" s="231"/>
      <c r="G539" s="231"/>
      <c r="H539" s="231"/>
    </row>
    <row r="540" s="154" customFormat="1" spans="1:8">
      <c r="A540" s="223" t="s">
        <v>47</v>
      </c>
      <c r="B540" s="319">
        <f>C540*1.35</f>
        <v>1.35</v>
      </c>
      <c r="C540" s="319">
        <v>1</v>
      </c>
      <c r="D540" s="221"/>
      <c r="E540" s="231"/>
      <c r="F540" s="231"/>
      <c r="G540" s="231"/>
      <c r="H540" s="231"/>
    </row>
    <row r="541" s="154" customFormat="1" ht="15.75" spans="1:8">
      <c r="A541" s="198" t="s">
        <v>228</v>
      </c>
      <c r="B541" s="429"/>
      <c r="C541" s="430"/>
      <c r="D541" s="431">
        <v>90</v>
      </c>
      <c r="E541" s="239">
        <v>10.79</v>
      </c>
      <c r="F541" s="239">
        <v>7.83</v>
      </c>
      <c r="G541" s="239">
        <v>9.52</v>
      </c>
      <c r="H541" s="239">
        <v>169.44</v>
      </c>
    </row>
    <row r="542" s="154" customFormat="1" spans="1:8">
      <c r="A542" s="264" t="s">
        <v>50</v>
      </c>
      <c r="B542" s="265">
        <f>C542*1.08</f>
        <v>25.92</v>
      </c>
      <c r="C542" s="265">
        <v>24</v>
      </c>
      <c r="D542" s="266"/>
      <c r="E542" s="231"/>
      <c r="F542" s="231"/>
      <c r="G542" s="231"/>
      <c r="H542" s="231"/>
    </row>
    <row r="543" s="154" customFormat="1" spans="1:8">
      <c r="A543" s="353" t="s">
        <v>152</v>
      </c>
      <c r="B543" s="296">
        <f>C543*1.1</f>
        <v>52.767</v>
      </c>
      <c r="C543" s="432">
        <v>47.97</v>
      </c>
      <c r="D543" s="266"/>
      <c r="E543" s="231"/>
      <c r="F543" s="231"/>
      <c r="G543" s="231"/>
      <c r="H543" s="231"/>
    </row>
    <row r="544" s="154" customFormat="1" spans="1:8">
      <c r="A544" s="348" t="s">
        <v>40</v>
      </c>
      <c r="B544" s="349">
        <f>C544*1.19</f>
        <v>7.14</v>
      </c>
      <c r="C544" s="349">
        <v>6</v>
      </c>
      <c r="D544" s="266"/>
      <c r="E544" s="231"/>
      <c r="F544" s="231"/>
      <c r="G544" s="231"/>
      <c r="H544" s="231"/>
    </row>
    <row r="545" s="154" customFormat="1" spans="1:8">
      <c r="A545" s="292" t="s">
        <v>229</v>
      </c>
      <c r="B545" s="256">
        <f>C545</f>
        <v>14</v>
      </c>
      <c r="C545" s="256">
        <v>14</v>
      </c>
      <c r="D545" s="266"/>
      <c r="E545" s="231"/>
      <c r="F545" s="231"/>
      <c r="G545" s="231"/>
      <c r="H545" s="231"/>
    </row>
    <row r="546" s="154" customFormat="1" spans="1:8">
      <c r="A546" s="292" t="s">
        <v>29</v>
      </c>
      <c r="B546" s="256">
        <f>C546</f>
        <v>13.9010989010989</v>
      </c>
      <c r="C546" s="256">
        <v>13.9010989010989</v>
      </c>
      <c r="D546" s="266"/>
      <c r="E546" s="231"/>
      <c r="F546" s="231"/>
      <c r="G546" s="231"/>
      <c r="H546" s="231"/>
    </row>
    <row r="547" s="154" customFormat="1" spans="1:8">
      <c r="A547" s="213" t="s">
        <v>25</v>
      </c>
      <c r="B547" s="214">
        <f>C547</f>
        <v>0.126373626373626</v>
      </c>
      <c r="C547" s="285">
        <v>0.126373626373626</v>
      </c>
      <c r="D547" s="266"/>
      <c r="E547" s="231"/>
      <c r="F547" s="231"/>
      <c r="G547" s="231"/>
      <c r="H547" s="231"/>
    </row>
    <row r="548" s="154" customFormat="1" spans="1:8">
      <c r="A548" s="353" t="s">
        <v>156</v>
      </c>
      <c r="B548" s="252">
        <f t="shared" ref="B548" si="25">C548</f>
        <v>3</v>
      </c>
      <c r="C548" s="252">
        <v>3</v>
      </c>
      <c r="D548" s="266"/>
      <c r="E548" s="231"/>
      <c r="F548" s="231"/>
      <c r="G548" s="231"/>
      <c r="H548" s="231"/>
    </row>
    <row r="549" s="154" customFormat="1" spans="1:8">
      <c r="A549" s="353" t="s">
        <v>54</v>
      </c>
      <c r="B549" s="252"/>
      <c r="C549" s="433">
        <f>SUM(C542:C548)</f>
        <v>108.997472527473</v>
      </c>
      <c r="D549" s="434"/>
      <c r="E549" s="231"/>
      <c r="F549" s="231"/>
      <c r="G549" s="231"/>
      <c r="H549" s="231"/>
    </row>
    <row r="550" s="154" customFormat="1" spans="1:8">
      <c r="A550" s="353" t="s">
        <v>95</v>
      </c>
      <c r="B550" s="252">
        <f>C550</f>
        <v>1</v>
      </c>
      <c r="C550" s="252">
        <v>1</v>
      </c>
      <c r="D550" s="434"/>
      <c r="E550" s="231"/>
      <c r="F550" s="231"/>
      <c r="G550" s="231"/>
      <c r="H550" s="231"/>
    </row>
    <row r="551" s="154" customFormat="1" spans="1:8">
      <c r="A551" s="530" t="s">
        <v>161</v>
      </c>
      <c r="B551" s="531"/>
      <c r="C551" s="531"/>
      <c r="D551" s="531"/>
      <c r="E551" s="231"/>
      <c r="F551" s="231"/>
      <c r="G551" s="231"/>
      <c r="H551" s="231"/>
    </row>
    <row r="552" s="154" customFormat="1" spans="1:8">
      <c r="A552" s="198" t="s">
        <v>230</v>
      </c>
      <c r="B552" s="252"/>
      <c r="C552" s="532"/>
      <c r="D552" s="533"/>
      <c r="E552" s="231"/>
      <c r="F552" s="231"/>
      <c r="G552" s="231"/>
      <c r="H552" s="231"/>
    </row>
    <row r="553" s="154" customFormat="1" ht="15.75" spans="1:8">
      <c r="A553" s="215" t="s">
        <v>231</v>
      </c>
      <c r="B553" s="534"/>
      <c r="C553" s="535"/>
      <c r="D553" s="375">
        <v>150</v>
      </c>
      <c r="E553" s="239">
        <v>3.11</v>
      </c>
      <c r="F553" s="239">
        <v>5.49</v>
      </c>
      <c r="G553" s="239">
        <v>23.66</v>
      </c>
      <c r="H553" s="239">
        <v>156.62</v>
      </c>
    </row>
    <row r="554" s="154" customFormat="1" ht="15.75" spans="1:8">
      <c r="A554" s="247" t="s">
        <v>36</v>
      </c>
      <c r="B554" s="241">
        <f>C554*1.33</f>
        <v>159.6</v>
      </c>
      <c r="C554" s="241">
        <v>120</v>
      </c>
      <c r="D554" s="375"/>
      <c r="E554" s="239"/>
      <c r="F554" s="239"/>
      <c r="G554" s="239"/>
      <c r="H554" s="239"/>
    </row>
    <row r="555" s="154" customFormat="1" ht="15.75" spans="1:8">
      <c r="A555" s="247" t="s">
        <v>37</v>
      </c>
      <c r="B555" s="241">
        <f>C555*1.67</f>
        <v>200.4</v>
      </c>
      <c r="C555" s="241">
        <v>120</v>
      </c>
      <c r="D555" s="375"/>
      <c r="E555" s="239"/>
      <c r="F555" s="239"/>
      <c r="G555" s="239"/>
      <c r="H555" s="239"/>
    </row>
    <row r="556" s="154" customFormat="1" spans="1:8">
      <c r="A556" s="247" t="s">
        <v>39</v>
      </c>
      <c r="B556" s="256">
        <f>C556*1.25</f>
        <v>18.75</v>
      </c>
      <c r="C556" s="336">
        <v>15</v>
      </c>
      <c r="D556" s="221"/>
      <c r="E556" s="231"/>
      <c r="F556" s="231"/>
      <c r="G556" s="231"/>
      <c r="H556" s="231"/>
    </row>
    <row r="557" s="154" customFormat="1" spans="1:8">
      <c r="A557" s="247" t="s">
        <v>86</v>
      </c>
      <c r="B557" s="249">
        <f>C557*1.33</f>
        <v>19.95</v>
      </c>
      <c r="C557" s="249">
        <v>15</v>
      </c>
      <c r="D557" s="266"/>
      <c r="E557" s="231"/>
      <c r="F557" s="231"/>
      <c r="G557" s="231"/>
      <c r="H557" s="231"/>
    </row>
    <row r="558" s="154" customFormat="1" spans="1:8">
      <c r="A558" s="332" t="s">
        <v>188</v>
      </c>
      <c r="B558" s="296">
        <f>C558*1.33</f>
        <v>19.95</v>
      </c>
      <c r="C558" s="475">
        <v>15</v>
      </c>
      <c r="D558" s="476"/>
      <c r="E558" s="231"/>
      <c r="F558" s="231"/>
      <c r="G558" s="231"/>
      <c r="H558" s="231"/>
    </row>
    <row r="559" s="154" customFormat="1" spans="1:8">
      <c r="A559" s="332" t="s">
        <v>189</v>
      </c>
      <c r="B559" s="296">
        <f>C559</f>
        <v>14</v>
      </c>
      <c r="C559" s="475">
        <v>14</v>
      </c>
      <c r="D559" s="476"/>
      <c r="E559" s="231"/>
      <c r="F559" s="231"/>
      <c r="G559" s="231"/>
      <c r="H559" s="231"/>
    </row>
    <row r="560" s="154" customFormat="1" spans="1:8">
      <c r="A560" s="332" t="s">
        <v>232</v>
      </c>
      <c r="B560" s="296">
        <f>C560*1.25</f>
        <v>17.5</v>
      </c>
      <c r="C560" s="475">
        <v>14</v>
      </c>
      <c r="D560" s="476"/>
      <c r="E560" s="231"/>
      <c r="F560" s="231"/>
      <c r="G560" s="231"/>
      <c r="H560" s="231"/>
    </row>
    <row r="561" s="154" customFormat="1" spans="1:8">
      <c r="A561" s="536" t="s">
        <v>40</v>
      </c>
      <c r="B561" s="404">
        <f>C561*1.19</f>
        <v>17.85</v>
      </c>
      <c r="C561" s="404">
        <v>15</v>
      </c>
      <c r="D561" s="266"/>
      <c r="E561" s="231"/>
      <c r="F561" s="231"/>
      <c r="G561" s="231"/>
      <c r="H561" s="231"/>
    </row>
    <row r="562" s="154" customFormat="1" spans="1:8">
      <c r="A562" s="478" t="s">
        <v>160</v>
      </c>
      <c r="B562" s="479">
        <f>C562*1.2</f>
        <v>0.6</v>
      </c>
      <c r="C562" s="479">
        <v>0.5</v>
      </c>
      <c r="D562" s="480"/>
      <c r="E562" s="231"/>
      <c r="F562" s="231"/>
      <c r="G562" s="231"/>
      <c r="H562" s="231"/>
    </row>
    <row r="563" s="154" customFormat="1" spans="1:8">
      <c r="A563" s="401" t="s">
        <v>124</v>
      </c>
      <c r="B563" s="262">
        <f>C563</f>
        <v>5</v>
      </c>
      <c r="C563" s="269">
        <v>5</v>
      </c>
      <c r="D563" s="266"/>
      <c r="E563" s="231"/>
      <c r="F563" s="231"/>
      <c r="G563" s="231"/>
      <c r="H563" s="231"/>
    </row>
    <row r="564" s="154" customFormat="1" spans="1:8">
      <c r="A564" s="213" t="s">
        <v>25</v>
      </c>
      <c r="B564" s="214">
        <f>C564</f>
        <v>0.7</v>
      </c>
      <c r="C564" s="404">
        <v>0.7</v>
      </c>
      <c r="D564" s="266"/>
      <c r="E564" s="231"/>
      <c r="F564" s="231"/>
      <c r="G564" s="231"/>
      <c r="H564" s="231"/>
    </row>
    <row r="565" s="154" customFormat="1" spans="1:8">
      <c r="A565" s="536" t="s">
        <v>51</v>
      </c>
      <c r="B565" s="404">
        <f>C565</f>
        <v>5</v>
      </c>
      <c r="C565" s="404">
        <v>5</v>
      </c>
      <c r="D565" s="266"/>
      <c r="E565" s="231"/>
      <c r="F565" s="231"/>
      <c r="G565" s="231"/>
      <c r="H565" s="231"/>
    </row>
    <row r="566" s="154" customFormat="1" spans="1:8">
      <c r="A566" s="223" t="s">
        <v>47</v>
      </c>
      <c r="B566" s="319">
        <f>C566*1.35</f>
        <v>1.35</v>
      </c>
      <c r="C566" s="319">
        <v>1</v>
      </c>
      <c r="D566" s="221"/>
      <c r="E566" s="231"/>
      <c r="F566" s="231"/>
      <c r="G566" s="231"/>
      <c r="H566" s="231"/>
    </row>
    <row r="567" s="154" customFormat="1" ht="15.75" spans="1:8">
      <c r="A567" s="326" t="s">
        <v>233</v>
      </c>
      <c r="B567" s="326"/>
      <c r="C567" s="326"/>
      <c r="D567" s="365">
        <v>200</v>
      </c>
      <c r="E567" s="284">
        <v>0.12</v>
      </c>
      <c r="F567" s="284">
        <v>0.11</v>
      </c>
      <c r="G567" s="284">
        <v>14.4</v>
      </c>
      <c r="H567" s="284">
        <v>59.19</v>
      </c>
    </row>
    <row r="568" s="154" customFormat="1" spans="1:8">
      <c r="A568" s="348" t="s">
        <v>234</v>
      </c>
      <c r="B568" s="297">
        <f>C568*1.13</f>
        <v>19.21</v>
      </c>
      <c r="C568" s="297">
        <v>17</v>
      </c>
      <c r="D568" s="334"/>
      <c r="E568" s="231"/>
      <c r="F568" s="231"/>
      <c r="G568" s="231"/>
      <c r="H568" s="231"/>
    </row>
    <row r="569" s="154" customFormat="1" spans="1:8">
      <c r="A569" s="348" t="s">
        <v>140</v>
      </c>
      <c r="B569" s="297">
        <f>C569*1.13</f>
        <v>9.04</v>
      </c>
      <c r="C569" s="297">
        <v>8</v>
      </c>
      <c r="D569" s="334"/>
      <c r="E569" s="231"/>
      <c r="F569" s="231"/>
      <c r="G569" s="231"/>
      <c r="H569" s="231"/>
    </row>
    <row r="570" s="154" customFormat="1" spans="1:8">
      <c r="A570" s="208" t="s">
        <v>26</v>
      </c>
      <c r="B570" s="249">
        <f>C570</f>
        <v>12</v>
      </c>
      <c r="C570" s="249">
        <v>12</v>
      </c>
      <c r="D570" s="334"/>
      <c r="E570" s="231"/>
      <c r="F570" s="231"/>
      <c r="G570" s="231"/>
      <c r="H570" s="231"/>
    </row>
    <row r="571" s="154" customFormat="1" spans="1:8">
      <c r="A571" s="367" t="s">
        <v>29</v>
      </c>
      <c r="B571" s="297">
        <f>C571</f>
        <v>210</v>
      </c>
      <c r="C571" s="297">
        <v>210</v>
      </c>
      <c r="D571" s="334"/>
      <c r="E571" s="231"/>
      <c r="F571" s="231"/>
      <c r="G571" s="231"/>
      <c r="H571" s="231"/>
    </row>
    <row r="572" s="154" customFormat="1" spans="1:8">
      <c r="A572" s="247"/>
      <c r="B572" s="269"/>
      <c r="C572" s="192"/>
      <c r="D572" s="537"/>
      <c r="E572" s="231"/>
      <c r="F572" s="231"/>
      <c r="G572" s="231"/>
      <c r="H572" s="231"/>
    </row>
    <row r="573" s="154" customFormat="1" ht="15.75" spans="1:8">
      <c r="A573" s="225" t="s">
        <v>30</v>
      </c>
      <c r="B573" s="249"/>
      <c r="C573" s="285"/>
      <c r="D573" s="230">
        <v>20</v>
      </c>
      <c r="E573" s="284">
        <v>1.57</v>
      </c>
      <c r="F573" s="284">
        <v>0.2</v>
      </c>
      <c r="G573" s="284">
        <v>10.62</v>
      </c>
      <c r="H573" s="284">
        <v>45.39</v>
      </c>
    </row>
    <row r="574" s="154" customFormat="1" ht="15.75" spans="1:8">
      <c r="A574" s="286" t="s">
        <v>59</v>
      </c>
      <c r="B574" s="287"/>
      <c r="C574" s="287"/>
      <c r="D574" s="283">
        <v>20</v>
      </c>
      <c r="E574" s="239">
        <v>1.12</v>
      </c>
      <c r="F574" s="239">
        <v>0.22</v>
      </c>
      <c r="G574" s="239">
        <v>11.58</v>
      </c>
      <c r="H574" s="239">
        <v>55.25</v>
      </c>
    </row>
    <row r="575" ht="19.5" spans="1:8">
      <c r="A575" s="183" t="s">
        <v>60</v>
      </c>
      <c r="B575" s="288"/>
      <c r="C575" s="288"/>
      <c r="D575" s="447"/>
      <c r="E575" s="377">
        <f>SUM(E576:E593)</f>
        <v>7.47</v>
      </c>
      <c r="F575" s="377">
        <f>SUM(F576:F593)</f>
        <v>7.57</v>
      </c>
      <c r="G575" s="377">
        <f>SUM(G576:G593)</f>
        <v>31.93</v>
      </c>
      <c r="H575" s="377">
        <f>SUM(H576:H593)</f>
        <v>223.69</v>
      </c>
    </row>
    <row r="576" s="154" customFormat="1" ht="21.75" customHeight="1" spans="1:8">
      <c r="A576" s="538" t="s">
        <v>235</v>
      </c>
      <c r="B576" s="539"/>
      <c r="C576" s="540"/>
      <c r="D576" s="541">
        <v>100</v>
      </c>
      <c r="E576" s="291">
        <v>7.2</v>
      </c>
      <c r="F576" s="291">
        <v>7.52</v>
      </c>
      <c r="G576" s="291">
        <v>18.47</v>
      </c>
      <c r="H576" s="291">
        <v>168.23</v>
      </c>
    </row>
    <row r="577" spans="1:8">
      <c r="A577" s="294" t="s">
        <v>236</v>
      </c>
      <c r="B577" s="210">
        <f>C577*1.01</f>
        <v>35.0614285714286</v>
      </c>
      <c r="C577" s="542">
        <v>34.7142857142857</v>
      </c>
      <c r="D577" s="543"/>
      <c r="E577" s="320"/>
      <c r="F577" s="320"/>
      <c r="G577" s="320"/>
      <c r="H577" s="320"/>
    </row>
    <row r="578" spans="1:8">
      <c r="A578" s="403" t="s">
        <v>24</v>
      </c>
      <c r="B578" s="542">
        <f t="shared" ref="B578:B586" si="26">C578</f>
        <v>19</v>
      </c>
      <c r="C578" s="542">
        <v>19</v>
      </c>
      <c r="D578" s="543"/>
      <c r="E578" s="320"/>
      <c r="F578" s="320"/>
      <c r="G578" s="320"/>
      <c r="H578" s="320"/>
    </row>
    <row r="579" spans="1:8">
      <c r="A579" s="544" t="s">
        <v>19</v>
      </c>
      <c r="B579" s="545">
        <f t="shared" si="26"/>
        <v>8.57142857142857</v>
      </c>
      <c r="C579" s="545">
        <v>8.57142857142857</v>
      </c>
      <c r="D579" s="543"/>
      <c r="E579" s="320"/>
      <c r="F579" s="320"/>
      <c r="G579" s="320"/>
      <c r="H579" s="320"/>
    </row>
    <row r="580" spans="1:8">
      <c r="A580" s="546" t="s">
        <v>26</v>
      </c>
      <c r="B580" s="545">
        <f t="shared" si="26"/>
        <v>11.4285714285714</v>
      </c>
      <c r="C580" s="545">
        <v>11.4285714285714</v>
      </c>
      <c r="D580" s="543"/>
      <c r="E580" s="320"/>
      <c r="F580" s="320"/>
      <c r="G580" s="320"/>
      <c r="H580" s="320"/>
    </row>
    <row r="581" spans="1:8">
      <c r="A581" s="547" t="s">
        <v>237</v>
      </c>
      <c r="B581" s="265">
        <f t="shared" si="26"/>
        <v>19</v>
      </c>
      <c r="C581" s="265">
        <v>19</v>
      </c>
      <c r="D581" s="543"/>
      <c r="E581" s="320"/>
      <c r="F581" s="320"/>
      <c r="G581" s="320"/>
      <c r="H581" s="320"/>
    </row>
    <row r="582" spans="1:8">
      <c r="A582" s="268" t="s">
        <v>171</v>
      </c>
      <c r="B582" s="285">
        <f t="shared" si="26"/>
        <v>19</v>
      </c>
      <c r="C582" s="285">
        <v>19</v>
      </c>
      <c r="D582" s="543"/>
      <c r="E582" s="320"/>
      <c r="F582" s="320"/>
      <c r="G582" s="320"/>
      <c r="H582" s="320"/>
    </row>
    <row r="583" spans="1:8">
      <c r="A583" s="299" t="s">
        <v>65</v>
      </c>
      <c r="B583" s="296">
        <f t="shared" ref="B583" si="27">C583</f>
        <v>2.14285714285714</v>
      </c>
      <c r="C583" s="296">
        <v>2.14285714285714</v>
      </c>
      <c r="D583" s="543"/>
      <c r="E583" s="320"/>
      <c r="F583" s="320"/>
      <c r="G583" s="320"/>
      <c r="H583" s="320"/>
    </row>
    <row r="584" spans="1:8">
      <c r="A584" s="544" t="s">
        <v>63</v>
      </c>
      <c r="B584" s="545">
        <f t="shared" si="26"/>
        <v>7.14285714285714</v>
      </c>
      <c r="C584" s="545">
        <v>7.14285714285714</v>
      </c>
      <c r="D584" s="543"/>
      <c r="E584" s="320"/>
      <c r="F584" s="320"/>
      <c r="G584" s="320"/>
      <c r="H584" s="320"/>
    </row>
    <row r="585" spans="1:8">
      <c r="A585" s="544" t="s">
        <v>29</v>
      </c>
      <c r="B585" s="545">
        <f t="shared" si="26"/>
        <v>1.42857142857143</v>
      </c>
      <c r="C585" s="545">
        <v>1.42857142857143</v>
      </c>
      <c r="D585" s="543"/>
      <c r="E585" s="320"/>
      <c r="F585" s="320"/>
      <c r="G585" s="320"/>
      <c r="H585" s="320"/>
    </row>
    <row r="586" spans="1:8">
      <c r="A586" s="548" t="s">
        <v>51</v>
      </c>
      <c r="B586" s="545">
        <f t="shared" si="26"/>
        <v>1.14285714285714</v>
      </c>
      <c r="C586" s="545">
        <v>1.14285714285714</v>
      </c>
      <c r="D586" s="543"/>
      <c r="E586" s="320"/>
      <c r="F586" s="320"/>
      <c r="G586" s="320"/>
      <c r="H586" s="320"/>
    </row>
    <row r="587" spans="1:8">
      <c r="A587" s="549" t="s">
        <v>238</v>
      </c>
      <c r="B587" s="550"/>
      <c r="C587" s="551">
        <f>SUM(C577:C586)</f>
        <v>123.571428571429</v>
      </c>
      <c r="D587" s="552"/>
      <c r="E587" s="320"/>
      <c r="F587" s="320"/>
      <c r="G587" s="320"/>
      <c r="H587" s="320"/>
    </row>
    <row r="588" s="154" customFormat="1" spans="1:8">
      <c r="A588" s="292" t="s">
        <v>95</v>
      </c>
      <c r="B588" s="265">
        <f>C588</f>
        <v>1.5</v>
      </c>
      <c r="C588" s="265">
        <v>1.5</v>
      </c>
      <c r="D588" s="293"/>
      <c r="E588" s="231"/>
      <c r="F588" s="231"/>
      <c r="G588" s="231"/>
      <c r="H588" s="231"/>
    </row>
    <row r="589" s="154" customFormat="1" ht="15.75" spans="1:8">
      <c r="A589" s="553" t="s">
        <v>239</v>
      </c>
      <c r="B589" s="553"/>
      <c r="C589" s="553"/>
      <c r="D589" s="375">
        <v>200</v>
      </c>
      <c r="E589" s="190">
        <v>0.27</v>
      </c>
      <c r="F589" s="190">
        <v>0.05</v>
      </c>
      <c r="G589" s="190">
        <v>13.46</v>
      </c>
      <c r="H589" s="190">
        <v>55.46</v>
      </c>
    </row>
    <row r="590" s="154" customFormat="1" spans="1:8">
      <c r="A590" s="219" t="s">
        <v>28</v>
      </c>
      <c r="B590" s="269">
        <f>C590</f>
        <v>1</v>
      </c>
      <c r="C590" s="220">
        <v>1</v>
      </c>
      <c r="D590" s="376"/>
      <c r="E590" s="231"/>
      <c r="F590" s="231"/>
      <c r="G590" s="231"/>
      <c r="H590" s="231"/>
    </row>
    <row r="591" s="154" customFormat="1" spans="1:8">
      <c r="A591" s="219" t="s">
        <v>29</v>
      </c>
      <c r="B591" s="269">
        <f>C591</f>
        <v>215</v>
      </c>
      <c r="C591" s="269">
        <v>215</v>
      </c>
      <c r="D591" s="376"/>
      <c r="E591" s="231"/>
      <c r="F591" s="231"/>
      <c r="G591" s="231"/>
      <c r="H591" s="231"/>
    </row>
    <row r="592" s="154" customFormat="1" spans="1:8">
      <c r="A592" s="208" t="s">
        <v>26</v>
      </c>
      <c r="B592" s="269">
        <f>C592</f>
        <v>13</v>
      </c>
      <c r="C592" s="269">
        <v>13</v>
      </c>
      <c r="D592" s="376"/>
      <c r="E592" s="231"/>
      <c r="F592" s="231"/>
      <c r="G592" s="231"/>
      <c r="H592" s="231"/>
    </row>
    <row r="593" s="154" customFormat="1" spans="1:8">
      <c r="A593" s="208" t="s">
        <v>216</v>
      </c>
      <c r="B593" s="269">
        <f>C593</f>
        <v>2</v>
      </c>
      <c r="C593" s="269">
        <v>2</v>
      </c>
      <c r="D593" s="376"/>
      <c r="E593" s="231"/>
      <c r="F593" s="231"/>
      <c r="G593" s="231"/>
      <c r="H593" s="231"/>
    </row>
    <row r="594" ht="18.75" spans="1:8">
      <c r="A594" s="309" t="s">
        <v>70</v>
      </c>
      <c r="B594" s="310"/>
      <c r="C594" s="310"/>
      <c r="D594" s="311"/>
      <c r="E594" s="312">
        <f>E575+E527+E508</f>
        <v>46.35</v>
      </c>
      <c r="F594" s="312">
        <f>F575+F527+F508</f>
        <v>45.15</v>
      </c>
      <c r="G594" s="312">
        <f>G575+G527+G508</f>
        <v>191.72</v>
      </c>
      <c r="H594" s="312">
        <f>H575+H527+H508</f>
        <v>1357</v>
      </c>
    </row>
    <row r="595" ht="27" customHeight="1" spans="1:8">
      <c r="A595" s="174" t="s">
        <v>240</v>
      </c>
      <c r="B595" s="175"/>
      <c r="C595" s="175"/>
      <c r="D595" s="175"/>
      <c r="E595" s="175"/>
      <c r="F595" s="175"/>
      <c r="G595" s="175"/>
      <c r="H595" s="176"/>
    </row>
    <row r="596" ht="27" customHeight="1" spans="1:8">
      <c r="A596" s="177" t="s">
        <v>5</v>
      </c>
      <c r="B596" s="177" t="s">
        <v>6</v>
      </c>
      <c r="C596" s="177" t="s">
        <v>7</v>
      </c>
      <c r="D596" s="178" t="s">
        <v>8</v>
      </c>
      <c r="E596" s="179" t="s">
        <v>9</v>
      </c>
      <c r="F596" s="179" t="s">
        <v>10</v>
      </c>
      <c r="G596" s="179" t="s">
        <v>11</v>
      </c>
      <c r="H596" s="179" t="s">
        <v>12</v>
      </c>
    </row>
    <row r="597" ht="27" customHeight="1" spans="1:8">
      <c r="A597" s="180"/>
      <c r="B597" s="180"/>
      <c r="C597" s="180"/>
      <c r="D597" s="181"/>
      <c r="E597" s="182"/>
      <c r="F597" s="182"/>
      <c r="G597" s="182"/>
      <c r="H597" s="182"/>
    </row>
    <row r="598" ht="21" customHeight="1" spans="1:8">
      <c r="A598" s="183" t="s">
        <v>13</v>
      </c>
      <c r="B598" s="183"/>
      <c r="C598" s="183"/>
      <c r="D598" s="455">
        <v>528</v>
      </c>
      <c r="E598" s="377">
        <f>SUM(E599:E615)</f>
        <v>14.83</v>
      </c>
      <c r="F598" s="377">
        <f>SUM(F599:F615)</f>
        <v>15.82</v>
      </c>
      <c r="G598" s="377">
        <f>SUM(G599:G615)</f>
        <v>65.53</v>
      </c>
      <c r="H598" s="377">
        <f>SUM(H599:H615)</f>
        <v>446.76</v>
      </c>
    </row>
    <row r="599" s="154" customFormat="1" ht="15.75" spans="1:8">
      <c r="A599" s="378" t="s">
        <v>241</v>
      </c>
      <c r="B599" s="379"/>
      <c r="C599" s="379"/>
      <c r="D599" s="380" t="s">
        <v>73</v>
      </c>
      <c r="E599" s="190">
        <v>5.41</v>
      </c>
      <c r="F599" s="190">
        <v>6.77</v>
      </c>
      <c r="G599" s="190">
        <v>9.3</v>
      </c>
      <c r="H599" s="190">
        <v>115.72</v>
      </c>
    </row>
    <row r="600" s="154" customFormat="1" spans="1:8">
      <c r="A600" s="195" t="s">
        <v>17</v>
      </c>
      <c r="B600" s="302">
        <f>C600</f>
        <v>18</v>
      </c>
      <c r="C600" s="302">
        <v>18</v>
      </c>
      <c r="D600" s="218"/>
      <c r="E600" s="231"/>
      <c r="F600" s="231"/>
      <c r="G600" s="231"/>
      <c r="H600" s="231"/>
    </row>
    <row r="601" s="154" customFormat="1" spans="1:8">
      <c r="A601" s="191" t="s">
        <v>16</v>
      </c>
      <c r="B601" s="336">
        <f>C601</f>
        <v>10</v>
      </c>
      <c r="C601" s="319">
        <v>10</v>
      </c>
      <c r="D601" s="334"/>
      <c r="E601" s="231"/>
      <c r="F601" s="231"/>
      <c r="G601" s="231"/>
      <c r="H601" s="231"/>
    </row>
    <row r="602" s="154" customFormat="1" ht="15.75" spans="1:8">
      <c r="A602" s="204" t="s">
        <v>242</v>
      </c>
      <c r="B602" s="205"/>
      <c r="C602" s="206"/>
      <c r="D602" s="207" t="s">
        <v>76</v>
      </c>
      <c r="E602" s="190">
        <v>6.25</v>
      </c>
      <c r="F602" s="190">
        <v>7.23</v>
      </c>
      <c r="G602" s="190">
        <v>22.82</v>
      </c>
      <c r="H602" s="190">
        <v>167.36</v>
      </c>
    </row>
    <row r="603" s="154" customFormat="1" spans="1:8">
      <c r="A603" s="208" t="s">
        <v>77</v>
      </c>
      <c r="B603" s="192">
        <f t="shared" ref="B603:B608" si="28">C603</f>
        <v>25</v>
      </c>
      <c r="C603" s="192">
        <v>25</v>
      </c>
      <c r="D603" s="193"/>
      <c r="E603" s="231"/>
      <c r="F603" s="231"/>
      <c r="G603" s="231"/>
      <c r="H603" s="231"/>
    </row>
    <row r="604" s="154" customFormat="1" spans="1:8">
      <c r="A604" s="209" t="s">
        <v>23</v>
      </c>
      <c r="B604" s="192">
        <f t="shared" si="28"/>
        <v>77</v>
      </c>
      <c r="C604" s="210">
        <v>77</v>
      </c>
      <c r="D604" s="370"/>
      <c r="E604" s="231"/>
      <c r="F604" s="231"/>
      <c r="G604" s="231"/>
      <c r="H604" s="231"/>
    </row>
    <row r="605" s="154" customFormat="1" spans="1:8">
      <c r="A605" s="212" t="s">
        <v>24</v>
      </c>
      <c r="B605" s="192">
        <f t="shared" si="28"/>
        <v>87</v>
      </c>
      <c r="C605" s="210">
        <v>87</v>
      </c>
      <c r="D605" s="370"/>
      <c r="E605" s="231"/>
      <c r="F605" s="231"/>
      <c r="G605" s="231"/>
      <c r="H605" s="231"/>
    </row>
    <row r="606" s="154" customFormat="1" spans="1:8">
      <c r="A606" s="208" t="s">
        <v>26</v>
      </c>
      <c r="B606" s="192">
        <f t="shared" si="28"/>
        <v>4.4</v>
      </c>
      <c r="C606" s="192">
        <v>4.4</v>
      </c>
      <c r="D606" s="370"/>
      <c r="E606" s="231"/>
      <c r="F606" s="231"/>
      <c r="G606" s="231"/>
      <c r="H606" s="231"/>
    </row>
    <row r="607" s="154" customFormat="1" spans="1:8">
      <c r="A607" s="213" t="s">
        <v>25</v>
      </c>
      <c r="B607" s="214">
        <f t="shared" si="28"/>
        <v>0.7</v>
      </c>
      <c r="C607" s="404">
        <v>0.7</v>
      </c>
      <c r="D607" s="370"/>
      <c r="E607" s="231"/>
      <c r="F607" s="231"/>
      <c r="G607" s="231"/>
      <c r="H607" s="231"/>
    </row>
    <row r="608" s="154" customFormat="1" spans="1:8">
      <c r="A608" s="191" t="s">
        <v>16</v>
      </c>
      <c r="B608" s="192">
        <f t="shared" si="28"/>
        <v>3</v>
      </c>
      <c r="C608" s="192">
        <v>3</v>
      </c>
      <c r="D608" s="370"/>
      <c r="E608" s="231"/>
      <c r="F608" s="231"/>
      <c r="G608" s="231"/>
      <c r="H608" s="231"/>
    </row>
    <row r="609" s="154" customFormat="1" ht="15.75" spans="1:8">
      <c r="A609" s="215" t="s">
        <v>243</v>
      </c>
      <c r="B609" s="216"/>
      <c r="C609" s="217"/>
      <c r="D609" s="218">
        <v>200</v>
      </c>
      <c r="E609" s="190">
        <v>1.88</v>
      </c>
      <c r="F609" s="190">
        <v>1.55</v>
      </c>
      <c r="G609" s="190">
        <v>14.85</v>
      </c>
      <c r="H609" s="190">
        <v>80.48</v>
      </c>
    </row>
    <row r="610" s="154" customFormat="1" spans="1:8">
      <c r="A610" s="219" t="s">
        <v>28</v>
      </c>
      <c r="B610" s="220">
        <f>C610</f>
        <v>1</v>
      </c>
      <c r="C610" s="220">
        <v>1</v>
      </c>
      <c r="D610" s="221"/>
      <c r="E610" s="231"/>
      <c r="F610" s="231"/>
      <c r="G610" s="231"/>
      <c r="H610" s="231"/>
    </row>
    <row r="611" s="154" customFormat="1" spans="1:8">
      <c r="A611" s="208" t="s">
        <v>26</v>
      </c>
      <c r="B611" s="220">
        <f>C611</f>
        <v>11</v>
      </c>
      <c r="C611" s="220">
        <v>11</v>
      </c>
      <c r="D611" s="221"/>
      <c r="E611" s="231"/>
      <c r="F611" s="231"/>
      <c r="G611" s="231"/>
      <c r="H611" s="231"/>
    </row>
    <row r="612" s="154" customFormat="1" spans="1:8">
      <c r="A612" s="212" t="s">
        <v>24</v>
      </c>
      <c r="B612" s="222">
        <f>C612</f>
        <v>60</v>
      </c>
      <c r="C612" s="222">
        <v>60</v>
      </c>
      <c r="D612" s="221"/>
      <c r="E612" s="231"/>
      <c r="F612" s="231"/>
      <c r="G612" s="231"/>
      <c r="H612" s="231"/>
    </row>
    <row r="613" s="154" customFormat="1" spans="1:8">
      <c r="A613" s="223" t="s">
        <v>29</v>
      </c>
      <c r="B613" s="224">
        <f>C613</f>
        <v>150</v>
      </c>
      <c r="C613" s="224">
        <v>150</v>
      </c>
      <c r="D613" s="221"/>
      <c r="E613" s="231"/>
      <c r="F613" s="231"/>
      <c r="G613" s="231"/>
      <c r="H613" s="231"/>
    </row>
    <row r="614" s="154" customFormat="1" ht="15.75" spans="1:8">
      <c r="A614" s="326" t="s">
        <v>80</v>
      </c>
      <c r="B614" s="391"/>
      <c r="C614" s="391"/>
      <c r="D614" s="283">
        <v>100</v>
      </c>
      <c r="E614" s="327">
        <v>0.4</v>
      </c>
      <c r="F614" s="190">
        <v>0.1</v>
      </c>
      <c r="G614" s="190">
        <v>9.3</v>
      </c>
      <c r="H614" s="190">
        <v>39</v>
      </c>
    </row>
    <row r="615" s="154" customFormat="1" ht="15.75" spans="1:8">
      <c r="A615" s="286" t="s">
        <v>59</v>
      </c>
      <c r="B615" s="287"/>
      <c r="C615" s="287"/>
      <c r="D615" s="283">
        <v>20</v>
      </c>
      <c r="E615" s="190">
        <v>0.89</v>
      </c>
      <c r="F615" s="190">
        <v>0.17</v>
      </c>
      <c r="G615" s="190">
        <v>9.26</v>
      </c>
      <c r="H615" s="190">
        <v>44.2</v>
      </c>
    </row>
    <row r="616" ht="19.5" spans="1:8">
      <c r="A616" s="183" t="s">
        <v>32</v>
      </c>
      <c r="B616" s="232"/>
      <c r="C616" s="232"/>
      <c r="D616" s="392">
        <f>D617+D630+D645+D650+D654+D655</f>
        <v>700</v>
      </c>
      <c r="E616" s="377">
        <f>SUM(E617:E655)</f>
        <v>24.26</v>
      </c>
      <c r="F616" s="377">
        <f>SUM(F617:F655)</f>
        <v>24.65</v>
      </c>
      <c r="G616" s="377">
        <f>SUM(G617:G655)</f>
        <v>105.47</v>
      </c>
      <c r="H616" s="377">
        <f>SUM(H617:H655)</f>
        <v>729.7</v>
      </c>
    </row>
    <row r="617" s="154" customFormat="1" ht="15.75" spans="1:8">
      <c r="A617" s="421" t="s">
        <v>244</v>
      </c>
      <c r="B617" s="422"/>
      <c r="C617" s="423"/>
      <c r="D617" s="369">
        <v>200</v>
      </c>
      <c r="E617" s="239">
        <v>5.8</v>
      </c>
      <c r="F617" s="239">
        <v>6.17</v>
      </c>
      <c r="G617" s="239">
        <v>19.21</v>
      </c>
      <c r="H617" s="239">
        <v>143.85</v>
      </c>
    </row>
    <row r="618" s="154" customFormat="1" ht="15.75" spans="1:8">
      <c r="A618" s="247" t="s">
        <v>36</v>
      </c>
      <c r="B618" s="241">
        <f>C618*1.33</f>
        <v>57.19</v>
      </c>
      <c r="C618" s="241">
        <v>43</v>
      </c>
      <c r="D618" s="369"/>
      <c r="E618" s="239"/>
      <c r="F618" s="239"/>
      <c r="G618" s="239"/>
      <c r="H618" s="239"/>
    </row>
    <row r="619" s="154" customFormat="1" ht="15.75" spans="1:8">
      <c r="A619" s="247" t="s">
        <v>37</v>
      </c>
      <c r="B619" s="241">
        <f>C619*1.67</f>
        <v>71.81</v>
      </c>
      <c r="C619" s="241">
        <v>43</v>
      </c>
      <c r="D619" s="369"/>
      <c r="E619" s="239"/>
      <c r="F619" s="239"/>
      <c r="G619" s="239"/>
      <c r="H619" s="239"/>
    </row>
    <row r="620" s="154" customFormat="1" spans="1:8">
      <c r="A620" s="247" t="s">
        <v>39</v>
      </c>
      <c r="B620" s="256">
        <f>C620*1.25</f>
        <v>18.75</v>
      </c>
      <c r="C620" s="336">
        <v>15</v>
      </c>
      <c r="D620" s="354"/>
      <c r="E620" s="231"/>
      <c r="F620" s="231"/>
      <c r="G620" s="231"/>
      <c r="H620" s="231"/>
    </row>
    <row r="621" s="154" customFormat="1" spans="1:8">
      <c r="A621" s="247" t="s">
        <v>86</v>
      </c>
      <c r="B621" s="249">
        <f>C621*1.33</f>
        <v>19.95</v>
      </c>
      <c r="C621" s="249">
        <v>15</v>
      </c>
      <c r="D621" s="354"/>
      <c r="E621" s="231"/>
      <c r="F621" s="231"/>
      <c r="G621" s="231"/>
      <c r="H621" s="231"/>
    </row>
    <row r="622" s="154" customFormat="1" spans="1:8">
      <c r="A622" s="424" t="s">
        <v>40</v>
      </c>
      <c r="B622" s="425">
        <f>C622*1.19</f>
        <v>11.9</v>
      </c>
      <c r="C622" s="316">
        <v>10</v>
      </c>
      <c r="D622" s="354"/>
      <c r="E622" s="231"/>
      <c r="F622" s="231"/>
      <c r="G622" s="231"/>
      <c r="H622" s="231"/>
    </row>
    <row r="623" s="154" customFormat="1" spans="1:8">
      <c r="A623" s="212" t="s">
        <v>24</v>
      </c>
      <c r="B623" s="210">
        <f>C623</f>
        <v>25</v>
      </c>
      <c r="C623" s="210">
        <v>25</v>
      </c>
      <c r="D623" s="426"/>
      <c r="E623" s="231"/>
      <c r="F623" s="231"/>
      <c r="G623" s="231"/>
      <c r="H623" s="231"/>
    </row>
    <row r="624" s="154" customFormat="1" spans="1:8">
      <c r="A624" s="403" t="s">
        <v>245</v>
      </c>
      <c r="B624" s="265">
        <f>C624*1.02</f>
        <v>20.4</v>
      </c>
      <c r="C624" s="265">
        <v>20</v>
      </c>
      <c r="D624" s="503"/>
      <c r="E624" s="231"/>
      <c r="F624" s="231"/>
      <c r="G624" s="231"/>
      <c r="H624" s="231"/>
    </row>
    <row r="625" s="154" customFormat="1" spans="1:8">
      <c r="A625" s="427" t="s">
        <v>29</v>
      </c>
      <c r="B625" s="210">
        <f>C625</f>
        <v>100</v>
      </c>
      <c r="C625" s="210">
        <v>100</v>
      </c>
      <c r="D625" s="426"/>
      <c r="E625" s="231"/>
      <c r="F625" s="231"/>
      <c r="G625" s="231"/>
      <c r="H625" s="231"/>
    </row>
    <row r="626" s="154" customFormat="1" spans="1:8">
      <c r="A626" s="554" t="s">
        <v>51</v>
      </c>
      <c r="B626" s="210">
        <f>C626</f>
        <v>4</v>
      </c>
      <c r="C626" s="210">
        <v>4</v>
      </c>
      <c r="D626" s="426"/>
      <c r="E626" s="231"/>
      <c r="F626" s="231"/>
      <c r="G626" s="231"/>
      <c r="H626" s="231"/>
    </row>
    <row r="627" s="154" customFormat="1" spans="1:8">
      <c r="A627" s="292" t="s">
        <v>156</v>
      </c>
      <c r="B627" s="265">
        <f t="shared" ref="B627:B628" si="29">C627</f>
        <v>4</v>
      </c>
      <c r="C627" s="265">
        <v>4</v>
      </c>
      <c r="D627" s="416"/>
      <c r="E627" s="231"/>
      <c r="F627" s="231"/>
      <c r="G627" s="231"/>
      <c r="H627" s="231"/>
    </row>
    <row r="628" s="154" customFormat="1" spans="1:8">
      <c r="A628" s="213" t="s">
        <v>25</v>
      </c>
      <c r="B628" s="214">
        <f t="shared" si="29"/>
        <v>0.54</v>
      </c>
      <c r="C628" s="210">
        <v>0.54</v>
      </c>
      <c r="D628" s="426"/>
      <c r="E628" s="231"/>
      <c r="F628" s="231"/>
      <c r="G628" s="231"/>
      <c r="H628" s="231"/>
    </row>
    <row r="629" s="154" customFormat="1" spans="1:8">
      <c r="A629" s="478" t="s">
        <v>160</v>
      </c>
      <c r="B629" s="479">
        <f>C629*1.2</f>
        <v>1.2</v>
      </c>
      <c r="C629" s="479">
        <v>1</v>
      </c>
      <c r="D629" s="480"/>
      <c r="E629" s="231"/>
      <c r="F629" s="231"/>
      <c r="G629" s="231"/>
      <c r="H629" s="231"/>
    </row>
    <row r="630" s="154" customFormat="1" ht="15.75" spans="1:8">
      <c r="A630" s="555" t="s">
        <v>246</v>
      </c>
      <c r="B630" s="556"/>
      <c r="C630" s="557"/>
      <c r="D630" s="399">
        <v>90</v>
      </c>
      <c r="E630" s="190">
        <v>7.02</v>
      </c>
      <c r="F630" s="190">
        <v>12.16</v>
      </c>
      <c r="G630" s="190">
        <v>5.66</v>
      </c>
      <c r="H630" s="190">
        <v>144.23</v>
      </c>
    </row>
    <row r="631" s="154" customFormat="1" spans="1:8">
      <c r="A631" s="424" t="s">
        <v>92</v>
      </c>
      <c r="B631" s="252">
        <f>C631*1.05</f>
        <v>73.5</v>
      </c>
      <c r="C631" s="252">
        <f>C632*1.4</f>
        <v>70</v>
      </c>
      <c r="D631" s="308"/>
      <c r="E631" s="231"/>
      <c r="F631" s="231"/>
      <c r="G631" s="231"/>
      <c r="H631" s="231"/>
    </row>
    <row r="632" s="154" customFormat="1" spans="1:8">
      <c r="A632" s="507" t="s">
        <v>213</v>
      </c>
      <c r="B632" s="508"/>
      <c r="C632" s="469">
        <v>50</v>
      </c>
      <c r="D632" s="308"/>
      <c r="E632" s="231"/>
      <c r="F632" s="231"/>
      <c r="G632" s="231"/>
      <c r="H632" s="231"/>
    </row>
    <row r="633" s="154" customFormat="1" spans="1:8">
      <c r="A633" s="401" t="s">
        <v>124</v>
      </c>
      <c r="B633" s="262">
        <f>C633</f>
        <v>3.2</v>
      </c>
      <c r="C633" s="269">
        <v>3.2</v>
      </c>
      <c r="D633" s="197"/>
      <c r="E633" s="231"/>
      <c r="F633" s="231"/>
      <c r="G633" s="231"/>
      <c r="H633" s="231"/>
    </row>
    <row r="634" s="154" customFormat="1" spans="1:8">
      <c r="A634" s="247" t="s">
        <v>40</v>
      </c>
      <c r="B634" s="249">
        <f>C634*1.19</f>
        <v>14.28</v>
      </c>
      <c r="C634" s="249">
        <v>12</v>
      </c>
      <c r="D634" s="197"/>
      <c r="E634" s="231"/>
      <c r="F634" s="231"/>
      <c r="G634" s="231"/>
      <c r="H634" s="231"/>
    </row>
    <row r="635" s="154" customFormat="1" spans="1:8">
      <c r="A635" s="247" t="s">
        <v>39</v>
      </c>
      <c r="B635" s="256">
        <f>C635*1.25</f>
        <v>15</v>
      </c>
      <c r="C635" s="336">
        <v>12</v>
      </c>
      <c r="D635" s="197"/>
      <c r="E635" s="231"/>
      <c r="F635" s="231"/>
      <c r="G635" s="231"/>
      <c r="H635" s="231"/>
    </row>
    <row r="636" s="154" customFormat="1" ht="18.75" spans="1:8">
      <c r="A636" s="247" t="s">
        <v>86</v>
      </c>
      <c r="B636" s="249">
        <f>C636*1.33</f>
        <v>15.96</v>
      </c>
      <c r="C636" s="249">
        <v>12</v>
      </c>
      <c r="D636" s="558"/>
      <c r="E636" s="231"/>
      <c r="F636" s="231"/>
      <c r="G636" s="231"/>
      <c r="H636" s="231"/>
    </row>
    <row r="637" s="154" customFormat="1" spans="1:8">
      <c r="A637" s="212" t="s">
        <v>247</v>
      </c>
      <c r="B637" s="254">
        <f>C637*1.3</f>
        <v>13</v>
      </c>
      <c r="C637" s="192">
        <v>10</v>
      </c>
      <c r="D637" s="439"/>
      <c r="E637" s="231"/>
      <c r="F637" s="231"/>
      <c r="G637" s="231"/>
      <c r="H637" s="231"/>
    </row>
    <row r="638" s="154" customFormat="1" spans="1:8">
      <c r="A638" s="209" t="s">
        <v>118</v>
      </c>
      <c r="B638" s="559">
        <f>C638*1.25</f>
        <v>12.5</v>
      </c>
      <c r="C638" s="559">
        <v>10</v>
      </c>
      <c r="D638" s="439"/>
      <c r="E638" s="231"/>
      <c r="F638" s="231"/>
      <c r="G638" s="231"/>
      <c r="H638" s="231"/>
    </row>
    <row r="639" s="154" customFormat="1" spans="1:8">
      <c r="A639" s="209" t="s">
        <v>248</v>
      </c>
      <c r="B639" s="252">
        <f>C639</f>
        <v>8</v>
      </c>
      <c r="C639" s="241">
        <v>8</v>
      </c>
      <c r="D639" s="248"/>
      <c r="E639" s="231"/>
      <c r="F639" s="231"/>
      <c r="G639" s="231"/>
      <c r="H639" s="231"/>
    </row>
    <row r="640" s="154" customFormat="1" spans="1:8">
      <c r="A640" s="554" t="s">
        <v>51</v>
      </c>
      <c r="B640" s="249">
        <f>C640</f>
        <v>3</v>
      </c>
      <c r="C640" s="249">
        <v>3</v>
      </c>
      <c r="D640" s="197"/>
      <c r="E640" s="231"/>
      <c r="F640" s="231"/>
      <c r="G640" s="231"/>
      <c r="H640" s="231"/>
    </row>
    <row r="641" s="154" customFormat="1" spans="1:8">
      <c r="A641" s="213" t="s">
        <v>25</v>
      </c>
      <c r="B641" s="214">
        <f>C641</f>
        <v>0.8</v>
      </c>
      <c r="C641" s="210">
        <v>0.8</v>
      </c>
      <c r="D641" s="197"/>
      <c r="E641" s="231"/>
      <c r="F641" s="231"/>
      <c r="G641" s="231"/>
      <c r="H641" s="231"/>
    </row>
    <row r="642" s="154" customFormat="1" spans="1:8">
      <c r="A642" s="292" t="s">
        <v>156</v>
      </c>
      <c r="B642" s="265">
        <f t="shared" ref="B642:B643" si="30">C642</f>
        <v>4</v>
      </c>
      <c r="C642" s="265">
        <v>4</v>
      </c>
      <c r="D642" s="416"/>
      <c r="E642" s="231"/>
      <c r="F642" s="231"/>
      <c r="G642" s="231"/>
      <c r="H642" s="231"/>
    </row>
    <row r="643" s="154" customFormat="1" spans="1:8">
      <c r="A643" s="247" t="s">
        <v>29</v>
      </c>
      <c r="B643" s="249">
        <f t="shared" si="30"/>
        <v>30</v>
      </c>
      <c r="C643" s="249">
        <v>30</v>
      </c>
      <c r="D643" s="197"/>
      <c r="E643" s="231"/>
      <c r="F643" s="231"/>
      <c r="G643" s="231"/>
      <c r="H643" s="231"/>
    </row>
    <row r="644" s="154" customFormat="1" spans="1:8">
      <c r="A644" s="219" t="s">
        <v>47</v>
      </c>
      <c r="B644" s="249">
        <f>C644*1.35</f>
        <v>0.675</v>
      </c>
      <c r="C644" s="269">
        <v>0.5</v>
      </c>
      <c r="D644" s="197"/>
      <c r="E644" s="231"/>
      <c r="F644" s="231"/>
      <c r="G644" s="231"/>
      <c r="H644" s="231"/>
    </row>
    <row r="645" s="154" customFormat="1" ht="15.75" spans="1:8">
      <c r="A645" s="321" t="s">
        <v>249</v>
      </c>
      <c r="B645" s="321"/>
      <c r="C645" s="321"/>
      <c r="D645" s="230">
        <v>150</v>
      </c>
      <c r="E645" s="190">
        <v>6.98</v>
      </c>
      <c r="F645" s="190">
        <v>5.44</v>
      </c>
      <c r="G645" s="190">
        <v>21.23</v>
      </c>
      <c r="H645" s="190">
        <v>155.36</v>
      </c>
    </row>
    <row r="646" s="154" customFormat="1" spans="1:8">
      <c r="A646" s="247" t="s">
        <v>128</v>
      </c>
      <c r="B646" s="249">
        <f>C646</f>
        <v>55</v>
      </c>
      <c r="C646" s="249">
        <v>55</v>
      </c>
      <c r="D646" s="221"/>
      <c r="E646" s="231"/>
      <c r="F646" s="231"/>
      <c r="G646" s="231"/>
      <c r="H646" s="231"/>
    </row>
    <row r="647" s="154" customFormat="1" spans="1:8">
      <c r="A647" s="247" t="s">
        <v>29</v>
      </c>
      <c r="B647" s="249">
        <f>C647</f>
        <v>102.5</v>
      </c>
      <c r="C647" s="249">
        <v>102.5</v>
      </c>
      <c r="D647" s="221"/>
      <c r="E647" s="231"/>
      <c r="F647" s="231"/>
      <c r="G647" s="231"/>
      <c r="H647" s="231"/>
    </row>
    <row r="648" s="154" customFormat="1" spans="1:8">
      <c r="A648" s="191" t="s">
        <v>16</v>
      </c>
      <c r="B648" s="249">
        <f>C648</f>
        <v>5</v>
      </c>
      <c r="C648" s="249">
        <v>5</v>
      </c>
      <c r="D648" s="221"/>
      <c r="E648" s="231"/>
      <c r="F648" s="231"/>
      <c r="G648" s="231"/>
      <c r="H648" s="231"/>
    </row>
    <row r="649" s="154" customFormat="1" spans="1:8">
      <c r="A649" s="213" t="s">
        <v>25</v>
      </c>
      <c r="B649" s="214">
        <f>C649</f>
        <v>0.8</v>
      </c>
      <c r="C649" s="269">
        <v>0.8</v>
      </c>
      <c r="D649" s="376"/>
      <c r="E649" s="231"/>
      <c r="F649" s="231"/>
      <c r="G649" s="231"/>
      <c r="H649" s="231"/>
    </row>
    <row r="650" s="154" customFormat="1" ht="15.75" spans="1:8">
      <c r="A650" s="362" t="s">
        <v>250</v>
      </c>
      <c r="B650" s="363"/>
      <c r="C650" s="364"/>
      <c r="D650" s="365">
        <v>180</v>
      </c>
      <c r="E650" s="284">
        <v>0.43</v>
      </c>
      <c r="F650" s="284">
        <v>0.09</v>
      </c>
      <c r="G650" s="284">
        <v>17.86</v>
      </c>
      <c r="H650" s="284">
        <v>87.36</v>
      </c>
    </row>
    <row r="651" s="154" customFormat="1" spans="1:8">
      <c r="A651" s="191" t="s">
        <v>251</v>
      </c>
      <c r="B651" s="297">
        <f>C651</f>
        <v>15</v>
      </c>
      <c r="C651" s="297">
        <v>15</v>
      </c>
      <c r="D651" s="334"/>
      <c r="E651" s="231"/>
      <c r="F651" s="231"/>
      <c r="G651" s="231"/>
      <c r="H651" s="231"/>
    </row>
    <row r="652" s="154" customFormat="1" spans="1:8">
      <c r="A652" s="208" t="s">
        <v>26</v>
      </c>
      <c r="B652" s="249">
        <f>C652</f>
        <v>12</v>
      </c>
      <c r="C652" s="249">
        <v>12</v>
      </c>
      <c r="D652" s="334"/>
      <c r="E652" s="231"/>
      <c r="F652" s="231"/>
      <c r="G652" s="231"/>
      <c r="H652" s="231"/>
    </row>
    <row r="653" s="154" customFormat="1" spans="1:8">
      <c r="A653" s="367" t="s">
        <v>29</v>
      </c>
      <c r="B653" s="297">
        <f>C653</f>
        <v>200</v>
      </c>
      <c r="C653" s="297">
        <v>200</v>
      </c>
      <c r="D653" s="334"/>
      <c r="E653" s="231"/>
      <c r="F653" s="231"/>
      <c r="G653" s="231"/>
      <c r="H653" s="231"/>
    </row>
    <row r="654" s="154" customFormat="1" ht="15.75" spans="1:8">
      <c r="A654" s="225" t="s">
        <v>30</v>
      </c>
      <c r="B654" s="249"/>
      <c r="C654" s="285"/>
      <c r="D654" s="230">
        <v>40</v>
      </c>
      <c r="E654" s="190">
        <v>2.24</v>
      </c>
      <c r="F654" s="190">
        <v>0.44</v>
      </c>
      <c r="G654" s="190">
        <v>23.16</v>
      </c>
      <c r="H654" s="190">
        <v>110.5</v>
      </c>
    </row>
    <row r="655" s="154" customFormat="1" ht="15.75" spans="1:8">
      <c r="A655" s="286" t="s">
        <v>59</v>
      </c>
      <c r="B655" s="287"/>
      <c r="C655" s="287"/>
      <c r="D655" s="283">
        <v>40</v>
      </c>
      <c r="E655" s="190">
        <v>1.79</v>
      </c>
      <c r="F655" s="190">
        <v>0.35</v>
      </c>
      <c r="G655" s="190">
        <v>18.35</v>
      </c>
      <c r="H655" s="190">
        <v>88.4</v>
      </c>
    </row>
    <row r="656" ht="19.5" spans="1:8">
      <c r="A656" s="183" t="s">
        <v>60</v>
      </c>
      <c r="B656" s="288"/>
      <c r="C656" s="288"/>
      <c r="D656" s="411" t="s">
        <v>252</v>
      </c>
      <c r="E656" s="377">
        <f>SUM(E657:E668)</f>
        <v>7.91</v>
      </c>
      <c r="F656" s="377">
        <f>SUM(F657:F668)</f>
        <v>8.16</v>
      </c>
      <c r="G656" s="377">
        <f>SUM(G657:G668)</f>
        <v>35.01</v>
      </c>
      <c r="H656" s="377">
        <f>SUM(H657:H668)</f>
        <v>246.69</v>
      </c>
    </row>
    <row r="657" ht="15.75" spans="1:8">
      <c r="A657" s="412" t="s">
        <v>253</v>
      </c>
      <c r="B657" s="269"/>
      <c r="C657" s="269"/>
      <c r="D657" s="283">
        <v>50</v>
      </c>
      <c r="E657" s="291">
        <v>4.37</v>
      </c>
      <c r="F657" s="291">
        <v>3.86</v>
      </c>
      <c r="G657" s="291">
        <v>14.13</v>
      </c>
      <c r="H657" s="291">
        <v>102.9</v>
      </c>
    </row>
    <row r="658" spans="1:8">
      <c r="A658" s="268" t="s">
        <v>134</v>
      </c>
      <c r="B658" s="269">
        <f>C658</f>
        <v>50</v>
      </c>
      <c r="C658" s="269">
        <v>50</v>
      </c>
      <c r="D658" s="270"/>
      <c r="E658" s="320"/>
      <c r="F658" s="320"/>
      <c r="G658" s="320"/>
      <c r="H658" s="320"/>
    </row>
    <row r="659" spans="1:8">
      <c r="A659" s="387" t="s">
        <v>111</v>
      </c>
      <c r="B659" s="319">
        <f>C659</f>
        <v>8</v>
      </c>
      <c r="C659" s="319">
        <v>8</v>
      </c>
      <c r="D659" s="560"/>
      <c r="E659" s="320"/>
      <c r="F659" s="320"/>
      <c r="G659" s="320"/>
      <c r="H659" s="320"/>
    </row>
    <row r="660" spans="1:8">
      <c r="A660" s="561" t="s">
        <v>254</v>
      </c>
      <c r="B660" s="269">
        <f>C660</f>
        <v>1</v>
      </c>
      <c r="C660" s="269">
        <v>1</v>
      </c>
      <c r="D660" s="270"/>
      <c r="E660" s="320"/>
      <c r="F660" s="320"/>
      <c r="G660" s="320"/>
      <c r="H660" s="320"/>
    </row>
    <row r="661" spans="1:8">
      <c r="A661" s="268" t="s">
        <v>19</v>
      </c>
      <c r="B661" s="269">
        <f>C661</f>
        <v>1</v>
      </c>
      <c r="C661" s="269">
        <v>1</v>
      </c>
      <c r="D661" s="270"/>
      <c r="E661" s="320"/>
      <c r="F661" s="320"/>
      <c r="G661" s="320"/>
      <c r="H661" s="320"/>
    </row>
    <row r="662" spans="1:8">
      <c r="A662" s="268" t="s">
        <v>51</v>
      </c>
      <c r="B662" s="269">
        <f>C662</f>
        <v>0.96</v>
      </c>
      <c r="C662" s="269">
        <v>0.96</v>
      </c>
      <c r="D662" s="270"/>
      <c r="E662" s="320"/>
      <c r="F662" s="320"/>
      <c r="G662" s="320"/>
      <c r="H662" s="320"/>
    </row>
    <row r="663" spans="1:8">
      <c r="A663" s="562" t="s">
        <v>54</v>
      </c>
      <c r="B663" s="563"/>
      <c r="C663" s="564">
        <f>C661+C660+C659+C658</f>
        <v>60</v>
      </c>
      <c r="D663" s="270"/>
      <c r="E663" s="320"/>
      <c r="F663" s="320"/>
      <c r="G663" s="320"/>
      <c r="H663" s="320"/>
    </row>
    <row r="664" ht="15.75" customHeight="1" spans="1:8">
      <c r="A664" s="362" t="s">
        <v>98</v>
      </c>
      <c r="B664" s="363"/>
      <c r="C664" s="364"/>
      <c r="D664" s="365">
        <v>180</v>
      </c>
      <c r="E664" s="291">
        <v>0.14</v>
      </c>
      <c r="F664" s="291">
        <v>0.05</v>
      </c>
      <c r="G664" s="291">
        <v>10.21</v>
      </c>
      <c r="H664" s="291">
        <v>45.29</v>
      </c>
    </row>
    <row r="665" ht="20.25" customHeight="1" spans="1:8">
      <c r="A665" s="348" t="s">
        <v>99</v>
      </c>
      <c r="B665" s="297">
        <f>C665</f>
        <v>23</v>
      </c>
      <c r="C665" s="297">
        <v>23</v>
      </c>
      <c r="D665" s="334"/>
      <c r="E665" s="320"/>
      <c r="F665" s="320"/>
      <c r="G665" s="320"/>
      <c r="H665" s="320"/>
    </row>
    <row r="666" customHeight="1" spans="1:8">
      <c r="A666" s="208" t="s">
        <v>26</v>
      </c>
      <c r="B666" s="249">
        <f>C666</f>
        <v>13</v>
      </c>
      <c r="C666" s="249">
        <v>13</v>
      </c>
      <c r="D666" s="334"/>
      <c r="E666" s="320"/>
      <c r="F666" s="320"/>
      <c r="G666" s="320"/>
      <c r="H666" s="320"/>
    </row>
    <row r="667" customHeight="1" spans="1:8">
      <c r="A667" s="367" t="s">
        <v>29</v>
      </c>
      <c r="B667" s="297">
        <f>C667</f>
        <v>190</v>
      </c>
      <c r="C667" s="297">
        <v>190</v>
      </c>
      <c r="D667" s="334"/>
      <c r="E667" s="320"/>
      <c r="F667" s="320"/>
      <c r="G667" s="320"/>
      <c r="H667" s="320"/>
    </row>
    <row r="668" ht="15.75" spans="1:8">
      <c r="A668" s="326" t="s">
        <v>203</v>
      </c>
      <c r="B668" s="326"/>
      <c r="C668" s="326"/>
      <c r="D668" s="218" t="s">
        <v>81</v>
      </c>
      <c r="E668" s="190">
        <v>3.4</v>
      </c>
      <c r="F668" s="190">
        <v>4.25</v>
      </c>
      <c r="G668" s="190">
        <v>10.67</v>
      </c>
      <c r="H668" s="190">
        <v>98.5</v>
      </c>
    </row>
    <row r="669" spans="1:8">
      <c r="A669" s="565"/>
      <c r="B669" s="196"/>
      <c r="C669" s="196"/>
      <c r="D669" s="566"/>
      <c r="E669" s="320"/>
      <c r="F669" s="320"/>
      <c r="G669" s="320"/>
      <c r="H669" s="320"/>
    </row>
    <row r="670" ht="18.75" spans="1:8">
      <c r="A670" s="309" t="s">
        <v>70</v>
      </c>
      <c r="B670" s="310"/>
      <c r="C670" s="310"/>
      <c r="D670" s="311"/>
      <c r="E670" s="312">
        <f>E656+E616+E598</f>
        <v>47</v>
      </c>
      <c r="F670" s="312">
        <f>F656+F616+F598</f>
        <v>48.63</v>
      </c>
      <c r="G670" s="312">
        <f>G656+G616+G598</f>
        <v>206.01</v>
      </c>
      <c r="H670" s="312">
        <f>H656+H616+H598</f>
        <v>1423.15</v>
      </c>
    </row>
    <row r="671" ht="28.5" customHeight="1" spans="1:8">
      <c r="A671" s="174" t="s">
        <v>255</v>
      </c>
      <c r="B671" s="175"/>
      <c r="C671" s="175"/>
      <c r="D671" s="175"/>
      <c r="E671" s="175"/>
      <c r="F671" s="175"/>
      <c r="G671" s="175"/>
      <c r="H671" s="176"/>
    </row>
    <row r="672" ht="23.25" customHeight="1" spans="1:8">
      <c r="A672" s="177" t="s">
        <v>5</v>
      </c>
      <c r="B672" s="177" t="s">
        <v>6</v>
      </c>
      <c r="C672" s="177" t="s">
        <v>7</v>
      </c>
      <c r="D672" s="178" t="s">
        <v>8</v>
      </c>
      <c r="E672" s="179" t="s">
        <v>9</v>
      </c>
      <c r="F672" s="179" t="s">
        <v>10</v>
      </c>
      <c r="G672" s="179" t="s">
        <v>11</v>
      </c>
      <c r="H672" s="179" t="s">
        <v>12</v>
      </c>
    </row>
    <row r="673" ht="21.75" customHeight="1" spans="1:8">
      <c r="A673" s="180"/>
      <c r="B673" s="180"/>
      <c r="C673" s="180"/>
      <c r="D673" s="181"/>
      <c r="E673" s="182"/>
      <c r="F673" s="182"/>
      <c r="G673" s="182"/>
      <c r="H673" s="182"/>
    </row>
    <row r="674" ht="19.5" spans="1:8">
      <c r="A674" s="183" t="s">
        <v>13</v>
      </c>
      <c r="B674" s="183"/>
      <c r="C674" s="183"/>
      <c r="D674" s="455">
        <v>500</v>
      </c>
      <c r="E674" s="377">
        <f>SUM(E675:E692)</f>
        <v>16.09</v>
      </c>
      <c r="F674" s="377">
        <f>SUM(F675:F692)</f>
        <v>16.49</v>
      </c>
      <c r="G674" s="377">
        <f>SUM(G675:G692)</f>
        <v>70.2</v>
      </c>
      <c r="H674" s="377">
        <f>SUM(H675:H692)</f>
        <v>493.47</v>
      </c>
    </row>
    <row r="675" ht="15.75" spans="1:8">
      <c r="A675" s="418" t="s">
        <v>256</v>
      </c>
      <c r="B675" s="418"/>
      <c r="C675" s="418"/>
      <c r="D675" s="207" t="s">
        <v>199</v>
      </c>
      <c r="E675" s="190">
        <v>1.15</v>
      </c>
      <c r="F675" s="190">
        <v>0.48</v>
      </c>
      <c r="G675" s="190">
        <v>12.15</v>
      </c>
      <c r="H675" s="190">
        <v>62.01</v>
      </c>
    </row>
    <row r="676" ht="17.25" customHeight="1" spans="1:8">
      <c r="A676" s="195" t="s">
        <v>17</v>
      </c>
      <c r="B676" s="241">
        <f>C676</f>
        <v>18</v>
      </c>
      <c r="C676" s="241">
        <v>18</v>
      </c>
      <c r="D676" s="567"/>
      <c r="E676" s="320"/>
      <c r="F676" s="320"/>
      <c r="G676" s="320"/>
      <c r="H676" s="320"/>
    </row>
    <row r="677" ht="18" customHeight="1" spans="1:8">
      <c r="A677" s="387" t="s">
        <v>111</v>
      </c>
      <c r="B677" s="319">
        <f>C677</f>
        <v>12</v>
      </c>
      <c r="C677" s="241">
        <v>12</v>
      </c>
      <c r="D677" s="560"/>
      <c r="E677" s="320"/>
      <c r="F677" s="320"/>
      <c r="G677" s="320"/>
      <c r="H677" s="320"/>
    </row>
    <row r="678" s="154" customFormat="1" ht="15.75" spans="1:8">
      <c r="A678" s="204" t="s">
        <v>178</v>
      </c>
      <c r="B678" s="205"/>
      <c r="C678" s="206"/>
      <c r="D678" s="207" t="s">
        <v>179</v>
      </c>
      <c r="E678" s="190">
        <v>4.81</v>
      </c>
      <c r="F678" s="190">
        <v>6.89</v>
      </c>
      <c r="G678" s="190">
        <v>18.06</v>
      </c>
      <c r="H678" s="190">
        <v>145.14</v>
      </c>
    </row>
    <row r="679" s="154" customFormat="1" spans="1:8">
      <c r="A679" s="212" t="s">
        <v>180</v>
      </c>
      <c r="B679" s="192">
        <f t="shared" ref="B679:B683" si="31">C679</f>
        <v>24</v>
      </c>
      <c r="C679" s="192">
        <v>24</v>
      </c>
      <c r="D679" s="370"/>
      <c r="E679" s="231"/>
      <c r="F679" s="231"/>
      <c r="G679" s="231"/>
      <c r="H679" s="231"/>
    </row>
    <row r="680" s="154" customFormat="1" spans="1:8">
      <c r="A680" s="209" t="s">
        <v>23</v>
      </c>
      <c r="B680" s="192">
        <f t="shared" si="31"/>
        <v>76</v>
      </c>
      <c r="C680" s="210">
        <v>76</v>
      </c>
      <c r="D680" s="370"/>
      <c r="E680" s="231"/>
      <c r="F680" s="231"/>
      <c r="G680" s="231"/>
      <c r="H680" s="231"/>
    </row>
    <row r="681" s="164" customFormat="1" spans="1:8">
      <c r="A681" s="212" t="s">
        <v>24</v>
      </c>
      <c r="B681" s="192">
        <f t="shared" si="31"/>
        <v>98</v>
      </c>
      <c r="C681" s="210">
        <v>98</v>
      </c>
      <c r="D681" s="370"/>
      <c r="E681" s="366"/>
      <c r="F681" s="366"/>
      <c r="G681" s="366"/>
      <c r="H681" s="366"/>
    </row>
    <row r="682" s="154" customFormat="1" spans="1:8">
      <c r="A682" s="208" t="s">
        <v>26</v>
      </c>
      <c r="B682" s="192">
        <f t="shared" si="31"/>
        <v>3.8</v>
      </c>
      <c r="C682" s="192">
        <v>3.8</v>
      </c>
      <c r="D682" s="370"/>
      <c r="E682" s="231"/>
      <c r="F682" s="231"/>
      <c r="G682" s="231"/>
      <c r="H682" s="231"/>
    </row>
    <row r="683" s="154" customFormat="1" spans="1:8">
      <c r="A683" s="213" t="s">
        <v>25</v>
      </c>
      <c r="B683" s="214">
        <f t="shared" si="31"/>
        <v>0.76</v>
      </c>
      <c r="C683" s="297">
        <v>0.76</v>
      </c>
      <c r="D683" s="370"/>
      <c r="E683" s="231"/>
      <c r="F683" s="231"/>
      <c r="G683" s="231"/>
      <c r="H683" s="231"/>
    </row>
    <row r="684" s="154" customFormat="1" spans="1:8">
      <c r="A684" s="191" t="s">
        <v>16</v>
      </c>
      <c r="B684" s="192">
        <f t="shared" ref="B684" si="32">C684</f>
        <v>3.8</v>
      </c>
      <c r="C684" s="192">
        <v>3.8</v>
      </c>
      <c r="D684" s="370"/>
      <c r="E684" s="231"/>
      <c r="F684" s="231"/>
      <c r="G684" s="231"/>
      <c r="H684" s="231"/>
    </row>
    <row r="685" s="154" customFormat="1" ht="15.75" spans="1:8">
      <c r="A685" s="280" t="s">
        <v>78</v>
      </c>
      <c r="B685" s="281"/>
      <c r="C685" s="282"/>
      <c r="D685" s="322">
        <v>200</v>
      </c>
      <c r="E685" s="190">
        <v>2.73</v>
      </c>
      <c r="F685" s="190">
        <v>4.04</v>
      </c>
      <c r="G685" s="190">
        <v>16.51</v>
      </c>
      <c r="H685" s="190">
        <v>111.82</v>
      </c>
    </row>
    <row r="686" s="154" customFormat="1" spans="1:8">
      <c r="A686" s="295" t="s">
        <v>79</v>
      </c>
      <c r="B686" s="249">
        <f>C686</f>
        <v>3.5</v>
      </c>
      <c r="C686" s="249">
        <v>3.5</v>
      </c>
      <c r="D686" s="323"/>
      <c r="E686" s="231"/>
      <c r="F686" s="231"/>
      <c r="G686" s="231"/>
      <c r="H686" s="231"/>
    </row>
    <row r="687" s="154" customFormat="1" spans="1:8">
      <c r="A687" s="208" t="s">
        <v>26</v>
      </c>
      <c r="B687" s="249">
        <f>C687</f>
        <v>12</v>
      </c>
      <c r="C687" s="249">
        <v>12</v>
      </c>
      <c r="D687" s="323"/>
      <c r="E687" s="231"/>
      <c r="F687" s="231"/>
      <c r="G687" s="231"/>
      <c r="H687" s="231"/>
    </row>
    <row r="688" s="154" customFormat="1" spans="1:8">
      <c r="A688" s="212" t="s">
        <v>24</v>
      </c>
      <c r="B688" s="249">
        <f>C688</f>
        <v>100</v>
      </c>
      <c r="C688" s="249">
        <v>100</v>
      </c>
      <c r="D688" s="323"/>
      <c r="E688" s="231"/>
      <c r="F688" s="231"/>
      <c r="G688" s="231"/>
      <c r="H688" s="231"/>
    </row>
    <row r="689" s="154" customFormat="1" spans="1:8">
      <c r="A689" s="295" t="s">
        <v>29</v>
      </c>
      <c r="B689" s="316">
        <f>C689</f>
        <v>110</v>
      </c>
      <c r="C689" s="316">
        <v>110</v>
      </c>
      <c r="D689" s="325"/>
      <c r="E689" s="231"/>
      <c r="F689" s="231"/>
      <c r="G689" s="231"/>
      <c r="H689" s="231"/>
    </row>
    <row r="690" s="154" customFormat="1" ht="15.75" spans="1:8">
      <c r="A690" s="198" t="s">
        <v>18</v>
      </c>
      <c r="B690" s="199"/>
      <c r="C690" s="200"/>
      <c r="D690" s="201">
        <v>40</v>
      </c>
      <c r="E690" s="190">
        <v>5.16</v>
      </c>
      <c r="F690" s="190">
        <v>4.64</v>
      </c>
      <c r="G690" s="190">
        <v>0.32</v>
      </c>
      <c r="H690" s="190">
        <v>64</v>
      </c>
    </row>
    <row r="691" s="154" customFormat="1" spans="1:8">
      <c r="A691" s="202" t="s">
        <v>19</v>
      </c>
      <c r="B691" s="196">
        <f>C691</f>
        <v>40</v>
      </c>
      <c r="C691" s="200">
        <v>40</v>
      </c>
      <c r="D691" s="197"/>
      <c r="E691" s="231"/>
      <c r="F691" s="231"/>
      <c r="G691" s="231"/>
      <c r="H691" s="231"/>
    </row>
    <row r="692" s="154" customFormat="1" ht="15.75" spans="1:8">
      <c r="A692" s="225" t="s">
        <v>30</v>
      </c>
      <c r="B692" s="249"/>
      <c r="C692" s="285"/>
      <c r="D692" s="230">
        <v>40</v>
      </c>
      <c r="E692" s="190">
        <v>2.24</v>
      </c>
      <c r="F692" s="190">
        <v>0.44</v>
      </c>
      <c r="G692" s="190">
        <v>23.16</v>
      </c>
      <c r="H692" s="190">
        <v>110.5</v>
      </c>
    </row>
    <row r="693" ht="19.5" spans="1:8">
      <c r="A693" s="183" t="s">
        <v>32</v>
      </c>
      <c r="B693" s="232"/>
      <c r="C693" s="232"/>
      <c r="D693" s="328">
        <f>D694+D698+D726+D730+D736+D740+D741</f>
        <v>720</v>
      </c>
      <c r="E693" s="185">
        <f>SUM(E694:E741)</f>
        <v>24.16</v>
      </c>
      <c r="F693" s="185">
        <f>SUM(F694:F741)</f>
        <v>22.82</v>
      </c>
      <c r="G693" s="185">
        <f>SUM(G694:G741)</f>
        <v>95.48</v>
      </c>
      <c r="H693" s="185">
        <f>SUM(H694:H741)</f>
        <v>685.77</v>
      </c>
    </row>
    <row r="694" customHeight="1" spans="1:8">
      <c r="A694" s="393" t="s">
        <v>115</v>
      </c>
      <c r="B694" s="394"/>
      <c r="C694" s="395"/>
      <c r="D694" s="396">
        <v>60</v>
      </c>
      <c r="E694" s="190">
        <v>0.63</v>
      </c>
      <c r="F694" s="190">
        <v>0.03</v>
      </c>
      <c r="G694" s="190">
        <v>2.43</v>
      </c>
      <c r="H694" s="190">
        <v>12.6</v>
      </c>
    </row>
    <row r="695" customHeight="1" spans="1:8">
      <c r="A695" s="247" t="s">
        <v>257</v>
      </c>
      <c r="B695" s="249">
        <f>C695*1.05</f>
        <v>63</v>
      </c>
      <c r="C695" s="249">
        <v>60</v>
      </c>
      <c r="D695" s="397"/>
      <c r="E695" s="320"/>
      <c r="F695" s="320"/>
      <c r="G695" s="320"/>
      <c r="H695" s="320"/>
    </row>
    <row r="696" customHeight="1" spans="1:8">
      <c r="A696" s="247" t="s">
        <v>118</v>
      </c>
      <c r="B696" s="214">
        <f>C696*1.25</f>
        <v>75</v>
      </c>
      <c r="C696" s="214">
        <v>60</v>
      </c>
      <c r="D696" s="397"/>
      <c r="E696" s="320"/>
      <c r="F696" s="320"/>
      <c r="G696" s="320"/>
      <c r="H696" s="320"/>
    </row>
    <row r="697" customHeight="1" spans="1:8">
      <c r="A697" s="213" t="s">
        <v>119</v>
      </c>
      <c r="B697" s="214">
        <f>C697*1.3</f>
        <v>78</v>
      </c>
      <c r="C697" s="214">
        <v>60</v>
      </c>
      <c r="D697" s="397"/>
      <c r="E697" s="320"/>
      <c r="F697" s="320"/>
      <c r="G697" s="320"/>
      <c r="H697" s="320"/>
    </row>
    <row r="698" s="154" customFormat="1" customHeight="1" spans="1:8">
      <c r="A698" s="326" t="s">
        <v>258</v>
      </c>
      <c r="B698" s="326"/>
      <c r="C698" s="326"/>
      <c r="D698" s="442">
        <v>200</v>
      </c>
      <c r="E698" s="239">
        <v>3.55</v>
      </c>
      <c r="F698" s="239">
        <v>8.13</v>
      </c>
      <c r="G698" s="239">
        <v>8.17</v>
      </c>
      <c r="H698" s="239">
        <v>132.02</v>
      </c>
    </row>
    <row r="699" s="154" customFormat="1" spans="1:8">
      <c r="A699" s="240" t="s">
        <v>34</v>
      </c>
      <c r="B699" s="241">
        <f>C699*1.45</f>
        <v>18.125</v>
      </c>
      <c r="C699" s="241">
        <f>C700*1.25</f>
        <v>12.5</v>
      </c>
      <c r="D699" s="298"/>
      <c r="E699" s="231"/>
      <c r="F699" s="231"/>
      <c r="G699" s="231"/>
      <c r="H699" s="231"/>
    </row>
    <row r="700" s="154" customFormat="1" spans="1:8">
      <c r="A700" s="244" t="s">
        <v>83</v>
      </c>
      <c r="B700" s="245"/>
      <c r="C700" s="246">
        <v>10</v>
      </c>
      <c r="D700" s="298"/>
      <c r="E700" s="231"/>
      <c r="F700" s="231"/>
      <c r="G700" s="231"/>
      <c r="H700" s="231"/>
    </row>
    <row r="701" s="154" customFormat="1" spans="1:8">
      <c r="A701" s="247" t="s">
        <v>36</v>
      </c>
      <c r="B701" s="241">
        <f>C701*1.33</f>
        <v>33.25</v>
      </c>
      <c r="C701" s="241">
        <v>25</v>
      </c>
      <c r="D701" s="298"/>
      <c r="E701" s="231"/>
      <c r="F701" s="231"/>
      <c r="G701" s="231"/>
      <c r="H701" s="231"/>
    </row>
    <row r="702" s="154" customFormat="1" spans="1:8">
      <c r="A702" s="247" t="s">
        <v>37</v>
      </c>
      <c r="B702" s="241">
        <f>C702*1.67</f>
        <v>41.75</v>
      </c>
      <c r="C702" s="241">
        <v>25</v>
      </c>
      <c r="D702" s="354"/>
      <c r="E702" s="231"/>
      <c r="F702" s="231"/>
      <c r="G702" s="231"/>
      <c r="H702" s="231"/>
    </row>
    <row r="703" s="154" customFormat="1" spans="1:8">
      <c r="A703" s="400" t="s">
        <v>43</v>
      </c>
      <c r="B703" s="316">
        <f>C703</f>
        <v>10</v>
      </c>
      <c r="C703" s="316">
        <v>10</v>
      </c>
      <c r="D703" s="354"/>
      <c r="E703" s="231"/>
      <c r="F703" s="231"/>
      <c r="G703" s="231"/>
      <c r="H703" s="231"/>
    </row>
    <row r="704" s="154" customFormat="1" spans="1:8">
      <c r="A704" s="247" t="s">
        <v>259</v>
      </c>
      <c r="B704" s="241">
        <f>C704*1.67</f>
        <v>41.75</v>
      </c>
      <c r="C704" s="316">
        <v>25</v>
      </c>
      <c r="D704" s="354"/>
      <c r="E704" s="231"/>
      <c r="F704" s="231"/>
      <c r="G704" s="231"/>
      <c r="H704" s="231"/>
    </row>
    <row r="705" s="154" customFormat="1" spans="1:8">
      <c r="A705" s="213" t="s">
        <v>25</v>
      </c>
      <c r="B705" s="214">
        <f>C705</f>
        <v>0.58</v>
      </c>
      <c r="C705" s="269">
        <v>0.58</v>
      </c>
      <c r="D705" s="568"/>
      <c r="E705" s="231"/>
      <c r="F705" s="231"/>
      <c r="G705" s="231"/>
      <c r="H705" s="231"/>
    </row>
    <row r="706" s="154" customFormat="1" spans="1:8">
      <c r="A706" s="247" t="s">
        <v>39</v>
      </c>
      <c r="B706" s="256">
        <f>C706*1.25</f>
        <v>18.75</v>
      </c>
      <c r="C706" s="336">
        <v>15</v>
      </c>
      <c r="D706" s="568"/>
      <c r="E706" s="231"/>
      <c r="F706" s="231"/>
      <c r="G706" s="231"/>
      <c r="H706" s="231"/>
    </row>
    <row r="707" s="154" customFormat="1" spans="1:8">
      <c r="A707" s="247" t="s">
        <v>86</v>
      </c>
      <c r="B707" s="249">
        <f>C707*1.33</f>
        <v>19.95</v>
      </c>
      <c r="C707" s="249">
        <v>15</v>
      </c>
      <c r="D707" s="354"/>
      <c r="E707" s="231"/>
      <c r="F707" s="231"/>
      <c r="G707" s="231"/>
      <c r="H707" s="231"/>
    </row>
    <row r="708" s="154" customFormat="1" spans="1:8">
      <c r="A708" s="401" t="s">
        <v>124</v>
      </c>
      <c r="B708" s="262">
        <f>C708</f>
        <v>3</v>
      </c>
      <c r="C708" s="432">
        <v>3</v>
      </c>
      <c r="D708" s="568"/>
      <c r="E708" s="231"/>
      <c r="F708" s="231"/>
      <c r="G708" s="231"/>
      <c r="H708" s="231"/>
    </row>
    <row r="709" s="154" customFormat="1" spans="1:8">
      <c r="A709" s="251" t="s">
        <v>41</v>
      </c>
      <c r="B709" s="432">
        <f>C709</f>
        <v>0.01</v>
      </c>
      <c r="C709" s="432">
        <v>0.01</v>
      </c>
      <c r="D709" s="568"/>
      <c r="E709" s="231"/>
      <c r="F709" s="231"/>
      <c r="G709" s="231"/>
      <c r="H709" s="231"/>
    </row>
    <row r="710" s="154" customFormat="1" spans="1:8">
      <c r="A710" s="424" t="s">
        <v>40</v>
      </c>
      <c r="B710" s="425">
        <f>C710*1.19</f>
        <v>11.9</v>
      </c>
      <c r="C710" s="316">
        <v>10</v>
      </c>
      <c r="D710" s="354"/>
      <c r="E710" s="231"/>
      <c r="F710" s="231"/>
      <c r="G710" s="231"/>
      <c r="H710" s="231"/>
    </row>
    <row r="711" s="154" customFormat="1" spans="1:8">
      <c r="A711" s="424" t="s">
        <v>46</v>
      </c>
      <c r="B711" s="316">
        <f>C711</f>
        <v>3.5</v>
      </c>
      <c r="C711" s="316">
        <v>3.5</v>
      </c>
      <c r="D711" s="354"/>
      <c r="E711" s="231"/>
      <c r="F711" s="231"/>
      <c r="G711" s="231"/>
      <c r="H711" s="231"/>
    </row>
    <row r="712" s="154" customFormat="1" spans="1:8">
      <c r="A712" s="424" t="s">
        <v>29</v>
      </c>
      <c r="B712" s="316">
        <f>C712</f>
        <v>180</v>
      </c>
      <c r="C712" s="316">
        <v>180</v>
      </c>
      <c r="D712" s="354"/>
      <c r="E712" s="231"/>
      <c r="F712" s="231"/>
      <c r="G712" s="231"/>
      <c r="H712" s="231"/>
    </row>
    <row r="713" s="154" customFormat="1" spans="1:8">
      <c r="A713" s="337" t="s">
        <v>88</v>
      </c>
      <c r="B713" s="252">
        <f>C713</f>
        <v>5</v>
      </c>
      <c r="C713" s="252">
        <v>5</v>
      </c>
      <c r="D713" s="354"/>
      <c r="E713" s="231"/>
      <c r="F713" s="231"/>
      <c r="G713" s="231"/>
      <c r="H713" s="231"/>
    </row>
    <row r="714" s="154" customFormat="1" ht="15.75" spans="1:8">
      <c r="A714" s="338" t="s">
        <v>260</v>
      </c>
      <c r="B714" s="339"/>
      <c r="C714" s="340"/>
      <c r="D714" s="341">
        <v>90</v>
      </c>
      <c r="E714" s="190">
        <v>11.54</v>
      </c>
      <c r="F714" s="190">
        <v>8.47</v>
      </c>
      <c r="G714" s="190">
        <v>9.84</v>
      </c>
      <c r="H714" s="190">
        <v>145.15</v>
      </c>
    </row>
    <row r="715" s="154" customFormat="1" spans="1:8">
      <c r="A715" s="342" t="s">
        <v>90</v>
      </c>
      <c r="B715" s="343">
        <f>C715*1.54</f>
        <v>106.26</v>
      </c>
      <c r="C715" s="249">
        <v>69</v>
      </c>
      <c r="D715" s="344"/>
      <c r="E715" s="231"/>
      <c r="F715" s="231"/>
      <c r="G715" s="231"/>
      <c r="H715" s="231"/>
    </row>
    <row r="716" s="154" customFormat="1" spans="1:8">
      <c r="A716" s="345" t="s">
        <v>261</v>
      </c>
      <c r="B716" s="343">
        <f>C716*1.6</f>
        <v>110.4</v>
      </c>
      <c r="C716" s="346">
        <v>69</v>
      </c>
      <c r="D716" s="347"/>
      <c r="E716" s="231"/>
      <c r="F716" s="231"/>
      <c r="G716" s="231"/>
      <c r="H716" s="231"/>
    </row>
    <row r="717" s="154" customFormat="1" spans="1:8">
      <c r="A717" s="348" t="s">
        <v>92</v>
      </c>
      <c r="B717" s="252">
        <f>C717*1.05</f>
        <v>10.5</v>
      </c>
      <c r="C717" s="349">
        <v>10</v>
      </c>
      <c r="D717" s="341"/>
      <c r="E717" s="231"/>
      <c r="F717" s="231"/>
      <c r="G717" s="231"/>
      <c r="H717" s="231"/>
    </row>
    <row r="718" s="154" customFormat="1" spans="1:8">
      <c r="A718" s="335" t="s">
        <v>40</v>
      </c>
      <c r="B718" s="256">
        <f>C718*1.19</f>
        <v>3.57</v>
      </c>
      <c r="C718" s="336">
        <v>3</v>
      </c>
      <c r="D718" s="303"/>
      <c r="E718" s="231"/>
      <c r="F718" s="231"/>
      <c r="G718" s="231"/>
      <c r="H718" s="231"/>
    </row>
    <row r="719" s="154" customFormat="1" spans="1:8">
      <c r="A719" s="212" t="s">
        <v>180</v>
      </c>
      <c r="B719" s="192">
        <f t="shared" ref="B719" si="33">C719</f>
        <v>6</v>
      </c>
      <c r="C719" s="192">
        <v>6</v>
      </c>
      <c r="D719" s="193"/>
      <c r="E719" s="231"/>
      <c r="F719" s="231"/>
      <c r="G719" s="231"/>
      <c r="H719" s="231"/>
    </row>
    <row r="720" s="154" customFormat="1" spans="1:8">
      <c r="A720" s="569" t="s">
        <v>262</v>
      </c>
      <c r="B720" s="570"/>
      <c r="C720" s="570">
        <f>C719*2.5</f>
        <v>15</v>
      </c>
      <c r="D720" s="193"/>
      <c r="E720" s="231"/>
      <c r="F720" s="231"/>
      <c r="G720" s="231"/>
      <c r="H720" s="231"/>
    </row>
    <row r="721" s="154" customFormat="1" spans="1:8">
      <c r="A721" s="301" t="s">
        <v>46</v>
      </c>
      <c r="B721" s="302">
        <f>C721</f>
        <v>3</v>
      </c>
      <c r="C721" s="302">
        <v>3</v>
      </c>
      <c r="D721" s="303"/>
      <c r="E721" s="231"/>
      <c r="F721" s="231"/>
      <c r="G721" s="231"/>
      <c r="H721" s="231"/>
    </row>
    <row r="722" s="154" customFormat="1" spans="1:8">
      <c r="A722" s="213" t="s">
        <v>25</v>
      </c>
      <c r="B722" s="214">
        <f>C722</f>
        <v>0.4</v>
      </c>
      <c r="C722" s="269">
        <v>0.4</v>
      </c>
      <c r="D722" s="568"/>
      <c r="E722" s="231"/>
      <c r="F722" s="231"/>
      <c r="G722" s="231"/>
      <c r="H722" s="231"/>
    </row>
    <row r="723" s="154" customFormat="1" spans="1:8">
      <c r="A723" s="202" t="s">
        <v>19</v>
      </c>
      <c r="B723" s="265">
        <f>C723</f>
        <v>5</v>
      </c>
      <c r="C723" s="265">
        <v>5</v>
      </c>
      <c r="D723" s="271"/>
      <c r="E723" s="231"/>
      <c r="F723" s="231"/>
      <c r="G723" s="231"/>
      <c r="H723" s="231"/>
    </row>
    <row r="724" s="154" customFormat="1" spans="1:8">
      <c r="A724" s="268" t="s">
        <v>263</v>
      </c>
      <c r="B724" s="269">
        <v>41</v>
      </c>
      <c r="C724" s="269">
        <v>4</v>
      </c>
      <c r="D724" s="270"/>
      <c r="E724" s="231"/>
      <c r="F724" s="231"/>
      <c r="G724" s="231"/>
      <c r="H724" s="231"/>
    </row>
    <row r="725" s="154" customFormat="1" spans="1:8">
      <c r="A725" s="350" t="s">
        <v>54</v>
      </c>
      <c r="B725" s="351"/>
      <c r="C725" s="351">
        <f>C723+C721+C720+C718+C717+C715+C724</f>
        <v>109</v>
      </c>
      <c r="D725" s="352"/>
      <c r="E725" s="231"/>
      <c r="F725" s="231"/>
      <c r="G725" s="231"/>
      <c r="H725" s="231"/>
    </row>
    <row r="726" s="154" customFormat="1" spans="1:8">
      <c r="A726" s="321" t="s">
        <v>264</v>
      </c>
      <c r="B726" s="321"/>
      <c r="C726" s="321"/>
      <c r="D726" s="230">
        <v>90</v>
      </c>
      <c r="E726" s="231"/>
      <c r="F726" s="231"/>
      <c r="G726" s="231"/>
      <c r="H726" s="231"/>
    </row>
    <row r="727" s="154" customFormat="1" spans="1:8">
      <c r="A727" s="307" t="s">
        <v>265</v>
      </c>
      <c r="B727" s="343">
        <f>C727</f>
        <v>1</v>
      </c>
      <c r="C727" s="252">
        <v>1</v>
      </c>
      <c r="D727" s="221"/>
      <c r="E727" s="231"/>
      <c r="F727" s="231"/>
      <c r="G727" s="231"/>
      <c r="H727" s="231"/>
    </row>
    <row r="728" s="154" customFormat="1" spans="1:8">
      <c r="A728" s="467" t="s">
        <v>266</v>
      </c>
      <c r="B728" s="468"/>
      <c r="C728" s="469">
        <v>90</v>
      </c>
      <c r="D728" s="221"/>
      <c r="E728" s="231"/>
      <c r="F728" s="231"/>
      <c r="G728" s="231"/>
      <c r="H728" s="231"/>
    </row>
    <row r="729" s="154" customFormat="1" spans="1:8">
      <c r="A729" s="247" t="s">
        <v>95</v>
      </c>
      <c r="B729" s="249">
        <f>C729</f>
        <v>1.2</v>
      </c>
      <c r="C729" s="249">
        <v>1.2</v>
      </c>
      <c r="D729" s="221"/>
      <c r="E729" s="231"/>
      <c r="F729" s="231"/>
      <c r="G729" s="231"/>
      <c r="H729" s="231"/>
    </row>
    <row r="730" s="154" customFormat="1" ht="15.75" spans="1:8">
      <c r="A730" s="280" t="s">
        <v>97</v>
      </c>
      <c r="B730" s="281"/>
      <c r="C730" s="282"/>
      <c r="D730" s="322">
        <v>150</v>
      </c>
      <c r="E730" s="190">
        <v>5.83</v>
      </c>
      <c r="F730" s="190">
        <v>5.72</v>
      </c>
      <c r="G730" s="190">
        <v>32.68</v>
      </c>
      <c r="H730" s="190">
        <v>205.85</v>
      </c>
    </row>
    <row r="731" s="154" customFormat="1" ht="15.75" spans="1:8">
      <c r="A731" s="247" t="s">
        <v>36</v>
      </c>
      <c r="B731" s="241">
        <f>C731*1.33</f>
        <v>172.9</v>
      </c>
      <c r="C731" s="241">
        <v>130</v>
      </c>
      <c r="D731" s="322"/>
      <c r="E731" s="190"/>
      <c r="F731" s="190"/>
      <c r="G731" s="190"/>
      <c r="H731" s="190"/>
    </row>
    <row r="732" s="154" customFormat="1" spans="1:8">
      <c r="A732" s="247" t="s">
        <v>37</v>
      </c>
      <c r="B732" s="241">
        <f>C732*1.67</f>
        <v>217.1</v>
      </c>
      <c r="C732" s="241">
        <v>130</v>
      </c>
      <c r="D732" s="323"/>
      <c r="E732" s="231"/>
      <c r="F732" s="231"/>
      <c r="G732" s="231"/>
      <c r="H732" s="231"/>
    </row>
    <row r="733" s="154" customFormat="1" spans="1:8">
      <c r="A733" s="212" t="s">
        <v>24</v>
      </c>
      <c r="B733" s="249">
        <f>C733*1.05</f>
        <v>23.625</v>
      </c>
      <c r="C733" s="249">
        <v>22.5</v>
      </c>
      <c r="D733" s="323"/>
      <c r="E733" s="231"/>
      <c r="F733" s="231"/>
      <c r="G733" s="231"/>
      <c r="H733" s="231"/>
    </row>
    <row r="734" s="154" customFormat="1" spans="1:8">
      <c r="A734" s="213" t="s">
        <v>25</v>
      </c>
      <c r="B734" s="214">
        <f>C734</f>
        <v>0.4</v>
      </c>
      <c r="C734" s="252">
        <v>0.4</v>
      </c>
      <c r="D734" s="323"/>
      <c r="E734" s="231"/>
      <c r="F734" s="231"/>
      <c r="G734" s="231"/>
      <c r="H734" s="231"/>
    </row>
    <row r="735" s="154" customFormat="1" spans="1:8">
      <c r="A735" s="191" t="s">
        <v>16</v>
      </c>
      <c r="B735" s="249">
        <f>C735</f>
        <v>5</v>
      </c>
      <c r="C735" s="249">
        <v>5</v>
      </c>
      <c r="D735" s="197"/>
      <c r="E735" s="231"/>
      <c r="F735" s="231"/>
      <c r="G735" s="231"/>
      <c r="H735" s="231"/>
    </row>
    <row r="736" s="154" customFormat="1" ht="15.75" spans="1:8">
      <c r="A736" s="280" t="s">
        <v>131</v>
      </c>
      <c r="B736" s="281"/>
      <c r="C736" s="282"/>
      <c r="D736" s="283">
        <v>180</v>
      </c>
      <c r="E736" s="239">
        <v>0.6</v>
      </c>
      <c r="F736" s="239">
        <v>0.08</v>
      </c>
      <c r="G736" s="239">
        <v>21.52</v>
      </c>
      <c r="H736" s="239">
        <v>90.7</v>
      </c>
    </row>
    <row r="737" s="154" customFormat="1" spans="1:8">
      <c r="A737" s="247" t="s">
        <v>132</v>
      </c>
      <c r="B737" s="249">
        <f>C737</f>
        <v>15</v>
      </c>
      <c r="C737" s="249">
        <v>15</v>
      </c>
      <c r="D737" s="270"/>
      <c r="E737" s="231"/>
      <c r="F737" s="231"/>
      <c r="G737" s="231"/>
      <c r="H737" s="231"/>
    </row>
    <row r="738" s="154" customFormat="1" spans="1:8">
      <c r="A738" s="208" t="s">
        <v>26</v>
      </c>
      <c r="B738" s="249">
        <f>C738</f>
        <v>12</v>
      </c>
      <c r="C738" s="249">
        <v>12</v>
      </c>
      <c r="D738" s="270"/>
      <c r="E738" s="231"/>
      <c r="F738" s="231"/>
      <c r="G738" s="231"/>
      <c r="H738" s="231"/>
    </row>
    <row r="739" s="154" customFormat="1" spans="1:8">
      <c r="A739" s="247" t="s">
        <v>29</v>
      </c>
      <c r="B739" s="249">
        <f>C739</f>
        <v>210</v>
      </c>
      <c r="C739" s="249">
        <v>210</v>
      </c>
      <c r="D739" s="270"/>
      <c r="E739" s="231"/>
      <c r="F739" s="231"/>
      <c r="G739" s="231"/>
      <c r="H739" s="231"/>
    </row>
    <row r="740" s="154" customFormat="1" ht="15.75" spans="1:8">
      <c r="A740" s="225" t="s">
        <v>30</v>
      </c>
      <c r="B740" s="249"/>
      <c r="C740" s="285"/>
      <c r="D740" s="230">
        <v>20</v>
      </c>
      <c r="E740" s="190">
        <v>1.12</v>
      </c>
      <c r="F740" s="190">
        <v>0.22</v>
      </c>
      <c r="G740" s="190">
        <v>11.58</v>
      </c>
      <c r="H740" s="190">
        <v>55.25</v>
      </c>
    </row>
    <row r="741" s="154" customFormat="1" ht="15.75" spans="1:8">
      <c r="A741" s="286" t="s">
        <v>59</v>
      </c>
      <c r="B741" s="287"/>
      <c r="C741" s="287"/>
      <c r="D741" s="283">
        <v>20</v>
      </c>
      <c r="E741" s="190">
        <v>0.89</v>
      </c>
      <c r="F741" s="190">
        <v>0.17</v>
      </c>
      <c r="G741" s="190">
        <v>9.26</v>
      </c>
      <c r="H741" s="190">
        <v>44.2</v>
      </c>
    </row>
    <row r="742" ht="19.5" spans="1:8">
      <c r="A742" s="183" t="s">
        <v>60</v>
      </c>
      <c r="B742" s="288"/>
      <c r="C742" s="288"/>
      <c r="D742" s="392">
        <f>D743+D750+D755</f>
        <v>330</v>
      </c>
      <c r="E742" s="377">
        <f>SUM(E743:E755)</f>
        <v>7.54</v>
      </c>
      <c r="F742" s="377">
        <f>SUM(F743:F755)</f>
        <v>7.99</v>
      </c>
      <c r="G742" s="377">
        <f>SUM(G743:G755)</f>
        <v>34.68</v>
      </c>
      <c r="H742" s="377">
        <f>SUM(H743:H755)</f>
        <v>237.79</v>
      </c>
    </row>
    <row r="743" s="154" customFormat="1" ht="15.75" spans="1:8">
      <c r="A743" s="571" t="s">
        <v>267</v>
      </c>
      <c r="B743" s="269"/>
      <c r="C743" s="269"/>
      <c r="D743" s="283">
        <v>50</v>
      </c>
      <c r="E743" s="291">
        <v>6.98</v>
      </c>
      <c r="F743" s="291">
        <v>7.84</v>
      </c>
      <c r="G743" s="291">
        <v>14.02</v>
      </c>
      <c r="H743" s="291">
        <v>126.48</v>
      </c>
    </row>
    <row r="744" s="154" customFormat="1" spans="1:8">
      <c r="A744" s="268" t="s">
        <v>134</v>
      </c>
      <c r="B744" s="269">
        <f>C744</f>
        <v>50</v>
      </c>
      <c r="C744" s="269">
        <v>50</v>
      </c>
      <c r="D744" s="270"/>
      <c r="E744" s="231"/>
      <c r="F744" s="231"/>
      <c r="G744" s="231"/>
      <c r="H744" s="231"/>
    </row>
    <row r="745" s="154" customFormat="1" spans="1:8">
      <c r="A745" s="318" t="s">
        <v>158</v>
      </c>
      <c r="B745" s="319">
        <f>C745*1.01</f>
        <v>8.08</v>
      </c>
      <c r="C745" s="319">
        <v>8</v>
      </c>
      <c r="D745" s="197"/>
      <c r="E745" s="231"/>
      <c r="F745" s="231"/>
      <c r="G745" s="231"/>
      <c r="H745" s="231"/>
    </row>
    <row r="746" s="154" customFormat="1" spans="1:8">
      <c r="A746" s="544" t="s">
        <v>19</v>
      </c>
      <c r="B746" s="265">
        <f>C746</f>
        <v>1.5</v>
      </c>
      <c r="C746" s="265">
        <v>1.5</v>
      </c>
      <c r="D746" s="416"/>
      <c r="E746" s="231"/>
      <c r="F746" s="231"/>
      <c r="G746" s="231"/>
      <c r="H746" s="231"/>
    </row>
    <row r="747" s="154" customFormat="1" spans="1:8">
      <c r="A747" s="268" t="s">
        <v>136</v>
      </c>
      <c r="B747" s="269">
        <f>C747</f>
        <v>0.5</v>
      </c>
      <c r="C747" s="269">
        <v>0.5</v>
      </c>
      <c r="D747" s="270"/>
      <c r="E747" s="231"/>
      <c r="F747" s="231"/>
      <c r="G747" s="231"/>
      <c r="H747" s="231"/>
    </row>
    <row r="748" s="154" customFormat="1" spans="1:8">
      <c r="A748" s="403" t="s">
        <v>95</v>
      </c>
      <c r="B748" s="265">
        <f t="shared" ref="B748" si="34">C748</f>
        <v>1</v>
      </c>
      <c r="C748" s="265">
        <v>1</v>
      </c>
      <c r="D748" s="416"/>
      <c r="E748" s="231"/>
      <c r="F748" s="231"/>
      <c r="G748" s="231"/>
      <c r="H748" s="231"/>
    </row>
    <row r="749" s="154" customFormat="1" spans="1:8">
      <c r="A749" s="572" t="s">
        <v>54</v>
      </c>
      <c r="B749" s="502"/>
      <c r="C749" s="502">
        <f>C747+C746+C745+C744</f>
        <v>60</v>
      </c>
      <c r="D749" s="416"/>
      <c r="E749" s="231"/>
      <c r="F749" s="231"/>
      <c r="G749" s="231"/>
      <c r="H749" s="231"/>
    </row>
    <row r="750" s="154" customFormat="1" ht="15.75" spans="1:8">
      <c r="A750" s="522" t="s">
        <v>268</v>
      </c>
      <c r="B750" s="523"/>
      <c r="C750" s="524"/>
      <c r="D750" s="481">
        <v>180</v>
      </c>
      <c r="E750" s="190">
        <v>0.16</v>
      </c>
      <c r="F750" s="190">
        <v>0.05</v>
      </c>
      <c r="G750" s="190">
        <v>11.36</v>
      </c>
      <c r="H750" s="190">
        <v>72.31</v>
      </c>
    </row>
    <row r="751" s="154" customFormat="1" spans="1:8">
      <c r="A751" s="307" t="s">
        <v>99</v>
      </c>
      <c r="B751" s="269">
        <f>C751</f>
        <v>25</v>
      </c>
      <c r="C751" s="269">
        <v>25</v>
      </c>
      <c r="D751" s="376"/>
      <c r="E751" s="231"/>
      <c r="F751" s="231"/>
      <c r="G751" s="231"/>
      <c r="H751" s="231"/>
    </row>
    <row r="752" s="154" customFormat="1" spans="1:8">
      <c r="A752" s="208" t="s">
        <v>26</v>
      </c>
      <c r="B752" s="269">
        <f>C752</f>
        <v>12</v>
      </c>
      <c r="C752" s="269">
        <v>12</v>
      </c>
      <c r="D752" s="376"/>
      <c r="E752" s="231"/>
      <c r="F752" s="231"/>
      <c r="G752" s="231"/>
      <c r="H752" s="231"/>
    </row>
    <row r="753" s="154" customFormat="1" spans="1:8">
      <c r="A753" s="208" t="s">
        <v>29</v>
      </c>
      <c r="B753" s="269">
        <f>C753</f>
        <v>195</v>
      </c>
      <c r="C753" s="269">
        <v>195</v>
      </c>
      <c r="D753" s="376"/>
      <c r="E753" s="231"/>
      <c r="F753" s="231"/>
      <c r="G753" s="231"/>
      <c r="H753" s="231"/>
    </row>
    <row r="754" s="154" customFormat="1" spans="1:8">
      <c r="A754" s="208" t="s">
        <v>269</v>
      </c>
      <c r="B754" s="269">
        <f>C754</f>
        <v>5.6</v>
      </c>
      <c r="C754" s="269">
        <v>5.6</v>
      </c>
      <c r="D754" s="376"/>
      <c r="E754" s="231"/>
      <c r="F754" s="231"/>
      <c r="G754" s="231"/>
      <c r="H754" s="231"/>
    </row>
    <row r="755" s="154" customFormat="1" ht="15.75" spans="1:8">
      <c r="A755" s="326" t="s">
        <v>80</v>
      </c>
      <c r="B755" s="269">
        <f>C755</f>
        <v>100</v>
      </c>
      <c r="C755" s="269">
        <v>100</v>
      </c>
      <c r="D755" s="283">
        <v>100</v>
      </c>
      <c r="E755" s="327">
        <v>0.4</v>
      </c>
      <c r="F755" s="190">
        <v>0.1</v>
      </c>
      <c r="G755" s="190">
        <v>9.3</v>
      </c>
      <c r="H755" s="190">
        <v>39</v>
      </c>
    </row>
    <row r="756" ht="18.75" spans="1:8">
      <c r="A756" s="309" t="s">
        <v>70</v>
      </c>
      <c r="B756" s="310"/>
      <c r="C756" s="310"/>
      <c r="D756" s="311"/>
      <c r="E756" s="312">
        <f>E742+E693+E674</f>
        <v>47.79</v>
      </c>
      <c r="F756" s="312">
        <f>F742+F693+F674</f>
        <v>47.3</v>
      </c>
      <c r="G756" s="312">
        <f>G742+G693+G674</f>
        <v>200.36</v>
      </c>
      <c r="H756" s="312">
        <f>H742+H693+H674</f>
        <v>1417.03</v>
      </c>
    </row>
    <row r="757" ht="33" customHeight="1" spans="1:8">
      <c r="A757" s="573" t="s">
        <v>270</v>
      </c>
      <c r="B757" s="574"/>
      <c r="C757" s="574"/>
      <c r="D757" s="574"/>
      <c r="E757" s="574"/>
      <c r="F757" s="574"/>
      <c r="G757" s="574"/>
      <c r="H757" s="575"/>
    </row>
    <row r="758" ht="22.5" customHeight="1" spans="1:8">
      <c r="A758" s="177" t="s">
        <v>5</v>
      </c>
      <c r="B758" s="177" t="s">
        <v>6</v>
      </c>
      <c r="C758" s="177" t="s">
        <v>7</v>
      </c>
      <c r="D758" s="178" t="s">
        <v>8</v>
      </c>
      <c r="E758" s="179" t="s">
        <v>9</v>
      </c>
      <c r="F758" s="179" t="s">
        <v>10</v>
      </c>
      <c r="G758" s="179" t="s">
        <v>11</v>
      </c>
      <c r="H758" s="179" t="s">
        <v>12</v>
      </c>
    </row>
    <row r="759" ht="18.75" customHeight="1" spans="1:8">
      <c r="A759" s="180"/>
      <c r="B759" s="180"/>
      <c r="C759" s="180"/>
      <c r="D759" s="181"/>
      <c r="E759" s="182"/>
      <c r="F759" s="182"/>
      <c r="G759" s="182"/>
      <c r="H759" s="182"/>
    </row>
    <row r="760" ht="19.5" spans="1:8">
      <c r="A760" s="183" t="s">
        <v>13</v>
      </c>
      <c r="B760" s="183"/>
      <c r="C760" s="183"/>
      <c r="D760" s="417">
        <f>D761+D768+D773+D774+D775</f>
        <v>520</v>
      </c>
      <c r="E760" s="377">
        <f>SUM(E761:E775)</f>
        <v>14.76</v>
      </c>
      <c r="F760" s="377">
        <f>SUM(F761:F775)</f>
        <v>15.74</v>
      </c>
      <c r="G760" s="377">
        <f>SUM(G761:G775)</f>
        <v>70.11</v>
      </c>
      <c r="H760" s="377">
        <f>SUM(H761:H775)</f>
        <v>479.46</v>
      </c>
    </row>
    <row r="761" s="154" customFormat="1" ht="15.75" spans="1:8">
      <c r="A761" s="382" t="s">
        <v>271</v>
      </c>
      <c r="B761" s="383"/>
      <c r="C761" s="384"/>
      <c r="D761" s="293">
        <v>150</v>
      </c>
      <c r="E761" s="190">
        <v>5.41</v>
      </c>
      <c r="F761" s="190">
        <v>6.79</v>
      </c>
      <c r="G761" s="190">
        <v>12.3</v>
      </c>
      <c r="H761" s="190">
        <v>140.72</v>
      </c>
    </row>
    <row r="762" s="154" customFormat="1" spans="1:8">
      <c r="A762" s="576" t="s">
        <v>272</v>
      </c>
      <c r="B762" s="210">
        <f t="shared" ref="B762:B767" si="35">C762</f>
        <v>22</v>
      </c>
      <c r="C762" s="210">
        <v>22</v>
      </c>
      <c r="D762" s="271"/>
      <c r="E762" s="231"/>
      <c r="F762" s="231"/>
      <c r="G762" s="231"/>
      <c r="H762" s="231"/>
    </row>
    <row r="763" s="154" customFormat="1" spans="1:8">
      <c r="A763" s="576" t="s">
        <v>29</v>
      </c>
      <c r="B763" s="210">
        <f t="shared" si="35"/>
        <v>65</v>
      </c>
      <c r="C763" s="210">
        <v>65</v>
      </c>
      <c r="D763" s="271"/>
      <c r="E763" s="231"/>
      <c r="F763" s="231"/>
      <c r="G763" s="231"/>
      <c r="H763" s="231"/>
    </row>
    <row r="764" s="154" customFormat="1" spans="1:8">
      <c r="A764" s="212" t="s">
        <v>24</v>
      </c>
      <c r="B764" s="210">
        <f t="shared" si="35"/>
        <v>72</v>
      </c>
      <c r="C764" s="210">
        <v>72</v>
      </c>
      <c r="D764" s="271"/>
      <c r="E764" s="231"/>
      <c r="F764" s="231"/>
      <c r="G764" s="231"/>
      <c r="H764" s="231"/>
    </row>
    <row r="765" s="154" customFormat="1" spans="1:8">
      <c r="A765" s="208" t="s">
        <v>26</v>
      </c>
      <c r="B765" s="210">
        <f t="shared" si="35"/>
        <v>3.2</v>
      </c>
      <c r="C765" s="210">
        <v>3.2</v>
      </c>
      <c r="D765" s="271"/>
      <c r="E765" s="231"/>
      <c r="F765" s="231"/>
      <c r="G765" s="231"/>
      <c r="H765" s="231"/>
    </row>
    <row r="766" s="154" customFormat="1" spans="1:8">
      <c r="A766" s="213" t="s">
        <v>25</v>
      </c>
      <c r="B766" s="214">
        <f t="shared" si="35"/>
        <v>0.4</v>
      </c>
      <c r="C766" s="249">
        <v>0.4</v>
      </c>
      <c r="D766" s="271"/>
      <c r="E766" s="231"/>
      <c r="F766" s="231"/>
      <c r="G766" s="231"/>
      <c r="H766" s="231"/>
    </row>
    <row r="767" s="154" customFormat="1" spans="1:8">
      <c r="A767" s="191" t="s">
        <v>16</v>
      </c>
      <c r="B767" s="210">
        <f t="shared" si="35"/>
        <v>5</v>
      </c>
      <c r="C767" s="210">
        <v>5</v>
      </c>
      <c r="D767" s="271"/>
      <c r="E767" s="231"/>
      <c r="F767" s="231"/>
      <c r="G767" s="231"/>
      <c r="H767" s="231"/>
    </row>
    <row r="768" s="154" customFormat="1" ht="15.75" spans="1:8">
      <c r="A768" s="460" t="s">
        <v>114</v>
      </c>
      <c r="B768" s="461"/>
      <c r="C768" s="462"/>
      <c r="D768" s="369">
        <v>200</v>
      </c>
      <c r="E768" s="190">
        <v>3.28</v>
      </c>
      <c r="F768" s="190">
        <v>2.83</v>
      </c>
      <c r="G768" s="190">
        <v>16.3</v>
      </c>
      <c r="H768" s="190">
        <v>133.26</v>
      </c>
    </row>
    <row r="769" s="154" customFormat="1" spans="1:8">
      <c r="A769" s="388" t="s">
        <v>105</v>
      </c>
      <c r="B769" s="319">
        <f>C769</f>
        <v>1.5</v>
      </c>
      <c r="C769" s="319">
        <v>1.5</v>
      </c>
      <c r="D769" s="389"/>
      <c r="E769" s="231"/>
      <c r="F769" s="231"/>
      <c r="G769" s="231"/>
      <c r="H769" s="231"/>
    </row>
    <row r="770" s="154" customFormat="1" spans="1:8">
      <c r="A770" s="212" t="s">
        <v>24</v>
      </c>
      <c r="B770" s="319">
        <f>C770</f>
        <v>112</v>
      </c>
      <c r="C770" s="241">
        <v>112</v>
      </c>
      <c r="D770" s="390"/>
      <c r="E770" s="231"/>
      <c r="F770" s="231"/>
      <c r="G770" s="231"/>
      <c r="H770" s="231"/>
    </row>
    <row r="771" s="154" customFormat="1" spans="1:8">
      <c r="A771" s="576" t="s">
        <v>29</v>
      </c>
      <c r="B771" s="210">
        <f>C771</f>
        <v>98</v>
      </c>
      <c r="C771" s="210">
        <v>98</v>
      </c>
      <c r="D771" s="390"/>
      <c r="E771" s="231"/>
      <c r="F771" s="231"/>
      <c r="G771" s="231"/>
      <c r="H771" s="231"/>
    </row>
    <row r="772" s="154" customFormat="1" spans="1:8">
      <c r="A772" s="208" t="s">
        <v>26</v>
      </c>
      <c r="B772" s="241">
        <f>C772</f>
        <v>11</v>
      </c>
      <c r="C772" s="241">
        <v>11</v>
      </c>
      <c r="D772" s="390"/>
      <c r="E772" s="231"/>
      <c r="F772" s="231"/>
      <c r="G772" s="231"/>
      <c r="H772" s="231"/>
    </row>
    <row r="773" s="154" customFormat="1" ht="15.75" spans="1:8">
      <c r="A773" s="577" t="s">
        <v>273</v>
      </c>
      <c r="B773" s="578"/>
      <c r="C773" s="578"/>
      <c r="D773" s="579">
        <v>50</v>
      </c>
      <c r="E773" s="190">
        <v>4.55</v>
      </c>
      <c r="F773" s="190">
        <v>5.8</v>
      </c>
      <c r="G773" s="190">
        <v>20.63</v>
      </c>
      <c r="H773" s="190">
        <v>111.2</v>
      </c>
    </row>
    <row r="774" s="154" customFormat="1" ht="15.75" spans="1:8">
      <c r="A774" s="326" t="s">
        <v>80</v>
      </c>
      <c r="B774" s="326"/>
      <c r="C774" s="326"/>
      <c r="D774" s="218" t="s">
        <v>81</v>
      </c>
      <c r="E774" s="327">
        <v>0.4</v>
      </c>
      <c r="F774" s="190">
        <v>0.1</v>
      </c>
      <c r="G774" s="190">
        <v>9.3</v>
      </c>
      <c r="H774" s="190">
        <v>39</v>
      </c>
    </row>
    <row r="775" s="154" customFormat="1" ht="15.75" spans="1:8">
      <c r="A775" s="225" t="s">
        <v>30</v>
      </c>
      <c r="B775" s="249"/>
      <c r="C775" s="285"/>
      <c r="D775" s="230">
        <v>20</v>
      </c>
      <c r="E775" s="190">
        <v>1.12</v>
      </c>
      <c r="F775" s="190">
        <v>0.22</v>
      </c>
      <c r="G775" s="190">
        <v>11.58</v>
      </c>
      <c r="H775" s="190">
        <v>55.28</v>
      </c>
    </row>
    <row r="776" ht="25.5" customHeight="1" spans="1:8">
      <c r="A776" s="183" t="s">
        <v>32</v>
      </c>
      <c r="B776" s="232"/>
      <c r="C776" s="232"/>
      <c r="D776" s="411" t="s">
        <v>274</v>
      </c>
      <c r="E776" s="377">
        <f>SUM(E777:E815)</f>
        <v>24.21</v>
      </c>
      <c r="F776" s="377">
        <f>SUM(F777:F815)</f>
        <v>23.6</v>
      </c>
      <c r="G776" s="377">
        <f>SUM(G777:G815)</f>
        <v>95.69</v>
      </c>
      <c r="H776" s="377">
        <f>SUM(H777:H815)</f>
        <v>688.37</v>
      </c>
    </row>
    <row r="777" s="154" customFormat="1" ht="15.75" spans="1:8">
      <c r="A777" s="393" t="s">
        <v>275</v>
      </c>
      <c r="B777" s="394"/>
      <c r="C777" s="395"/>
      <c r="D777" s="396">
        <v>60</v>
      </c>
      <c r="E777" s="239">
        <v>0.66</v>
      </c>
      <c r="F777" s="239">
        <v>0.12</v>
      </c>
      <c r="G777" s="239">
        <v>2.22</v>
      </c>
      <c r="H777" s="239">
        <v>12</v>
      </c>
    </row>
    <row r="778" s="154" customFormat="1" ht="16.5" customHeight="1" spans="1:8">
      <c r="A778" s="247" t="s">
        <v>276</v>
      </c>
      <c r="B778" s="249">
        <f>C778*1.05</f>
        <v>63</v>
      </c>
      <c r="C778" s="249">
        <v>60</v>
      </c>
      <c r="D778" s="397"/>
      <c r="E778" s="231"/>
      <c r="F778" s="231"/>
      <c r="G778" s="231"/>
      <c r="H778" s="231"/>
    </row>
    <row r="779" s="154" customFormat="1" customHeight="1" spans="1:8">
      <c r="A779" s="580" t="s">
        <v>277</v>
      </c>
      <c r="B779" s="581"/>
      <c r="C779" s="582"/>
      <c r="D779" s="189" t="s">
        <v>207</v>
      </c>
      <c r="E779" s="239">
        <v>7.17</v>
      </c>
      <c r="F779" s="239">
        <v>7.18</v>
      </c>
      <c r="G779" s="239">
        <v>19.47</v>
      </c>
      <c r="H779" s="239">
        <v>136.02</v>
      </c>
    </row>
    <row r="780" s="154" customFormat="1" spans="1:8">
      <c r="A780" s="240" t="s">
        <v>34</v>
      </c>
      <c r="B780" s="241">
        <f>C780*1.45</f>
        <v>27.1875</v>
      </c>
      <c r="C780" s="241">
        <f>C781*1.25</f>
        <v>18.75</v>
      </c>
      <c r="D780" s="189"/>
      <c r="E780" s="231"/>
      <c r="F780" s="231"/>
      <c r="G780" s="231"/>
      <c r="H780" s="231"/>
    </row>
    <row r="781" s="154" customFormat="1" spans="1:8">
      <c r="A781" s="244" t="s">
        <v>35</v>
      </c>
      <c r="B781" s="245"/>
      <c r="C781" s="246">
        <v>15</v>
      </c>
      <c r="D781" s="189"/>
      <c r="E781" s="231"/>
      <c r="F781" s="231"/>
      <c r="G781" s="231"/>
      <c r="H781" s="231"/>
    </row>
    <row r="782" s="154" customFormat="1" spans="1:8">
      <c r="A782" s="247" t="s">
        <v>36</v>
      </c>
      <c r="B782" s="241">
        <f>C782*1.33</f>
        <v>63.84</v>
      </c>
      <c r="C782" s="241">
        <v>48</v>
      </c>
      <c r="D782" s="189"/>
      <c r="E782" s="231"/>
      <c r="F782" s="231"/>
      <c r="G782" s="231"/>
      <c r="H782" s="231"/>
    </row>
    <row r="783" s="154" customFormat="1" spans="1:8">
      <c r="A783" s="247" t="s">
        <v>37</v>
      </c>
      <c r="B783" s="241">
        <f>C783*1.67</f>
        <v>80.16</v>
      </c>
      <c r="C783" s="241">
        <v>48</v>
      </c>
      <c r="D783" s="334"/>
      <c r="E783" s="231"/>
      <c r="F783" s="231"/>
      <c r="G783" s="231"/>
      <c r="H783" s="231"/>
    </row>
    <row r="784" s="154" customFormat="1" spans="1:8">
      <c r="A784" s="335" t="s">
        <v>85</v>
      </c>
      <c r="B784" s="336">
        <f>C784</f>
        <v>6</v>
      </c>
      <c r="C784" s="336">
        <v>6</v>
      </c>
      <c r="D784" s="334"/>
      <c r="E784" s="231"/>
      <c r="F784" s="231"/>
      <c r="G784" s="231"/>
      <c r="H784" s="231"/>
    </row>
    <row r="785" s="154" customFormat="1" spans="1:8">
      <c r="A785" s="247" t="s">
        <v>39</v>
      </c>
      <c r="B785" s="256">
        <f>C785*1.25</f>
        <v>12.5</v>
      </c>
      <c r="C785" s="336">
        <v>10</v>
      </c>
      <c r="D785" s="334"/>
      <c r="E785" s="231"/>
      <c r="F785" s="231"/>
      <c r="G785" s="231"/>
      <c r="H785" s="231"/>
    </row>
    <row r="786" s="154" customFormat="1" spans="1:8">
      <c r="A786" s="247" t="s">
        <v>86</v>
      </c>
      <c r="B786" s="249">
        <f>C786*1.33</f>
        <v>13.3</v>
      </c>
      <c r="C786" s="249">
        <v>10</v>
      </c>
      <c r="D786" s="303"/>
      <c r="E786" s="231"/>
      <c r="F786" s="231"/>
      <c r="G786" s="231"/>
      <c r="H786" s="231"/>
    </row>
    <row r="787" s="154" customFormat="1" spans="1:8">
      <c r="A787" s="213" t="s">
        <v>25</v>
      </c>
      <c r="B787" s="214">
        <f>C787</f>
        <v>0.5</v>
      </c>
      <c r="C787" s="249">
        <v>0.5</v>
      </c>
      <c r="D787" s="303"/>
      <c r="E787" s="231"/>
      <c r="F787" s="231"/>
      <c r="G787" s="231"/>
      <c r="H787" s="231"/>
    </row>
    <row r="788" s="154" customFormat="1" spans="1:8">
      <c r="A788" s="335" t="s">
        <v>40</v>
      </c>
      <c r="B788" s="336">
        <f>1.19*C788</f>
        <v>9.52</v>
      </c>
      <c r="C788" s="336">
        <v>8</v>
      </c>
      <c r="D788" s="303"/>
      <c r="E788" s="231"/>
      <c r="F788" s="231"/>
      <c r="G788" s="231"/>
      <c r="H788" s="231"/>
    </row>
    <row r="789" s="154" customFormat="1" spans="1:8">
      <c r="A789" s="251" t="s">
        <v>41</v>
      </c>
      <c r="B789" s="336">
        <f>C789</f>
        <v>0.01</v>
      </c>
      <c r="C789" s="336">
        <v>0.01</v>
      </c>
      <c r="D789" s="303"/>
      <c r="E789" s="231"/>
      <c r="F789" s="231"/>
      <c r="G789" s="231"/>
      <c r="H789" s="231"/>
    </row>
    <row r="790" s="154" customFormat="1" spans="1:8">
      <c r="A790" s="301" t="s">
        <v>87</v>
      </c>
      <c r="B790" s="302">
        <f>C790*1.9</f>
        <v>19</v>
      </c>
      <c r="C790" s="302">
        <v>10</v>
      </c>
      <c r="D790" s="303"/>
      <c r="E790" s="231"/>
      <c r="F790" s="231"/>
      <c r="G790" s="231"/>
      <c r="H790" s="231"/>
    </row>
    <row r="791" s="154" customFormat="1" spans="1:8">
      <c r="A791" s="301" t="s">
        <v>46</v>
      </c>
      <c r="B791" s="302">
        <f>C791</f>
        <v>3.18</v>
      </c>
      <c r="C791" s="302">
        <v>3.18</v>
      </c>
      <c r="D791" s="303"/>
      <c r="E791" s="231"/>
      <c r="F791" s="231"/>
      <c r="G791" s="231"/>
      <c r="H791" s="231"/>
    </row>
    <row r="792" s="154" customFormat="1" spans="1:8">
      <c r="A792" s="247" t="s">
        <v>23</v>
      </c>
      <c r="B792" s="336">
        <f>C792</f>
        <v>188</v>
      </c>
      <c r="C792" s="336">
        <v>188</v>
      </c>
      <c r="D792" s="303"/>
      <c r="E792" s="231"/>
      <c r="F792" s="231"/>
      <c r="G792" s="231"/>
      <c r="H792" s="231"/>
    </row>
    <row r="793" s="154" customFormat="1" spans="1:8">
      <c r="A793" s="337" t="s">
        <v>88</v>
      </c>
      <c r="B793" s="336">
        <f>C793</f>
        <v>10</v>
      </c>
      <c r="C793" s="336">
        <v>10</v>
      </c>
      <c r="D793" s="303"/>
      <c r="E793" s="231"/>
      <c r="F793" s="231"/>
      <c r="G793" s="231"/>
      <c r="H793" s="231"/>
    </row>
    <row r="794" s="154" customFormat="1" spans="1:8">
      <c r="A794" s="255" t="s">
        <v>47</v>
      </c>
      <c r="B794" s="256">
        <f>C794*1.35</f>
        <v>1.35</v>
      </c>
      <c r="C794" s="256">
        <v>1</v>
      </c>
      <c r="D794" s="257"/>
      <c r="E794" s="231"/>
      <c r="F794" s="231"/>
      <c r="G794" s="231"/>
      <c r="H794" s="231"/>
    </row>
    <row r="795" s="154" customFormat="1" ht="15.75" spans="1:8">
      <c r="A795" s="583" t="s">
        <v>278</v>
      </c>
      <c r="B795" s="584"/>
      <c r="C795" s="585"/>
      <c r="D795" s="586" t="s">
        <v>21</v>
      </c>
      <c r="E795" s="190">
        <v>13.2</v>
      </c>
      <c r="F795" s="190">
        <v>15.64</v>
      </c>
      <c r="G795" s="190">
        <v>28.68</v>
      </c>
      <c r="H795" s="190">
        <v>333.56</v>
      </c>
    </row>
    <row r="796" s="154" customFormat="1" spans="1:8">
      <c r="A796" s="424" t="s">
        <v>92</v>
      </c>
      <c r="B796" s="252">
        <f>C796*1.05</f>
        <v>73.5</v>
      </c>
      <c r="C796" s="252">
        <f>C797*1.4</f>
        <v>70</v>
      </c>
      <c r="D796" s="308"/>
      <c r="E796" s="231"/>
      <c r="F796" s="231"/>
      <c r="G796" s="231"/>
      <c r="H796" s="231"/>
    </row>
    <row r="797" s="154" customFormat="1" spans="1:8">
      <c r="A797" s="507" t="s">
        <v>213</v>
      </c>
      <c r="B797" s="508"/>
      <c r="C797" s="469">
        <v>50</v>
      </c>
      <c r="D797" s="308"/>
      <c r="E797" s="231"/>
      <c r="F797" s="231"/>
      <c r="G797" s="231"/>
      <c r="H797" s="231"/>
    </row>
    <row r="798" s="154" customFormat="1" spans="1:8">
      <c r="A798" s="247" t="s">
        <v>36</v>
      </c>
      <c r="B798" s="241">
        <f>C798*1.33</f>
        <v>172.9</v>
      </c>
      <c r="C798" s="241">
        <v>130</v>
      </c>
      <c r="D798" s="308"/>
      <c r="E798" s="231"/>
      <c r="F798" s="231"/>
      <c r="G798" s="231"/>
      <c r="H798" s="231"/>
    </row>
    <row r="799" s="154" customFormat="1" spans="1:8">
      <c r="A799" s="247" t="s">
        <v>37</v>
      </c>
      <c r="B799" s="241">
        <f>C799*1.67</f>
        <v>217.1</v>
      </c>
      <c r="C799" s="241">
        <v>130</v>
      </c>
      <c r="D799" s="587"/>
      <c r="E799" s="231"/>
      <c r="F799" s="231"/>
      <c r="G799" s="231"/>
      <c r="H799" s="231"/>
    </row>
    <row r="800" s="154" customFormat="1" spans="1:8">
      <c r="A800" s="588" t="s">
        <v>40</v>
      </c>
      <c r="B800" s="589">
        <f>1.19*C800</f>
        <v>11.9</v>
      </c>
      <c r="C800" s="589">
        <v>10</v>
      </c>
      <c r="D800" s="590"/>
      <c r="E800" s="231"/>
      <c r="F800" s="231"/>
      <c r="G800" s="231"/>
      <c r="H800" s="231"/>
    </row>
    <row r="801" s="154" customFormat="1" spans="1:8">
      <c r="A801" s="247" t="s">
        <v>39</v>
      </c>
      <c r="B801" s="256">
        <f>C801*1.25</f>
        <v>30</v>
      </c>
      <c r="C801" s="336">
        <v>24</v>
      </c>
      <c r="D801" s="590"/>
      <c r="E801" s="231"/>
      <c r="F801" s="231"/>
      <c r="G801" s="231"/>
      <c r="H801" s="231"/>
    </row>
    <row r="802" s="163" customFormat="1" spans="1:8">
      <c r="A802" s="247" t="s">
        <v>86</v>
      </c>
      <c r="B802" s="249">
        <f>C802*1.33</f>
        <v>31.92</v>
      </c>
      <c r="C802" s="249">
        <v>24</v>
      </c>
      <c r="D802" s="590"/>
      <c r="E802" s="398"/>
      <c r="F802" s="398"/>
      <c r="G802" s="398"/>
      <c r="H802" s="398"/>
    </row>
    <row r="803" s="158" customFormat="1" spans="1:8">
      <c r="A803" s="251" t="s">
        <v>41</v>
      </c>
      <c r="B803" s="589">
        <f>C803</f>
        <v>0.01</v>
      </c>
      <c r="C803" s="589">
        <v>0.01</v>
      </c>
      <c r="D803" s="590"/>
      <c r="E803" s="243"/>
      <c r="F803" s="243"/>
      <c r="G803" s="243"/>
      <c r="H803" s="243"/>
    </row>
    <row r="804" s="158" customFormat="1" spans="1:8">
      <c r="A804" s="401" t="s">
        <v>124</v>
      </c>
      <c r="B804" s="262">
        <f>C804</f>
        <v>5</v>
      </c>
      <c r="C804" s="589">
        <v>5</v>
      </c>
      <c r="D804" s="590"/>
      <c r="E804" s="243"/>
      <c r="F804" s="243"/>
      <c r="G804" s="243"/>
      <c r="H804" s="243"/>
    </row>
    <row r="805" s="158" customFormat="1" spans="1:8">
      <c r="A805" s="213" t="s">
        <v>25</v>
      </c>
      <c r="B805" s="214">
        <f>C805</f>
        <v>0.8</v>
      </c>
      <c r="C805" s="589">
        <v>0.8</v>
      </c>
      <c r="D805" s="590"/>
      <c r="E805" s="243"/>
      <c r="F805" s="243"/>
      <c r="G805" s="243"/>
      <c r="H805" s="243"/>
    </row>
    <row r="806" s="158" customFormat="1" spans="1:8">
      <c r="A806" s="588" t="s">
        <v>51</v>
      </c>
      <c r="B806" s="589">
        <f>C806</f>
        <v>4.02</v>
      </c>
      <c r="C806" s="589">
        <v>4.02</v>
      </c>
      <c r="D806" s="590"/>
      <c r="E806" s="243"/>
      <c r="F806" s="243"/>
      <c r="G806" s="243"/>
      <c r="H806" s="243"/>
    </row>
    <row r="807" s="158" customFormat="1" ht="18.75" spans="1:8">
      <c r="A807" s="219" t="s">
        <v>47</v>
      </c>
      <c r="B807" s="269">
        <f>C807*1.35</f>
        <v>0.81</v>
      </c>
      <c r="C807" s="591">
        <v>0.6</v>
      </c>
      <c r="D807" s="592"/>
      <c r="E807" s="243"/>
      <c r="F807" s="243"/>
      <c r="G807" s="243"/>
      <c r="H807" s="243"/>
    </row>
    <row r="808" s="158" customFormat="1" spans="1:8">
      <c r="A808" s="478" t="s">
        <v>160</v>
      </c>
      <c r="B808" s="479">
        <f>C808*1.2</f>
        <v>0.6</v>
      </c>
      <c r="C808" s="479">
        <v>0.5</v>
      </c>
      <c r="D808" s="480"/>
      <c r="E808" s="243"/>
      <c r="F808" s="243"/>
      <c r="G808" s="243"/>
      <c r="H808" s="243"/>
    </row>
    <row r="809" s="158" customFormat="1" spans="1:8">
      <c r="A809" s="593" t="s">
        <v>23</v>
      </c>
      <c r="B809" s="594">
        <f>C809</f>
        <v>15</v>
      </c>
      <c r="C809" s="594">
        <v>15</v>
      </c>
      <c r="D809" s="595"/>
      <c r="E809" s="243"/>
      <c r="F809" s="243"/>
      <c r="G809" s="243"/>
      <c r="H809" s="243"/>
    </row>
    <row r="810" s="158" customFormat="1" ht="15.75" spans="1:8">
      <c r="A810" s="304" t="s">
        <v>67</v>
      </c>
      <c r="B810" s="305"/>
      <c r="C810" s="306"/>
      <c r="D810" s="283">
        <v>180</v>
      </c>
      <c r="E810" s="190">
        <v>0.27</v>
      </c>
      <c r="F810" s="190">
        <v>0.09</v>
      </c>
      <c r="G810" s="190">
        <v>15.21</v>
      </c>
      <c r="H810" s="190">
        <v>63.14</v>
      </c>
    </row>
    <row r="811" s="158" customFormat="1" spans="1:8">
      <c r="A811" s="307" t="s">
        <v>68</v>
      </c>
      <c r="B811" s="278">
        <f>C811</f>
        <v>30</v>
      </c>
      <c r="C811" s="278">
        <v>30</v>
      </c>
      <c r="D811" s="308"/>
      <c r="E811" s="243"/>
      <c r="F811" s="243"/>
      <c r="G811" s="243"/>
      <c r="H811" s="243"/>
    </row>
    <row r="812" s="163" customFormat="1" spans="1:8">
      <c r="A812" s="208" t="s">
        <v>26</v>
      </c>
      <c r="B812" s="278">
        <f>C812</f>
        <v>13</v>
      </c>
      <c r="C812" s="278">
        <v>13</v>
      </c>
      <c r="D812" s="308"/>
      <c r="E812" s="398"/>
      <c r="F812" s="398"/>
      <c r="G812" s="398"/>
      <c r="H812" s="398"/>
    </row>
    <row r="813" s="158" customFormat="1" spans="1:8">
      <c r="A813" s="247" t="s">
        <v>29</v>
      </c>
      <c r="B813" s="249">
        <f>C813</f>
        <v>190</v>
      </c>
      <c r="C813" s="249">
        <v>190</v>
      </c>
      <c r="D813" s="221"/>
      <c r="E813" s="243"/>
      <c r="F813" s="243"/>
      <c r="G813" s="243"/>
      <c r="H813" s="243"/>
    </row>
    <row r="814" s="158" customFormat="1" ht="15.75" spans="1:8">
      <c r="A814" s="225" t="s">
        <v>30</v>
      </c>
      <c r="B814" s="249"/>
      <c r="C814" s="285"/>
      <c r="D814" s="230">
        <v>20</v>
      </c>
      <c r="E814" s="284">
        <v>1.12</v>
      </c>
      <c r="F814" s="284">
        <v>0.22</v>
      </c>
      <c r="G814" s="284">
        <v>11.58</v>
      </c>
      <c r="H814" s="284">
        <v>55.25</v>
      </c>
    </row>
    <row r="815" s="158" customFormat="1" ht="15.75" spans="1:8">
      <c r="A815" s="286" t="s">
        <v>59</v>
      </c>
      <c r="B815" s="287"/>
      <c r="C815" s="287"/>
      <c r="D815" s="283">
        <v>40</v>
      </c>
      <c r="E815" s="190">
        <v>1.79</v>
      </c>
      <c r="F815" s="190">
        <v>0.35</v>
      </c>
      <c r="G815" s="190">
        <v>18.53</v>
      </c>
      <c r="H815" s="190">
        <v>88.4</v>
      </c>
    </row>
    <row r="816" ht="19.5" spans="1:8">
      <c r="A816" s="183" t="s">
        <v>60</v>
      </c>
      <c r="B816" s="288"/>
      <c r="C816" s="288"/>
      <c r="D816" s="596">
        <f>D817+D831+D836</f>
        <v>350</v>
      </c>
      <c r="E816" s="377">
        <f>SUM(E817:E836)</f>
        <v>7.96</v>
      </c>
      <c r="F816" s="377">
        <f>SUM(F817:F836)</f>
        <v>7.52</v>
      </c>
      <c r="G816" s="377">
        <f>SUM(G817:G836)</f>
        <v>34.34</v>
      </c>
      <c r="H816" s="377">
        <f>SUM(H817:H836)</f>
        <v>237.84</v>
      </c>
    </row>
    <row r="817" customHeight="1" spans="1:8">
      <c r="A817" s="448" t="s">
        <v>279</v>
      </c>
      <c r="B817" s="448"/>
      <c r="C817" s="448"/>
      <c r="D817" s="322" t="s">
        <v>280</v>
      </c>
      <c r="E817" s="291">
        <v>7.55</v>
      </c>
      <c r="F817" s="291">
        <v>7.42</v>
      </c>
      <c r="G817" s="291">
        <v>18.03</v>
      </c>
      <c r="H817" s="291">
        <v>158.86</v>
      </c>
    </row>
    <row r="818" customHeight="1" spans="1:8">
      <c r="A818" s="268" t="s">
        <v>171</v>
      </c>
      <c r="B818" s="296">
        <f>C818</f>
        <v>30.71</v>
      </c>
      <c r="C818" s="296">
        <v>30.71</v>
      </c>
      <c r="D818" s="298"/>
      <c r="E818" s="320"/>
      <c r="F818" s="320"/>
      <c r="G818" s="320"/>
      <c r="H818" s="320"/>
    </row>
    <row r="819" customHeight="1" spans="1:8">
      <c r="A819" s="208" t="s">
        <v>26</v>
      </c>
      <c r="B819" s="296">
        <f t="shared" ref="B819:B824" si="36">C819</f>
        <v>5.5</v>
      </c>
      <c r="C819" s="296">
        <v>5.5</v>
      </c>
      <c r="D819" s="298"/>
      <c r="E819" s="320"/>
      <c r="F819" s="320"/>
      <c r="G819" s="320"/>
      <c r="H819" s="320"/>
    </row>
    <row r="820" customHeight="1" spans="1:8">
      <c r="A820" s="482" t="s">
        <v>51</v>
      </c>
      <c r="B820" s="296">
        <f t="shared" si="36"/>
        <v>4.5</v>
      </c>
      <c r="C820" s="296">
        <v>4.5</v>
      </c>
      <c r="D820" s="298"/>
      <c r="E820" s="320"/>
      <c r="F820" s="320"/>
      <c r="G820" s="320"/>
      <c r="H820" s="320"/>
    </row>
    <row r="821" customHeight="1" spans="1:8">
      <c r="A821" s="213" t="s">
        <v>25</v>
      </c>
      <c r="B821" s="296">
        <f t="shared" si="36"/>
        <v>0.3</v>
      </c>
      <c r="C821" s="297">
        <v>0.3</v>
      </c>
      <c r="D821" s="298"/>
      <c r="E821" s="320"/>
      <c r="F821" s="320"/>
      <c r="G821" s="320"/>
      <c r="H821" s="320"/>
    </row>
    <row r="822" customHeight="1" spans="1:8">
      <c r="A822" s="451" t="s">
        <v>172</v>
      </c>
      <c r="B822" s="296">
        <f t="shared" si="36"/>
        <v>0.45</v>
      </c>
      <c r="C822" s="297">
        <v>0.45</v>
      </c>
      <c r="D822" s="298"/>
      <c r="E822" s="320"/>
      <c r="F822" s="320"/>
      <c r="G822" s="320"/>
      <c r="H822" s="320"/>
    </row>
    <row r="823" customHeight="1" spans="1:8">
      <c r="A823" s="212" t="s">
        <v>24</v>
      </c>
      <c r="B823" s="296">
        <f t="shared" si="36"/>
        <v>2.5</v>
      </c>
      <c r="C823" s="297">
        <v>2.5</v>
      </c>
      <c r="D823" s="298"/>
      <c r="E823" s="320"/>
      <c r="F823" s="320"/>
      <c r="G823" s="320"/>
      <c r="H823" s="320"/>
    </row>
    <row r="824" customHeight="1" spans="1:8">
      <c r="A824" s="247" t="s">
        <v>29</v>
      </c>
      <c r="B824" s="296">
        <f t="shared" si="36"/>
        <v>10.5</v>
      </c>
      <c r="C824" s="297">
        <v>10.5</v>
      </c>
      <c r="D824" s="298"/>
      <c r="E824" s="320"/>
      <c r="F824" s="320"/>
      <c r="G824" s="320"/>
      <c r="H824" s="320"/>
    </row>
    <row r="825" customHeight="1" spans="1:8">
      <c r="A825" s="597" t="s">
        <v>54</v>
      </c>
      <c r="B825" s="598"/>
      <c r="C825" s="599">
        <f>SUM(C818:C824)</f>
        <v>54.46</v>
      </c>
      <c r="D825" s="298"/>
      <c r="E825" s="320"/>
      <c r="F825" s="320"/>
      <c r="G825" s="320"/>
      <c r="H825" s="320"/>
    </row>
    <row r="826" customHeight="1" spans="1:8">
      <c r="A826" s="597" t="s">
        <v>281</v>
      </c>
      <c r="B826" s="598"/>
      <c r="C826" s="599">
        <v>8</v>
      </c>
      <c r="D826" s="298"/>
      <c r="E826" s="320"/>
      <c r="F826" s="320"/>
      <c r="G826" s="320"/>
      <c r="H826" s="320"/>
    </row>
    <row r="827" customHeight="1" spans="1:8">
      <c r="A827" s="212" t="s">
        <v>16</v>
      </c>
      <c r="B827" s="296">
        <f t="shared" ref="B827:B828" si="37">C827</f>
        <v>2</v>
      </c>
      <c r="C827" s="296">
        <v>2</v>
      </c>
      <c r="D827" s="298"/>
      <c r="E827" s="320"/>
      <c r="F827" s="320"/>
      <c r="G827" s="320"/>
      <c r="H827" s="320"/>
    </row>
    <row r="828" customHeight="1" spans="1:8">
      <c r="A828" s="268" t="s">
        <v>171</v>
      </c>
      <c r="B828" s="296">
        <f t="shared" si="37"/>
        <v>4</v>
      </c>
      <c r="C828" s="296">
        <v>4</v>
      </c>
      <c r="D828" s="298"/>
      <c r="E828" s="320"/>
      <c r="F828" s="320"/>
      <c r="G828" s="320"/>
      <c r="H828" s="320"/>
    </row>
    <row r="829" customHeight="1" spans="1:8">
      <c r="A829" s="208" t="s">
        <v>26</v>
      </c>
      <c r="B829" s="296">
        <f t="shared" ref="B829:B830" si="38">C829</f>
        <v>2</v>
      </c>
      <c r="C829" s="296">
        <v>2</v>
      </c>
      <c r="D829" s="298"/>
      <c r="E829" s="320"/>
      <c r="F829" s="320"/>
      <c r="G829" s="320"/>
      <c r="H829" s="320"/>
    </row>
    <row r="830" customHeight="1" spans="1:8">
      <c r="A830" s="295" t="s">
        <v>95</v>
      </c>
      <c r="B830" s="297">
        <f t="shared" si="38"/>
        <v>0.8</v>
      </c>
      <c r="C830" s="297">
        <v>0.8</v>
      </c>
      <c r="D830" s="298"/>
      <c r="E830" s="320"/>
      <c r="F830" s="320"/>
      <c r="G830" s="320"/>
      <c r="H830" s="320"/>
    </row>
    <row r="831" ht="15.75" spans="1:8">
      <c r="A831" s="215" t="s">
        <v>282</v>
      </c>
      <c r="B831" s="216"/>
      <c r="C831" s="217"/>
      <c r="D831" s="218" t="s">
        <v>21</v>
      </c>
      <c r="E831" s="190">
        <v>0.01</v>
      </c>
      <c r="F831" s="190">
        <v>0</v>
      </c>
      <c r="G831" s="190">
        <v>7.01</v>
      </c>
      <c r="H831" s="190">
        <v>39.98</v>
      </c>
    </row>
    <row r="832" spans="1:8">
      <c r="A832" s="219" t="s">
        <v>28</v>
      </c>
      <c r="B832" s="220">
        <f>C832</f>
        <v>1</v>
      </c>
      <c r="C832" s="220">
        <v>1</v>
      </c>
      <c r="D832" s="221"/>
      <c r="E832" s="320"/>
      <c r="F832" s="320"/>
      <c r="G832" s="320"/>
      <c r="H832" s="320"/>
    </row>
    <row r="833" spans="1:8">
      <c r="A833" s="208" t="s">
        <v>26</v>
      </c>
      <c r="B833" s="220">
        <f>C833</f>
        <v>12</v>
      </c>
      <c r="C833" s="220">
        <v>12</v>
      </c>
      <c r="D833" s="221"/>
      <c r="E833" s="320"/>
      <c r="F833" s="320"/>
      <c r="G833" s="320"/>
      <c r="H833" s="320"/>
    </row>
    <row r="834" spans="1:8">
      <c r="A834" s="419" t="s">
        <v>149</v>
      </c>
      <c r="B834" s="220">
        <f>C834*1.14</f>
        <v>2.28</v>
      </c>
      <c r="C834" s="220">
        <v>2</v>
      </c>
      <c r="D834" s="221"/>
      <c r="E834" s="320"/>
      <c r="F834" s="320"/>
      <c r="G834" s="320"/>
      <c r="H834" s="320"/>
    </row>
    <row r="835" spans="1:8">
      <c r="A835" s="223" t="s">
        <v>29</v>
      </c>
      <c r="B835" s="224">
        <f>C835</f>
        <v>210</v>
      </c>
      <c r="C835" s="224">
        <v>210</v>
      </c>
      <c r="D835" s="221"/>
      <c r="E835" s="320"/>
      <c r="F835" s="320"/>
      <c r="G835" s="320"/>
      <c r="H835" s="320"/>
    </row>
    <row r="836" ht="15.75" spans="1:8">
      <c r="A836" s="326" t="s">
        <v>80</v>
      </c>
      <c r="B836" s="269">
        <f>C836</f>
        <v>100</v>
      </c>
      <c r="C836" s="269">
        <v>100</v>
      </c>
      <c r="D836" s="283">
        <v>100</v>
      </c>
      <c r="E836" s="327">
        <v>0.4</v>
      </c>
      <c r="F836" s="190">
        <v>0.1</v>
      </c>
      <c r="G836" s="190">
        <v>9.3</v>
      </c>
      <c r="H836" s="190">
        <v>39</v>
      </c>
    </row>
    <row r="837" ht="18.75" spans="1:8">
      <c r="A837" s="309" t="s">
        <v>70</v>
      </c>
      <c r="B837" s="310"/>
      <c r="C837" s="310"/>
      <c r="D837" s="311"/>
      <c r="E837" s="312">
        <f>E816+E776+E760</f>
        <v>46.93</v>
      </c>
      <c r="F837" s="312">
        <f>F816+F776+F760</f>
        <v>46.86</v>
      </c>
      <c r="G837" s="312">
        <f>G816+G776+G760</f>
        <v>200.14</v>
      </c>
      <c r="H837" s="312">
        <f>H816+H776+H760</f>
        <v>1405.67</v>
      </c>
    </row>
    <row r="838" ht="23.25" customHeight="1" spans="1:8">
      <c r="A838" s="484" t="s">
        <v>283</v>
      </c>
      <c r="B838" s="485"/>
      <c r="C838" s="485"/>
      <c r="D838" s="485"/>
      <c r="E838" s="485"/>
      <c r="F838" s="485"/>
      <c r="G838" s="485"/>
      <c r="H838" s="486"/>
    </row>
    <row r="839" ht="24.75" customHeight="1" spans="1:8">
      <c r="A839" s="174" t="s">
        <v>284</v>
      </c>
      <c r="B839" s="175"/>
      <c r="C839" s="175"/>
      <c r="D839" s="175"/>
      <c r="E839" s="175"/>
      <c r="F839" s="175"/>
      <c r="G839" s="175"/>
      <c r="H839" s="176"/>
    </row>
    <row r="840" ht="24.75" customHeight="1" spans="1:8">
      <c r="A840" s="177" t="s">
        <v>5</v>
      </c>
      <c r="B840" s="177" t="s">
        <v>6</v>
      </c>
      <c r="C840" s="177" t="s">
        <v>7</v>
      </c>
      <c r="D840" s="178" t="s">
        <v>8</v>
      </c>
      <c r="E840" s="179" t="s">
        <v>9</v>
      </c>
      <c r="F840" s="179" t="s">
        <v>10</v>
      </c>
      <c r="G840" s="179" t="s">
        <v>11</v>
      </c>
      <c r="H840" s="179" t="s">
        <v>12</v>
      </c>
    </row>
    <row r="841" ht="24.75" customHeight="1" spans="1:8">
      <c r="A841" s="180"/>
      <c r="B841" s="180"/>
      <c r="C841" s="180"/>
      <c r="D841" s="181"/>
      <c r="E841" s="182"/>
      <c r="F841" s="182"/>
      <c r="G841" s="182"/>
      <c r="H841" s="182"/>
    </row>
    <row r="842" ht="22.5" customHeight="1" spans="1:8">
      <c r="A842" s="183" t="s">
        <v>13</v>
      </c>
      <c r="B842" s="183"/>
      <c r="C842" s="183"/>
      <c r="D842" s="455">
        <v>508</v>
      </c>
      <c r="E842" s="377">
        <f>SUM(E843:E858)</f>
        <v>14.68</v>
      </c>
      <c r="F842" s="377">
        <f>SUM(F843:F858)</f>
        <v>15.14</v>
      </c>
      <c r="G842" s="377">
        <f>SUM(G843:G858)</f>
        <v>65.88</v>
      </c>
      <c r="H842" s="377">
        <f>SUM(H843:H858)</f>
        <v>449.3</v>
      </c>
    </row>
    <row r="843" s="154" customFormat="1" ht="15.75" spans="1:8">
      <c r="A843" s="600" t="s">
        <v>14</v>
      </c>
      <c r="B843" s="302"/>
      <c r="C843" s="302"/>
      <c r="D843" s="218" t="s">
        <v>73</v>
      </c>
      <c r="E843" s="190">
        <v>5.41</v>
      </c>
      <c r="F843" s="190">
        <v>6.77</v>
      </c>
      <c r="G843" s="190">
        <v>9.3</v>
      </c>
      <c r="H843" s="190">
        <v>115.72</v>
      </c>
    </row>
    <row r="844" s="154" customFormat="1" spans="1:8">
      <c r="A844" s="195" t="s">
        <v>17</v>
      </c>
      <c r="B844" s="302">
        <f>C844</f>
        <v>18</v>
      </c>
      <c r="C844" s="302">
        <v>18</v>
      </c>
      <c r="D844" s="218"/>
      <c r="E844" s="231"/>
      <c r="F844" s="231"/>
      <c r="G844" s="231"/>
      <c r="H844" s="231"/>
    </row>
    <row r="845" s="154" customFormat="1" spans="1:8">
      <c r="A845" s="191" t="s">
        <v>16</v>
      </c>
      <c r="B845" s="302">
        <f>C845</f>
        <v>10</v>
      </c>
      <c r="C845" s="319">
        <v>10</v>
      </c>
      <c r="D845" s="334"/>
      <c r="E845" s="231"/>
      <c r="F845" s="231"/>
      <c r="G845" s="231"/>
      <c r="H845" s="231"/>
    </row>
    <row r="846" s="154" customFormat="1" ht="15.75" spans="1:8">
      <c r="A846" s="204" t="s">
        <v>200</v>
      </c>
      <c r="B846" s="205"/>
      <c r="C846" s="206"/>
      <c r="D846" s="207" t="s">
        <v>285</v>
      </c>
      <c r="E846" s="190">
        <v>6.99</v>
      </c>
      <c r="F846" s="190">
        <v>7.89</v>
      </c>
      <c r="G846" s="190">
        <v>19.87</v>
      </c>
      <c r="H846" s="190">
        <v>170.39</v>
      </c>
    </row>
    <row r="847" s="154" customFormat="1" spans="1:8">
      <c r="A847" s="208" t="s">
        <v>101</v>
      </c>
      <c r="B847" s="192">
        <f t="shared" ref="B847:B851" si="39">C847</f>
        <v>20</v>
      </c>
      <c r="C847" s="192">
        <v>20</v>
      </c>
      <c r="D847" s="370"/>
      <c r="E847" s="231"/>
      <c r="F847" s="231"/>
      <c r="G847" s="231"/>
      <c r="H847" s="231"/>
    </row>
    <row r="848" s="154" customFormat="1" spans="1:8">
      <c r="A848" s="209" t="s">
        <v>23</v>
      </c>
      <c r="B848" s="192">
        <f t="shared" si="39"/>
        <v>68</v>
      </c>
      <c r="C848" s="210">
        <v>68</v>
      </c>
      <c r="D848" s="370"/>
      <c r="E848" s="231"/>
      <c r="F848" s="231"/>
      <c r="G848" s="231"/>
      <c r="H848" s="231"/>
    </row>
    <row r="849" s="154" customFormat="1" spans="1:8">
      <c r="A849" s="212" t="s">
        <v>24</v>
      </c>
      <c r="B849" s="192">
        <f t="shared" si="39"/>
        <v>77</v>
      </c>
      <c r="C849" s="210">
        <v>77</v>
      </c>
      <c r="D849" s="370"/>
      <c r="E849" s="231"/>
      <c r="F849" s="231"/>
      <c r="G849" s="231"/>
      <c r="H849" s="231"/>
    </row>
    <row r="850" s="154" customFormat="1" spans="1:8">
      <c r="A850" s="208" t="s">
        <v>26</v>
      </c>
      <c r="B850" s="192">
        <f t="shared" si="39"/>
        <v>3.2</v>
      </c>
      <c r="C850" s="192">
        <v>3.2</v>
      </c>
      <c r="D850" s="370"/>
      <c r="E850" s="231"/>
      <c r="F850" s="231"/>
      <c r="G850" s="231"/>
      <c r="H850" s="231"/>
    </row>
    <row r="851" s="154" customFormat="1" spans="1:8">
      <c r="A851" s="213" t="s">
        <v>25</v>
      </c>
      <c r="B851" s="214">
        <f t="shared" si="39"/>
        <v>0.64</v>
      </c>
      <c r="C851" s="269">
        <v>0.64</v>
      </c>
      <c r="D851" s="370"/>
      <c r="E851" s="231"/>
      <c r="F851" s="231"/>
      <c r="G851" s="231"/>
      <c r="H851" s="231"/>
    </row>
    <row r="852" s="154" customFormat="1" spans="1:8">
      <c r="A852" s="191" t="s">
        <v>16</v>
      </c>
      <c r="B852" s="241">
        <f t="shared" ref="B852" si="40">C852</f>
        <v>3</v>
      </c>
      <c r="C852" s="241">
        <v>3</v>
      </c>
      <c r="D852" s="370"/>
      <c r="E852" s="231"/>
      <c r="F852" s="231"/>
      <c r="G852" s="231"/>
      <c r="H852" s="231"/>
    </row>
    <row r="853" s="154" customFormat="1" ht="15.75" spans="1:8">
      <c r="A853" s="374" t="s">
        <v>196</v>
      </c>
      <c r="B853" s="374"/>
      <c r="C853" s="374"/>
      <c r="D853" s="375">
        <v>200</v>
      </c>
      <c r="E853" s="190">
        <v>0.2</v>
      </c>
      <c r="F853" s="190">
        <v>0.05</v>
      </c>
      <c r="G853" s="190">
        <v>10.04</v>
      </c>
      <c r="H853" s="190">
        <v>41.32</v>
      </c>
    </row>
    <row r="854" s="154" customFormat="1" spans="1:8">
      <c r="A854" s="219" t="s">
        <v>28</v>
      </c>
      <c r="B854" s="269">
        <f>C854</f>
        <v>1</v>
      </c>
      <c r="C854" s="220">
        <v>1</v>
      </c>
      <c r="D854" s="376"/>
      <c r="E854" s="231"/>
      <c r="F854" s="231"/>
      <c r="G854" s="231"/>
      <c r="H854" s="231"/>
    </row>
    <row r="855" s="154" customFormat="1" spans="1:8">
      <c r="A855" s="219" t="s">
        <v>29</v>
      </c>
      <c r="B855" s="269">
        <f>C855</f>
        <v>210</v>
      </c>
      <c r="C855" s="269">
        <v>210</v>
      </c>
      <c r="D855" s="376"/>
      <c r="E855" s="231"/>
      <c r="F855" s="231"/>
      <c r="G855" s="231"/>
      <c r="H855" s="231"/>
    </row>
    <row r="856" s="154" customFormat="1" spans="1:8">
      <c r="A856" s="208" t="s">
        <v>26</v>
      </c>
      <c r="B856" s="269">
        <f>C856</f>
        <v>11</v>
      </c>
      <c r="C856" s="269">
        <v>11</v>
      </c>
      <c r="D856" s="376"/>
      <c r="E856" s="231"/>
      <c r="F856" s="231"/>
      <c r="G856" s="231"/>
      <c r="H856" s="231"/>
    </row>
    <row r="857" s="154" customFormat="1" ht="15.75" spans="1:8">
      <c r="A857" s="225" t="s">
        <v>30</v>
      </c>
      <c r="B857" s="249"/>
      <c r="C857" s="285"/>
      <c r="D857" s="230">
        <v>30</v>
      </c>
      <c r="E857" s="190">
        <v>1.68</v>
      </c>
      <c r="F857" s="190">
        <v>0.33</v>
      </c>
      <c r="G857" s="190">
        <v>17.37</v>
      </c>
      <c r="H857" s="190">
        <v>82.87</v>
      </c>
    </row>
    <row r="858" s="154" customFormat="1" ht="15.75" spans="1:8">
      <c r="A858" s="326" t="s">
        <v>80</v>
      </c>
      <c r="B858" s="326"/>
      <c r="C858" s="326"/>
      <c r="D858" s="218" t="s">
        <v>81</v>
      </c>
      <c r="E858" s="327">
        <v>0.4</v>
      </c>
      <c r="F858" s="190">
        <v>0.1</v>
      </c>
      <c r="G858" s="190">
        <v>9.3</v>
      </c>
      <c r="H858" s="190">
        <v>39</v>
      </c>
    </row>
    <row r="859" ht="21" customHeight="1" spans="1:8">
      <c r="A859" s="183" t="s">
        <v>32</v>
      </c>
      <c r="B859" s="232"/>
      <c r="C859" s="232"/>
      <c r="D859" s="392">
        <f>D860+D876+D888+D893+D899</f>
        <v>680</v>
      </c>
      <c r="E859" s="377">
        <f>SUM(E860:E900)</f>
        <v>24.24</v>
      </c>
      <c r="F859" s="377">
        <f>SUM(F860:F900)</f>
        <v>24.41</v>
      </c>
      <c r="G859" s="377">
        <f>SUM(G860:G900)</f>
        <v>98.3</v>
      </c>
      <c r="H859" s="377">
        <f>SUM(H860:H900)</f>
        <v>727.32</v>
      </c>
    </row>
    <row r="860" s="158" customFormat="1" ht="14.25" customHeight="1" spans="1:8">
      <c r="A860" s="362" t="s">
        <v>286</v>
      </c>
      <c r="B860" s="363"/>
      <c r="C860" s="601"/>
      <c r="D860" s="602">
        <v>220</v>
      </c>
      <c r="E860" s="239">
        <v>4.82</v>
      </c>
      <c r="F860" s="239">
        <v>7.18</v>
      </c>
      <c r="G860" s="239">
        <v>11.39</v>
      </c>
      <c r="H860" s="239">
        <v>168.05</v>
      </c>
    </row>
    <row r="861" s="158" customFormat="1" spans="1:8">
      <c r="A861" s="424" t="s">
        <v>92</v>
      </c>
      <c r="B861" s="252">
        <f>C861*1.05</f>
        <v>22.05</v>
      </c>
      <c r="C861" s="252">
        <f>C862*1.4</f>
        <v>21</v>
      </c>
      <c r="D861" s="308"/>
      <c r="E861" s="243"/>
      <c r="F861" s="243"/>
      <c r="G861" s="243"/>
      <c r="H861" s="243"/>
    </row>
    <row r="862" s="158" customFormat="1" spans="1:8">
      <c r="A862" s="507" t="s">
        <v>287</v>
      </c>
      <c r="B862" s="508"/>
      <c r="C862" s="469">
        <v>15</v>
      </c>
      <c r="D862" s="308"/>
      <c r="E862" s="243"/>
      <c r="F862" s="243"/>
      <c r="G862" s="243"/>
      <c r="H862" s="243"/>
    </row>
    <row r="863" s="158" customFormat="1" spans="1:8">
      <c r="A863" s="400" t="s">
        <v>122</v>
      </c>
      <c r="B863" s="269">
        <f>C863*1.25</f>
        <v>62.5</v>
      </c>
      <c r="C863" s="269">
        <v>50</v>
      </c>
      <c r="D863" s="308"/>
      <c r="E863" s="243"/>
      <c r="F863" s="243"/>
      <c r="G863" s="243"/>
      <c r="H863" s="243"/>
    </row>
    <row r="864" s="158" customFormat="1" spans="1:8">
      <c r="A864" s="219" t="s">
        <v>123</v>
      </c>
      <c r="B864" s="269">
        <f>C864*1.33</f>
        <v>26.6</v>
      </c>
      <c r="C864" s="269">
        <v>20</v>
      </c>
      <c r="D864" s="308"/>
      <c r="E864" s="243"/>
      <c r="F864" s="243"/>
      <c r="G864" s="243"/>
      <c r="H864" s="243"/>
    </row>
    <row r="865" s="158" customFormat="1" spans="1:8">
      <c r="A865" s="247" t="s">
        <v>36</v>
      </c>
      <c r="B865" s="241">
        <f>C865*1.33</f>
        <v>41.23</v>
      </c>
      <c r="C865" s="241">
        <v>31</v>
      </c>
      <c r="D865" s="354"/>
      <c r="E865" s="243"/>
      <c r="F865" s="243"/>
      <c r="G865" s="243"/>
      <c r="H865" s="243"/>
    </row>
    <row r="866" s="158" customFormat="1" spans="1:8">
      <c r="A866" s="247" t="s">
        <v>37</v>
      </c>
      <c r="B866" s="241">
        <f>C866*1.67</f>
        <v>51.77</v>
      </c>
      <c r="C866" s="241">
        <v>31</v>
      </c>
      <c r="D866" s="354"/>
      <c r="E866" s="243"/>
      <c r="F866" s="243"/>
      <c r="G866" s="243"/>
      <c r="H866" s="243"/>
    </row>
    <row r="867" s="158" customFormat="1" spans="1:8">
      <c r="A867" s="213" t="s">
        <v>25</v>
      </c>
      <c r="B867" s="214">
        <f>C867</f>
        <v>0.69</v>
      </c>
      <c r="C867" s="269">
        <v>0.69</v>
      </c>
      <c r="D867" s="568"/>
      <c r="E867" s="243"/>
      <c r="F867" s="243"/>
      <c r="G867" s="243"/>
      <c r="H867" s="243"/>
    </row>
    <row r="868" s="158" customFormat="1" spans="1:8">
      <c r="A868" s="247" t="s">
        <v>39</v>
      </c>
      <c r="B868" s="256">
        <f>C868*1.25</f>
        <v>10</v>
      </c>
      <c r="C868" s="336">
        <v>8</v>
      </c>
      <c r="D868" s="568"/>
      <c r="E868" s="243"/>
      <c r="F868" s="243"/>
      <c r="G868" s="243"/>
      <c r="H868" s="243"/>
    </row>
    <row r="869" s="158" customFormat="1" spans="1:8">
      <c r="A869" s="247" t="s">
        <v>86</v>
      </c>
      <c r="B869" s="249">
        <f>C869*1.33</f>
        <v>10.64</v>
      </c>
      <c r="C869" s="249">
        <v>8</v>
      </c>
      <c r="D869" s="354"/>
      <c r="E869" s="243"/>
      <c r="F869" s="243"/>
      <c r="G869" s="243"/>
      <c r="H869" s="243"/>
    </row>
    <row r="870" s="158" customFormat="1" spans="1:8">
      <c r="A870" s="424" t="s">
        <v>40</v>
      </c>
      <c r="B870" s="425">
        <f>C870*1.19</f>
        <v>8.33</v>
      </c>
      <c r="C870" s="316">
        <v>7</v>
      </c>
      <c r="D870" s="354"/>
      <c r="E870" s="243"/>
      <c r="F870" s="243"/>
      <c r="G870" s="243"/>
      <c r="H870" s="243"/>
    </row>
    <row r="871" s="158" customFormat="1" spans="1:8">
      <c r="A871" s="401" t="s">
        <v>124</v>
      </c>
      <c r="B871" s="262">
        <f>C871</f>
        <v>2.5</v>
      </c>
      <c r="C871" s="316">
        <v>2.5</v>
      </c>
      <c r="D871" s="354"/>
      <c r="E871" s="243"/>
      <c r="F871" s="243"/>
      <c r="G871" s="243"/>
      <c r="H871" s="243"/>
    </row>
    <row r="872" s="158" customFormat="1" spans="1:8">
      <c r="A872" s="247" t="s">
        <v>23</v>
      </c>
      <c r="B872" s="336">
        <f>C872</f>
        <v>188</v>
      </c>
      <c r="C872" s="336">
        <v>188</v>
      </c>
      <c r="D872" s="354"/>
      <c r="E872" s="243"/>
      <c r="F872" s="243"/>
      <c r="G872" s="243"/>
      <c r="H872" s="243"/>
    </row>
    <row r="873" s="158" customFormat="1" spans="1:8">
      <c r="A873" s="403" t="s">
        <v>125</v>
      </c>
      <c r="B873" s="249">
        <f>C873</f>
        <v>0.13</v>
      </c>
      <c r="C873" s="249">
        <v>0.13</v>
      </c>
      <c r="D873" s="257"/>
      <c r="E873" s="243"/>
      <c r="F873" s="243"/>
      <c r="G873" s="243"/>
      <c r="H873" s="243"/>
    </row>
    <row r="874" s="158" customFormat="1" spans="1:8">
      <c r="A874" s="424" t="s">
        <v>46</v>
      </c>
      <c r="B874" s="316">
        <f>C874</f>
        <v>3.45</v>
      </c>
      <c r="C874" s="316">
        <v>3.45</v>
      </c>
      <c r="D874" s="354"/>
      <c r="E874" s="243"/>
      <c r="F874" s="243"/>
      <c r="G874" s="243"/>
      <c r="H874" s="243"/>
    </row>
    <row r="875" s="158" customFormat="1" spans="1:8">
      <c r="A875" s="337" t="s">
        <v>88</v>
      </c>
      <c r="B875" s="316">
        <f>C875</f>
        <v>10</v>
      </c>
      <c r="C875" s="316">
        <v>10</v>
      </c>
      <c r="D875" s="603"/>
      <c r="E875" s="243"/>
      <c r="F875" s="243"/>
      <c r="G875" s="243"/>
      <c r="H875" s="243"/>
    </row>
    <row r="876" s="158" customFormat="1" ht="15.75" spans="1:8">
      <c r="A876" s="258" t="s">
        <v>48</v>
      </c>
      <c r="B876" s="259"/>
      <c r="C876" s="259"/>
      <c r="D876" s="260">
        <v>90</v>
      </c>
      <c r="E876" s="239">
        <v>11.28</v>
      </c>
      <c r="F876" s="239">
        <v>12.48</v>
      </c>
      <c r="G876" s="239">
        <v>7.7</v>
      </c>
      <c r="H876" s="239">
        <v>178.36</v>
      </c>
    </row>
    <row r="877" s="158" customFormat="1" spans="1:8">
      <c r="A877" s="261" t="s">
        <v>49</v>
      </c>
      <c r="B877" s="262">
        <f>C877*1.1</f>
        <v>49.5</v>
      </c>
      <c r="C877" s="262">
        <v>45</v>
      </c>
      <c r="D877" s="263"/>
      <c r="E877" s="243"/>
      <c r="F877" s="243"/>
      <c r="G877" s="243"/>
      <c r="H877" s="243"/>
    </row>
    <row r="878" s="158" customFormat="1" spans="1:8">
      <c r="A878" s="264" t="s">
        <v>50</v>
      </c>
      <c r="B878" s="265">
        <f>C878*1.08</f>
        <v>23.76</v>
      </c>
      <c r="C878" s="265">
        <v>22</v>
      </c>
      <c r="D878" s="266"/>
      <c r="E878" s="243"/>
      <c r="F878" s="243"/>
      <c r="G878" s="243"/>
      <c r="H878" s="243"/>
    </row>
    <row r="879" s="158" customFormat="1" spans="1:8">
      <c r="A879" s="261" t="s">
        <v>51</v>
      </c>
      <c r="B879" s="262">
        <f>C879</f>
        <v>1.5</v>
      </c>
      <c r="C879" s="262">
        <v>1.5</v>
      </c>
      <c r="D879" s="263"/>
      <c r="E879" s="243"/>
      <c r="F879" s="243"/>
      <c r="G879" s="243"/>
      <c r="H879" s="243"/>
    </row>
    <row r="880" s="158" customFormat="1" spans="1:8">
      <c r="A880" s="247" t="s">
        <v>39</v>
      </c>
      <c r="B880" s="256">
        <f>C880*1.25</f>
        <v>5.625</v>
      </c>
      <c r="C880" s="336">
        <v>4.5</v>
      </c>
      <c r="D880" s="263"/>
      <c r="E880" s="243"/>
      <c r="F880" s="243"/>
      <c r="G880" s="243"/>
      <c r="H880" s="243"/>
    </row>
    <row r="881" s="158" customFormat="1" spans="1:8">
      <c r="A881" s="247" t="s">
        <v>86</v>
      </c>
      <c r="B881" s="249">
        <f>C881*1.33</f>
        <v>5.985</v>
      </c>
      <c r="C881" s="249">
        <v>4.5</v>
      </c>
      <c r="D881" s="267"/>
      <c r="E881" s="243"/>
      <c r="F881" s="243"/>
      <c r="G881" s="243"/>
      <c r="H881" s="243"/>
    </row>
    <row r="882" s="158" customFormat="1" spans="1:8">
      <c r="A882" s="213" t="s">
        <v>25</v>
      </c>
      <c r="B882" s="214">
        <f>C882</f>
        <v>0.3</v>
      </c>
      <c r="C882" s="252">
        <v>0.3</v>
      </c>
      <c r="D882" s="267"/>
      <c r="E882" s="243"/>
      <c r="F882" s="243"/>
      <c r="G882" s="243"/>
      <c r="H882" s="243"/>
    </row>
    <row r="883" s="158" customFormat="1" spans="1:8">
      <c r="A883" s="219" t="s">
        <v>40</v>
      </c>
      <c r="B883" s="256">
        <f>C883*1.19</f>
        <v>5.95</v>
      </c>
      <c r="C883" s="256">
        <v>5</v>
      </c>
      <c r="D883" s="267"/>
      <c r="E883" s="243"/>
      <c r="F883" s="243"/>
      <c r="G883" s="243"/>
      <c r="H883" s="243"/>
    </row>
    <row r="884" s="158" customFormat="1" spans="1:8">
      <c r="A884" s="212" t="s">
        <v>24</v>
      </c>
      <c r="B884" s="222">
        <f>C884</f>
        <v>27</v>
      </c>
      <c r="C884" s="222">
        <v>27</v>
      </c>
      <c r="D884" s="221"/>
      <c r="E884" s="243"/>
      <c r="F884" s="243"/>
      <c r="G884" s="243"/>
      <c r="H884" s="243"/>
    </row>
    <row r="885" s="158" customFormat="1" spans="1:8">
      <c r="A885" s="268" t="s">
        <v>53</v>
      </c>
      <c r="B885" s="269">
        <f>C885</f>
        <v>4.7</v>
      </c>
      <c r="C885" s="269">
        <v>4.7</v>
      </c>
      <c r="D885" s="270"/>
      <c r="E885" s="243"/>
      <c r="F885" s="243"/>
      <c r="G885" s="243"/>
      <c r="H885" s="243"/>
    </row>
    <row r="886" s="158" customFormat="1" spans="1:8">
      <c r="A886" s="202" t="s">
        <v>19</v>
      </c>
      <c r="B886" s="265">
        <f>C886</f>
        <v>9</v>
      </c>
      <c r="C886" s="265">
        <v>9</v>
      </c>
      <c r="D886" s="271"/>
      <c r="E886" s="243"/>
      <c r="F886" s="243"/>
      <c r="G886" s="243"/>
      <c r="H886" s="243"/>
    </row>
    <row r="887" s="158" customFormat="1" ht="14.25" spans="1:8">
      <c r="A887" s="272" t="s">
        <v>54</v>
      </c>
      <c r="B887" s="273"/>
      <c r="C887" s="273">
        <f>SUM(C877:C886)</f>
        <v>123.5</v>
      </c>
      <c r="D887" s="257"/>
      <c r="E887" s="243"/>
      <c r="F887" s="243"/>
      <c r="G887" s="243"/>
      <c r="H887" s="243"/>
    </row>
    <row r="888" s="158" customFormat="1" ht="15.75" spans="1:8">
      <c r="A888" s="274" t="s">
        <v>55</v>
      </c>
      <c r="B888" s="275"/>
      <c r="C888" s="276"/>
      <c r="D888" s="277">
        <v>150</v>
      </c>
      <c r="E888" s="190">
        <v>5.98</v>
      </c>
      <c r="F888" s="190">
        <v>4.25</v>
      </c>
      <c r="G888" s="190">
        <v>40.82</v>
      </c>
      <c r="H888" s="190">
        <v>209.18</v>
      </c>
    </row>
    <row r="889" s="154" customFormat="1" spans="1:8">
      <c r="A889" s="219" t="s">
        <v>56</v>
      </c>
      <c r="B889" s="269">
        <f>C889</f>
        <v>57</v>
      </c>
      <c r="C889" s="269">
        <v>57</v>
      </c>
      <c r="D889" s="270"/>
      <c r="E889" s="231"/>
      <c r="F889" s="231"/>
      <c r="G889" s="231"/>
      <c r="H889" s="231"/>
    </row>
    <row r="890" s="154" customFormat="1" spans="1:8">
      <c r="A890" s="213" t="s">
        <v>25</v>
      </c>
      <c r="B890" s="214">
        <f>C890</f>
        <v>1.5</v>
      </c>
      <c r="C890" s="269">
        <v>1.5</v>
      </c>
      <c r="D890" s="270"/>
      <c r="E890" s="231"/>
      <c r="F890" s="231"/>
      <c r="G890" s="231"/>
      <c r="H890" s="231"/>
    </row>
    <row r="891" s="154" customFormat="1" spans="1:8">
      <c r="A891" s="219" t="s">
        <v>29</v>
      </c>
      <c r="B891" s="269">
        <f>C891</f>
        <v>360</v>
      </c>
      <c r="C891" s="269">
        <v>360</v>
      </c>
      <c r="D891" s="270"/>
      <c r="E891" s="231"/>
      <c r="F891" s="231"/>
      <c r="G891" s="231"/>
      <c r="H891" s="231"/>
    </row>
    <row r="892" s="154" customFormat="1" spans="1:8">
      <c r="A892" s="191" t="s">
        <v>16</v>
      </c>
      <c r="B892" s="269">
        <f>C892</f>
        <v>5</v>
      </c>
      <c r="C892" s="269">
        <v>5</v>
      </c>
      <c r="D892" s="270"/>
      <c r="E892" s="231"/>
      <c r="F892" s="231"/>
      <c r="G892" s="231"/>
      <c r="H892" s="231"/>
    </row>
    <row r="893" s="154" customFormat="1" ht="15.75" spans="1:8">
      <c r="A893" s="326" t="s">
        <v>192</v>
      </c>
      <c r="B893" s="326"/>
      <c r="C893" s="326"/>
      <c r="D893" s="365">
        <v>200</v>
      </c>
      <c r="E893" s="284">
        <v>0.15</v>
      </c>
      <c r="F893" s="284">
        <v>0.11</v>
      </c>
      <c r="G893" s="284">
        <v>17.55</v>
      </c>
      <c r="H893" s="284">
        <v>72.25</v>
      </c>
    </row>
    <row r="894" s="154" customFormat="1" spans="1:8">
      <c r="A894" s="348" t="s">
        <v>288</v>
      </c>
      <c r="B894" s="297">
        <f>C894*1.13</f>
        <v>28.25</v>
      </c>
      <c r="C894" s="297">
        <v>25</v>
      </c>
      <c r="D894" s="334"/>
      <c r="E894" s="231"/>
      <c r="F894" s="231"/>
      <c r="G894" s="231"/>
      <c r="H894" s="231"/>
    </row>
    <row r="895" s="154" customFormat="1" spans="1:8">
      <c r="A895" s="208" t="s">
        <v>26</v>
      </c>
      <c r="B895" s="249">
        <f>C895</f>
        <v>15</v>
      </c>
      <c r="C895" s="249">
        <v>15</v>
      </c>
      <c r="D895" s="334"/>
      <c r="E895" s="231"/>
      <c r="F895" s="231"/>
      <c r="G895" s="231"/>
      <c r="H895" s="231"/>
    </row>
    <row r="896" s="154" customFormat="1" spans="1:8">
      <c r="A896" s="419" t="s">
        <v>149</v>
      </c>
      <c r="B896" s="220">
        <f>C896*1.14</f>
        <v>5.7</v>
      </c>
      <c r="C896" s="220">
        <v>5</v>
      </c>
      <c r="D896" s="221"/>
      <c r="E896" s="231"/>
      <c r="F896" s="231"/>
      <c r="G896" s="231"/>
      <c r="H896" s="231"/>
    </row>
    <row r="897" s="154" customFormat="1" spans="1:8">
      <c r="A897" s="367" t="s">
        <v>29</v>
      </c>
      <c r="B897" s="297">
        <f>C897</f>
        <v>210</v>
      </c>
      <c r="C897" s="297">
        <v>210</v>
      </c>
      <c r="D897" s="334"/>
      <c r="E897" s="231"/>
      <c r="F897" s="231"/>
      <c r="G897" s="231"/>
      <c r="H897" s="231"/>
    </row>
    <row r="898" s="154" customFormat="1" spans="1:8">
      <c r="A898" s="247"/>
      <c r="B898" s="269"/>
      <c r="C898" s="192"/>
      <c r="D898" s="537"/>
      <c r="E898" s="231"/>
      <c r="F898" s="231"/>
      <c r="G898" s="231"/>
      <c r="H898" s="231"/>
    </row>
    <row r="899" s="154" customFormat="1" ht="15.75" spans="1:8">
      <c r="A899" s="225" t="s">
        <v>30</v>
      </c>
      <c r="B899" s="249"/>
      <c r="C899" s="285"/>
      <c r="D899" s="230">
        <v>20</v>
      </c>
      <c r="E899" s="284">
        <v>0.89</v>
      </c>
      <c r="F899" s="284">
        <v>0.17</v>
      </c>
      <c r="G899" s="284">
        <v>9.26</v>
      </c>
      <c r="H899" s="284">
        <v>44.2</v>
      </c>
    </row>
    <row r="900" s="154" customFormat="1" ht="15.75" spans="1:8">
      <c r="A900" s="286" t="s">
        <v>59</v>
      </c>
      <c r="B900" s="287"/>
      <c r="C900" s="287"/>
      <c r="D900" s="283">
        <v>20</v>
      </c>
      <c r="E900" s="190">
        <v>1.12</v>
      </c>
      <c r="F900" s="190">
        <v>0.22</v>
      </c>
      <c r="G900" s="190">
        <v>11.58</v>
      </c>
      <c r="H900" s="190">
        <v>55.28</v>
      </c>
    </row>
    <row r="901" ht="19.5" spans="1:8">
      <c r="A901" s="183" t="s">
        <v>60</v>
      </c>
      <c r="B901" s="288"/>
      <c r="C901" s="288"/>
      <c r="D901" s="447"/>
      <c r="E901" s="377">
        <f>SUM(E902:E919)</f>
        <v>8.04</v>
      </c>
      <c r="F901" s="377">
        <f>SUM(F902:F919)</f>
        <v>8.28</v>
      </c>
      <c r="G901" s="377">
        <f>SUM(G902:G919)</f>
        <v>33.95</v>
      </c>
      <c r="H901" s="377">
        <f>SUM(H902:H919)</f>
        <v>239.24</v>
      </c>
    </row>
    <row r="902" ht="15.75" spans="1:8">
      <c r="A902" s="577" t="s">
        <v>289</v>
      </c>
      <c r="B902" s="333"/>
      <c r="C902" s="333"/>
      <c r="D902" s="567">
        <v>75</v>
      </c>
      <c r="E902" s="291">
        <v>6.74</v>
      </c>
      <c r="F902" s="291">
        <v>7.88</v>
      </c>
      <c r="G902" s="291">
        <v>12.85</v>
      </c>
      <c r="H902" s="291">
        <v>152.24</v>
      </c>
    </row>
    <row r="903" s="154" customFormat="1" spans="1:8">
      <c r="A903" s="268" t="s">
        <v>134</v>
      </c>
      <c r="B903" s="269">
        <f>C903</f>
        <v>54</v>
      </c>
      <c r="C903" s="269">
        <v>54</v>
      </c>
      <c r="D903" s="270"/>
      <c r="E903" s="231"/>
      <c r="F903" s="231"/>
      <c r="G903" s="231"/>
      <c r="H903" s="231"/>
    </row>
    <row r="904" s="154" customFormat="1" spans="1:8">
      <c r="A904" s="318" t="s">
        <v>74</v>
      </c>
      <c r="B904" s="319">
        <f>C904*1.01</f>
        <v>7.575</v>
      </c>
      <c r="C904" s="319">
        <v>7.5</v>
      </c>
      <c r="D904" s="270"/>
      <c r="E904" s="231"/>
      <c r="F904" s="231"/>
      <c r="G904" s="231"/>
      <c r="H904" s="231"/>
    </row>
    <row r="905" s="154" customFormat="1" spans="1:8">
      <c r="A905" s="191" t="s">
        <v>16</v>
      </c>
      <c r="B905" s="269">
        <f>C905</f>
        <v>3</v>
      </c>
      <c r="C905" s="269">
        <v>3</v>
      </c>
      <c r="D905" s="270"/>
      <c r="E905" s="231"/>
      <c r="F905" s="231"/>
      <c r="G905" s="231"/>
      <c r="H905" s="231"/>
    </row>
    <row r="906" s="154" customFormat="1" spans="1:8">
      <c r="A906" s="294" t="s">
        <v>236</v>
      </c>
      <c r="B906" s="210">
        <f>C906*1.01</f>
        <v>20.2</v>
      </c>
      <c r="C906" s="542">
        <v>20</v>
      </c>
      <c r="D906" s="270"/>
      <c r="E906" s="231"/>
      <c r="F906" s="231"/>
      <c r="G906" s="231"/>
      <c r="H906" s="231"/>
    </row>
    <row r="907" s="154" customFormat="1" spans="1:8">
      <c r="A907" s="294" t="s">
        <v>19</v>
      </c>
      <c r="B907" s="604">
        <f>C907</f>
        <v>2</v>
      </c>
      <c r="C907" s="542">
        <v>2</v>
      </c>
      <c r="D907" s="270"/>
      <c r="E907" s="231"/>
      <c r="F907" s="231"/>
      <c r="G907" s="231"/>
      <c r="H907" s="231"/>
    </row>
    <row r="908" s="154" customFormat="1" spans="1:8">
      <c r="A908" s="213" t="s">
        <v>25</v>
      </c>
      <c r="B908" s="214">
        <f>C908</f>
        <v>0.006</v>
      </c>
      <c r="C908" s="252">
        <v>0.006</v>
      </c>
      <c r="D908" s="270"/>
      <c r="E908" s="231"/>
      <c r="F908" s="231"/>
      <c r="G908" s="231"/>
      <c r="H908" s="231"/>
    </row>
    <row r="909" s="154" customFormat="1" spans="1:8">
      <c r="A909" s="605" t="s">
        <v>290</v>
      </c>
      <c r="B909" s="285"/>
      <c r="C909" s="606">
        <v>4</v>
      </c>
      <c r="D909" s="607"/>
      <c r="E909" s="231"/>
      <c r="F909" s="231"/>
      <c r="G909" s="231"/>
      <c r="H909" s="231"/>
    </row>
    <row r="910" s="154" customFormat="1" spans="1:8">
      <c r="A910" s="268" t="s">
        <v>19</v>
      </c>
      <c r="B910" s="269">
        <f>C910</f>
        <v>2</v>
      </c>
      <c r="C910" s="269">
        <v>2</v>
      </c>
      <c r="D910" s="270"/>
      <c r="E910" s="231"/>
      <c r="F910" s="231"/>
      <c r="G910" s="231"/>
      <c r="H910" s="231"/>
    </row>
    <row r="911" s="154" customFormat="1" spans="1:8">
      <c r="A911" s="268" t="s">
        <v>291</v>
      </c>
      <c r="B911" s="269">
        <f>C911</f>
        <v>2</v>
      </c>
      <c r="C911" s="269">
        <v>2</v>
      </c>
      <c r="D911" s="270"/>
      <c r="E911" s="231"/>
      <c r="F911" s="231"/>
      <c r="G911" s="231"/>
      <c r="H911" s="231"/>
    </row>
    <row r="912" s="154" customFormat="1" spans="1:8">
      <c r="A912" s="268" t="s">
        <v>95</v>
      </c>
      <c r="B912" s="269">
        <f>C912</f>
        <v>1</v>
      </c>
      <c r="C912" s="269">
        <v>1</v>
      </c>
      <c r="D912" s="270"/>
      <c r="E912" s="231"/>
      <c r="F912" s="231"/>
      <c r="G912" s="231"/>
      <c r="H912" s="231"/>
    </row>
    <row r="913" s="154" customFormat="1" spans="1:8">
      <c r="A913" s="572" t="s">
        <v>54</v>
      </c>
      <c r="B913" s="608"/>
      <c r="C913" s="373">
        <f>C909+C906+C905+C904+C903+C910</f>
        <v>90.5</v>
      </c>
      <c r="D913" s="607"/>
      <c r="E913" s="231"/>
      <c r="F913" s="231"/>
      <c r="G913" s="231"/>
      <c r="H913" s="231"/>
    </row>
    <row r="914" s="154" customFormat="1" ht="15.75" spans="1:8">
      <c r="A914" s="374" t="s">
        <v>139</v>
      </c>
      <c r="B914" s="374"/>
      <c r="C914" s="374"/>
      <c r="D914" s="375">
        <v>200</v>
      </c>
      <c r="E914" s="190">
        <v>0.9</v>
      </c>
      <c r="F914" s="190">
        <v>0.3</v>
      </c>
      <c r="G914" s="190">
        <v>11.8</v>
      </c>
      <c r="H914" s="190">
        <v>48</v>
      </c>
    </row>
    <row r="915" s="154" customFormat="1" spans="1:8">
      <c r="A915" s="219" t="s">
        <v>28</v>
      </c>
      <c r="B915" s="269">
        <f>C915</f>
        <v>1</v>
      </c>
      <c r="C915" s="220">
        <v>1</v>
      </c>
      <c r="D915" s="376"/>
      <c r="E915" s="231"/>
      <c r="F915" s="231"/>
      <c r="G915" s="231"/>
      <c r="H915" s="231"/>
    </row>
    <row r="916" s="154" customFormat="1" spans="1:8">
      <c r="A916" s="219" t="s">
        <v>29</v>
      </c>
      <c r="B916" s="269">
        <f>C916</f>
        <v>210</v>
      </c>
      <c r="C916" s="269">
        <v>210</v>
      </c>
      <c r="D916" s="376"/>
      <c r="E916" s="231"/>
      <c r="F916" s="231"/>
      <c r="G916" s="231"/>
      <c r="H916" s="231"/>
    </row>
    <row r="917" s="154" customFormat="1" spans="1:8">
      <c r="A917" s="208" t="s">
        <v>26</v>
      </c>
      <c r="B917" s="269">
        <f>C917</f>
        <v>12</v>
      </c>
      <c r="C917" s="269">
        <v>12</v>
      </c>
      <c r="D917" s="376"/>
      <c r="E917" s="231"/>
      <c r="F917" s="231"/>
      <c r="G917" s="231"/>
      <c r="H917" s="231"/>
    </row>
    <row r="918" s="154" customFormat="1" spans="1:8">
      <c r="A918" s="348" t="s">
        <v>140</v>
      </c>
      <c r="B918" s="297">
        <f>C918</f>
        <v>5</v>
      </c>
      <c r="C918" s="297">
        <v>5</v>
      </c>
      <c r="D918" s="334"/>
      <c r="E918" s="231"/>
      <c r="F918" s="231"/>
      <c r="G918" s="231"/>
      <c r="H918" s="231"/>
    </row>
    <row r="919" s="154" customFormat="1" ht="15.75" spans="1:8">
      <c r="A919" s="326" t="s">
        <v>80</v>
      </c>
      <c r="B919" s="391"/>
      <c r="C919" s="391"/>
      <c r="D919" s="283">
        <v>100</v>
      </c>
      <c r="E919" s="327">
        <v>0.4</v>
      </c>
      <c r="F919" s="190">
        <v>0.1</v>
      </c>
      <c r="G919" s="190">
        <v>9.3</v>
      </c>
      <c r="H919" s="190">
        <v>39</v>
      </c>
    </row>
    <row r="920" ht="18.75" spans="1:8">
      <c r="A920" s="309" t="s">
        <v>70</v>
      </c>
      <c r="B920" s="310"/>
      <c r="C920" s="310"/>
      <c r="D920" s="311"/>
      <c r="E920" s="312">
        <f>E901+E859+E842</f>
        <v>46.96</v>
      </c>
      <c r="F920" s="312">
        <f>F901+F859+F842</f>
        <v>47.83</v>
      </c>
      <c r="G920" s="312">
        <f>G901+G859+G842</f>
        <v>198.13</v>
      </c>
      <c r="H920" s="312">
        <f>H901+H859+H842</f>
        <v>1415.86</v>
      </c>
    </row>
    <row r="921" ht="27.75" customHeight="1" spans="1:8">
      <c r="A921" s="174" t="s">
        <v>292</v>
      </c>
      <c r="B921" s="175"/>
      <c r="C921" s="175"/>
      <c r="D921" s="175"/>
      <c r="E921" s="175"/>
      <c r="F921" s="175"/>
      <c r="G921" s="175"/>
      <c r="H921" s="176"/>
    </row>
    <row r="922" ht="21" customHeight="1" spans="1:8">
      <c r="A922" s="177" t="s">
        <v>5</v>
      </c>
      <c r="B922" s="177" t="s">
        <v>6</v>
      </c>
      <c r="C922" s="177" t="s">
        <v>7</v>
      </c>
      <c r="D922" s="178" t="s">
        <v>8</v>
      </c>
      <c r="E922" s="179" t="s">
        <v>9</v>
      </c>
      <c r="F922" s="179" t="s">
        <v>10</v>
      </c>
      <c r="G922" s="179" t="s">
        <v>11</v>
      </c>
      <c r="H922" s="179" t="s">
        <v>12</v>
      </c>
    </row>
    <row r="923" ht="20.25" customHeight="1" spans="1:8">
      <c r="A923" s="180"/>
      <c r="B923" s="180"/>
      <c r="C923" s="180"/>
      <c r="D923" s="181"/>
      <c r="E923" s="182"/>
      <c r="F923" s="182"/>
      <c r="G923" s="182"/>
      <c r="H923" s="182"/>
    </row>
    <row r="924" ht="19.5" spans="1:8">
      <c r="A924" s="183" t="s">
        <v>13</v>
      </c>
      <c r="B924" s="183"/>
      <c r="C924" s="183"/>
      <c r="D924" s="417">
        <f>D925+D929+D936+D941</f>
        <v>530</v>
      </c>
      <c r="E924" s="377">
        <f>SUM(E925:E941)</f>
        <v>14.79</v>
      </c>
      <c r="F924" s="377">
        <f>SUM(F925:F941)</f>
        <v>15.2</v>
      </c>
      <c r="G924" s="377">
        <f>SUM(G925:G941)</f>
        <v>63.91</v>
      </c>
      <c r="H924" s="377">
        <f>SUM(H925:H941)</f>
        <v>447.71</v>
      </c>
    </row>
    <row r="925" s="154" customFormat="1" ht="15.75" spans="1:8">
      <c r="A925" s="418" t="s">
        <v>143</v>
      </c>
      <c r="B925" s="418"/>
      <c r="C925" s="418"/>
      <c r="D925" s="207" t="s">
        <v>144</v>
      </c>
      <c r="E925" s="190">
        <v>5.06</v>
      </c>
      <c r="F925" s="190">
        <v>5.03</v>
      </c>
      <c r="G925" s="190">
        <v>13.4</v>
      </c>
      <c r="H925" s="190">
        <v>138.9</v>
      </c>
    </row>
    <row r="926" s="154" customFormat="1" spans="1:8">
      <c r="A926" s="318" t="s">
        <v>74</v>
      </c>
      <c r="B926" s="319">
        <f>C926*1.01</f>
        <v>10.1</v>
      </c>
      <c r="C926" s="319">
        <v>10</v>
      </c>
      <c r="D926" s="197"/>
      <c r="E926" s="231"/>
      <c r="F926" s="231"/>
      <c r="G926" s="231"/>
      <c r="H926" s="231"/>
    </row>
    <row r="927" s="154" customFormat="1" spans="1:8">
      <c r="A927" s="195" t="s">
        <v>17</v>
      </c>
      <c r="B927" s="196">
        <f>C927</f>
        <v>18</v>
      </c>
      <c r="C927" s="196">
        <v>18</v>
      </c>
      <c r="D927" s="197"/>
      <c r="E927" s="231"/>
      <c r="F927" s="231"/>
      <c r="G927" s="231"/>
      <c r="H927" s="231"/>
    </row>
    <row r="928" s="154" customFormat="1" spans="1:8">
      <c r="A928" s="337" t="s">
        <v>88</v>
      </c>
      <c r="B928" s="252">
        <f>C928</f>
        <v>5</v>
      </c>
      <c r="C928" s="252">
        <v>5</v>
      </c>
      <c r="D928" s="354"/>
      <c r="E928" s="231"/>
      <c r="F928" s="231"/>
      <c r="G928" s="231"/>
      <c r="H928" s="231"/>
    </row>
    <row r="929" s="154" customFormat="1" ht="15.75" spans="1:8">
      <c r="A929" s="204" t="s">
        <v>242</v>
      </c>
      <c r="B929" s="205"/>
      <c r="C929" s="206"/>
      <c r="D929" s="207" t="s">
        <v>21</v>
      </c>
      <c r="E929" s="190">
        <v>7.45</v>
      </c>
      <c r="F929" s="190">
        <v>8.52</v>
      </c>
      <c r="G929" s="190">
        <v>26.36</v>
      </c>
      <c r="H929" s="190">
        <v>189.33</v>
      </c>
    </row>
    <row r="930" s="154" customFormat="1" spans="1:8">
      <c r="A930" s="208" t="s">
        <v>77</v>
      </c>
      <c r="B930" s="192">
        <f t="shared" ref="B930:B935" si="41">C930</f>
        <v>30</v>
      </c>
      <c r="C930" s="192">
        <v>30</v>
      </c>
      <c r="D930" s="193"/>
      <c r="E930" s="231"/>
      <c r="F930" s="231"/>
      <c r="G930" s="231"/>
      <c r="H930" s="231"/>
    </row>
    <row r="931" s="154" customFormat="1" spans="1:8">
      <c r="A931" s="209" t="s">
        <v>23</v>
      </c>
      <c r="B931" s="192">
        <f t="shared" si="41"/>
        <v>86</v>
      </c>
      <c r="C931" s="210">
        <v>86</v>
      </c>
      <c r="D931" s="193"/>
      <c r="E931" s="231"/>
      <c r="F931" s="231"/>
      <c r="G931" s="231"/>
      <c r="H931" s="231"/>
    </row>
    <row r="932" s="154" customFormat="1" spans="1:8">
      <c r="A932" s="212" t="s">
        <v>24</v>
      </c>
      <c r="B932" s="192">
        <f t="shared" si="41"/>
        <v>96</v>
      </c>
      <c r="C932" s="210">
        <v>96</v>
      </c>
      <c r="D932" s="193"/>
      <c r="E932" s="231"/>
      <c r="F932" s="231"/>
      <c r="G932" s="231"/>
      <c r="H932" s="231"/>
    </row>
    <row r="933" s="154" customFormat="1" spans="1:8">
      <c r="A933" s="208" t="s">
        <v>26</v>
      </c>
      <c r="B933" s="192">
        <f t="shared" si="41"/>
        <v>4.5</v>
      </c>
      <c r="C933" s="192">
        <v>4.5</v>
      </c>
      <c r="D933" s="193"/>
      <c r="E933" s="231"/>
      <c r="F933" s="231"/>
      <c r="G933" s="231"/>
      <c r="H933" s="231"/>
    </row>
    <row r="934" s="154" customFormat="1" spans="1:8">
      <c r="A934" s="213" t="s">
        <v>25</v>
      </c>
      <c r="B934" s="214">
        <f t="shared" si="41"/>
        <v>0.41</v>
      </c>
      <c r="C934" s="404">
        <v>0.41</v>
      </c>
      <c r="D934" s="193"/>
      <c r="E934" s="231"/>
      <c r="F934" s="231"/>
      <c r="G934" s="231"/>
      <c r="H934" s="231"/>
    </row>
    <row r="935" s="154" customFormat="1" spans="1:8">
      <c r="A935" s="191" t="s">
        <v>16</v>
      </c>
      <c r="B935" s="192">
        <f t="shared" si="41"/>
        <v>3</v>
      </c>
      <c r="C935" s="192">
        <v>3</v>
      </c>
      <c r="D935" s="193"/>
      <c r="E935" s="231"/>
      <c r="F935" s="231"/>
      <c r="G935" s="231"/>
      <c r="H935" s="231"/>
    </row>
    <row r="936" s="154" customFormat="1" ht="15.75" spans="1:8">
      <c r="A936" s="215" t="s">
        <v>243</v>
      </c>
      <c r="B936" s="216"/>
      <c r="C936" s="217"/>
      <c r="D936" s="218">
        <v>200</v>
      </c>
      <c r="E936" s="190">
        <v>1.88</v>
      </c>
      <c r="F936" s="190">
        <v>1.55</v>
      </c>
      <c r="G936" s="190">
        <v>14.85</v>
      </c>
      <c r="H936" s="190">
        <v>80.48</v>
      </c>
    </row>
    <row r="937" s="154" customFormat="1" spans="1:8">
      <c r="A937" s="219" t="s">
        <v>28</v>
      </c>
      <c r="B937" s="220">
        <f>C937</f>
        <v>1</v>
      </c>
      <c r="C937" s="220">
        <v>1</v>
      </c>
      <c r="D937" s="221"/>
      <c r="E937" s="231"/>
      <c r="F937" s="231"/>
      <c r="G937" s="231"/>
      <c r="H937" s="231"/>
    </row>
    <row r="938" s="154" customFormat="1" spans="1:8">
      <c r="A938" s="208" t="s">
        <v>26</v>
      </c>
      <c r="B938" s="220">
        <f>C938</f>
        <v>12</v>
      </c>
      <c r="C938" s="220">
        <v>12</v>
      </c>
      <c r="D938" s="221"/>
      <c r="E938" s="231"/>
      <c r="F938" s="231"/>
      <c r="G938" s="231"/>
      <c r="H938" s="231"/>
    </row>
    <row r="939" s="154" customFormat="1" spans="1:8">
      <c r="A939" s="212" t="s">
        <v>24</v>
      </c>
      <c r="B939" s="222">
        <f>C939</f>
        <v>60</v>
      </c>
      <c r="C939" s="222">
        <v>60</v>
      </c>
      <c r="D939" s="221"/>
      <c r="E939" s="231"/>
      <c r="F939" s="231"/>
      <c r="G939" s="231"/>
      <c r="H939" s="231"/>
    </row>
    <row r="940" s="154" customFormat="1" spans="1:8">
      <c r="A940" s="223" t="s">
        <v>29</v>
      </c>
      <c r="B940" s="224">
        <f>C940</f>
        <v>150</v>
      </c>
      <c r="C940" s="224">
        <v>150</v>
      </c>
      <c r="D940" s="221"/>
      <c r="E940" s="231"/>
      <c r="F940" s="231"/>
      <c r="G940" s="231"/>
      <c r="H940" s="231"/>
    </row>
    <row r="941" s="154" customFormat="1" ht="15.75" spans="1:8">
      <c r="A941" s="326" t="s">
        <v>80</v>
      </c>
      <c r="B941" s="269">
        <f>C941</f>
        <v>100</v>
      </c>
      <c r="C941" s="269">
        <v>100</v>
      </c>
      <c r="D941" s="283">
        <v>100</v>
      </c>
      <c r="E941" s="327">
        <v>0.4</v>
      </c>
      <c r="F941" s="190">
        <v>0.1</v>
      </c>
      <c r="G941" s="190">
        <v>9.3</v>
      </c>
      <c r="H941" s="190">
        <v>39</v>
      </c>
    </row>
    <row r="942" s="154" customFormat="1" spans="1:8">
      <c r="A942" s="609"/>
      <c r="B942" s="610"/>
      <c r="C942" s="610"/>
      <c r="D942" s="611"/>
      <c r="E942" s="231"/>
      <c r="F942" s="231"/>
      <c r="G942" s="231"/>
      <c r="H942" s="231"/>
    </row>
    <row r="943" ht="19.5" spans="1:8">
      <c r="A943" s="183" t="s">
        <v>32</v>
      </c>
      <c r="B943" s="232"/>
      <c r="C943" s="232"/>
      <c r="D943" s="411">
        <f>D944+D946+D959+D977+D983+D988+D989</f>
        <v>720</v>
      </c>
      <c r="E943" s="377">
        <f>SUM(E944:E989)</f>
        <v>23.21</v>
      </c>
      <c r="F943" s="377">
        <f>SUM(F944:F989)</f>
        <v>24.65</v>
      </c>
      <c r="G943" s="377">
        <f>SUM(G944:G989)</f>
        <v>101.06</v>
      </c>
      <c r="H943" s="377">
        <f>SUM(H944:H989)</f>
        <v>722.1</v>
      </c>
    </row>
    <row r="944" s="154" customFormat="1" ht="31.5" customHeight="1" spans="1:8">
      <c r="A944" s="491" t="s">
        <v>293</v>
      </c>
      <c r="B944" s="492"/>
      <c r="C944" s="492"/>
      <c r="D944" s="493">
        <v>60</v>
      </c>
      <c r="E944" s="327">
        <v>0.48</v>
      </c>
      <c r="F944" s="327">
        <v>0.06</v>
      </c>
      <c r="G944" s="327">
        <v>1.02</v>
      </c>
      <c r="H944" s="327">
        <v>6.6</v>
      </c>
    </row>
    <row r="945" s="154" customFormat="1" ht="15.75" spans="1:8">
      <c r="A945" s="494" t="s">
        <v>87</v>
      </c>
      <c r="B945" s="495">
        <f>C945*1.9</f>
        <v>114</v>
      </c>
      <c r="C945" s="239">
        <v>60</v>
      </c>
      <c r="D945" s="496"/>
      <c r="E945" s="231"/>
      <c r="F945" s="231"/>
      <c r="G945" s="231"/>
      <c r="H945" s="231"/>
    </row>
    <row r="946" s="158" customFormat="1" ht="15.75" spans="1:8">
      <c r="A946" s="525" t="s">
        <v>294</v>
      </c>
      <c r="B946" s="526"/>
      <c r="C946" s="527"/>
      <c r="D946" s="528">
        <v>200</v>
      </c>
      <c r="E946" s="239">
        <v>7.31</v>
      </c>
      <c r="F946" s="239">
        <v>12.67</v>
      </c>
      <c r="G946" s="239">
        <v>18.24</v>
      </c>
      <c r="H946" s="239">
        <v>178.73</v>
      </c>
    </row>
    <row r="947" s="158" customFormat="1" spans="1:8">
      <c r="A947" s="240" t="s">
        <v>34</v>
      </c>
      <c r="B947" s="241">
        <f>C947*1.45</f>
        <v>18.125</v>
      </c>
      <c r="C947" s="241">
        <f>C948*1.25</f>
        <v>12.5</v>
      </c>
      <c r="D947" s="298"/>
      <c r="E947" s="243"/>
      <c r="F947" s="243"/>
      <c r="G947" s="243"/>
      <c r="H947" s="243"/>
    </row>
    <row r="948" s="158" customFormat="1" ht="14.25" spans="1:8">
      <c r="A948" s="244" t="s">
        <v>35</v>
      </c>
      <c r="B948" s="245"/>
      <c r="C948" s="246">
        <v>10</v>
      </c>
      <c r="D948" s="298"/>
      <c r="E948" s="243"/>
      <c r="F948" s="243"/>
      <c r="G948" s="243"/>
      <c r="H948" s="243"/>
    </row>
    <row r="949" s="158" customFormat="1" spans="1:8">
      <c r="A949" s="247" t="s">
        <v>36</v>
      </c>
      <c r="B949" s="241">
        <f>C949*1.33</f>
        <v>73.15</v>
      </c>
      <c r="C949" s="241">
        <v>55</v>
      </c>
      <c r="D949" s="298"/>
      <c r="E949" s="243"/>
      <c r="F949" s="243"/>
      <c r="G949" s="243"/>
      <c r="H949" s="243"/>
    </row>
    <row r="950" s="158" customFormat="1" spans="1:8">
      <c r="A950" s="247" t="s">
        <v>37</v>
      </c>
      <c r="B950" s="241">
        <f>C950*1.67</f>
        <v>91.85</v>
      </c>
      <c r="C950" s="241">
        <v>55</v>
      </c>
      <c r="D950" s="529"/>
      <c r="E950" s="243"/>
      <c r="F950" s="243"/>
      <c r="G950" s="243"/>
      <c r="H950" s="243"/>
    </row>
    <row r="951" s="158" customFormat="1" spans="1:8">
      <c r="A951" s="247" t="s">
        <v>227</v>
      </c>
      <c r="B951" s="249">
        <f>C951</f>
        <v>20</v>
      </c>
      <c r="C951" s="249">
        <v>20</v>
      </c>
      <c r="D951" s="529"/>
      <c r="E951" s="243"/>
      <c r="F951" s="243"/>
      <c r="G951" s="243"/>
      <c r="H951" s="243"/>
    </row>
    <row r="952" s="158" customFormat="1" spans="1:8">
      <c r="A952" s="247" t="s">
        <v>46</v>
      </c>
      <c r="B952" s="249">
        <f>C952</f>
        <v>4</v>
      </c>
      <c r="C952" s="249">
        <v>4</v>
      </c>
      <c r="D952" s="529"/>
      <c r="E952" s="243"/>
      <c r="F952" s="243"/>
      <c r="G952" s="243"/>
      <c r="H952" s="243"/>
    </row>
    <row r="953" s="158" customFormat="1" spans="1:8">
      <c r="A953" s="247" t="s">
        <v>40</v>
      </c>
      <c r="B953" s="249">
        <f>C953*1.19</f>
        <v>10.71</v>
      </c>
      <c r="C953" s="249">
        <v>9</v>
      </c>
      <c r="D953" s="529"/>
      <c r="E953" s="243"/>
      <c r="F953" s="243"/>
      <c r="G953" s="243"/>
      <c r="H953" s="243"/>
    </row>
    <row r="954" s="158" customFormat="1" spans="1:8">
      <c r="A954" s="247" t="s">
        <v>39</v>
      </c>
      <c r="B954" s="256">
        <f>C954*1.25</f>
        <v>15</v>
      </c>
      <c r="C954" s="336">
        <v>12</v>
      </c>
      <c r="D954" s="529"/>
      <c r="E954" s="243"/>
      <c r="F954" s="243"/>
      <c r="G954" s="243"/>
      <c r="H954" s="243"/>
    </row>
    <row r="955" s="158" customFormat="1" spans="1:8">
      <c r="A955" s="247" t="s">
        <v>86</v>
      </c>
      <c r="B955" s="249">
        <f>C955*1.33</f>
        <v>15.96</v>
      </c>
      <c r="C955" s="249">
        <v>12</v>
      </c>
      <c r="D955" s="529"/>
      <c r="E955" s="243"/>
      <c r="F955" s="243"/>
      <c r="G955" s="243"/>
      <c r="H955" s="243"/>
    </row>
    <row r="956" s="158" customFormat="1" spans="1:8">
      <c r="A956" s="213" t="s">
        <v>25</v>
      </c>
      <c r="B956" s="214">
        <f>C956</f>
        <v>0.65</v>
      </c>
      <c r="C956" s="249">
        <v>0.65</v>
      </c>
      <c r="D956" s="529"/>
      <c r="E956" s="243"/>
      <c r="F956" s="243"/>
      <c r="G956" s="243"/>
      <c r="H956" s="243"/>
    </row>
    <row r="957" s="158" customFormat="1" spans="1:8">
      <c r="A957" s="247" t="s">
        <v>23</v>
      </c>
      <c r="B957" s="249">
        <f>C957</f>
        <v>160</v>
      </c>
      <c r="C957" s="249">
        <v>160</v>
      </c>
      <c r="D957" s="529"/>
      <c r="E957" s="243"/>
      <c r="F957" s="243"/>
      <c r="G957" s="243"/>
      <c r="H957" s="243"/>
    </row>
    <row r="958" s="158" customFormat="1" spans="1:8">
      <c r="A958" s="223" t="s">
        <v>47</v>
      </c>
      <c r="B958" s="319">
        <f>C958*1.35</f>
        <v>0.675</v>
      </c>
      <c r="C958" s="319">
        <v>0.5</v>
      </c>
      <c r="D958" s="221"/>
      <c r="E958" s="243"/>
      <c r="F958" s="243"/>
      <c r="G958" s="243"/>
      <c r="H958" s="243"/>
    </row>
    <row r="959" s="158" customFormat="1" ht="15.75" spans="1:8">
      <c r="A959" s="338" t="s">
        <v>89</v>
      </c>
      <c r="B959" s="339"/>
      <c r="C959" s="340"/>
      <c r="D959" s="341">
        <v>90</v>
      </c>
      <c r="E959" s="190">
        <v>7.36</v>
      </c>
      <c r="F959" s="190">
        <v>5.74</v>
      </c>
      <c r="G959" s="190">
        <v>14.35</v>
      </c>
      <c r="H959" s="190">
        <v>173.5</v>
      </c>
    </row>
    <row r="960" s="158" customFormat="1" spans="1:8">
      <c r="A960" s="342" t="s">
        <v>90</v>
      </c>
      <c r="B960" s="343">
        <f>C960*1.54</f>
        <v>100.1</v>
      </c>
      <c r="C960" s="249">
        <v>65</v>
      </c>
      <c r="D960" s="344"/>
      <c r="E960" s="243"/>
      <c r="F960" s="243"/>
      <c r="G960" s="243"/>
      <c r="H960" s="243"/>
    </row>
    <row r="961" s="158" customFormat="1" spans="1:8">
      <c r="A961" s="345" t="s">
        <v>91</v>
      </c>
      <c r="B961" s="343">
        <f>C961*1.6</f>
        <v>104</v>
      </c>
      <c r="C961" s="346">
        <v>65</v>
      </c>
      <c r="D961" s="347"/>
      <c r="E961" s="243"/>
      <c r="F961" s="243"/>
      <c r="G961" s="243"/>
      <c r="H961" s="243"/>
    </row>
    <row r="962" s="158" customFormat="1" spans="1:8">
      <c r="A962" s="348" t="s">
        <v>92</v>
      </c>
      <c r="B962" s="252">
        <f>C962*1.05</f>
        <v>12.264</v>
      </c>
      <c r="C962" s="349">
        <v>11.68</v>
      </c>
      <c r="D962" s="341"/>
      <c r="E962" s="243"/>
      <c r="F962" s="243"/>
      <c r="G962" s="243"/>
      <c r="H962" s="243"/>
    </row>
    <row r="963" s="158" customFormat="1" spans="1:8">
      <c r="A963" s="335" t="s">
        <v>40</v>
      </c>
      <c r="B963" s="256">
        <f>C963*1.19</f>
        <v>7.6279</v>
      </c>
      <c r="C963" s="336">
        <v>6.41</v>
      </c>
      <c r="D963" s="303"/>
      <c r="E963" s="243"/>
      <c r="F963" s="243"/>
      <c r="G963" s="243"/>
      <c r="H963" s="243"/>
    </row>
    <row r="964" s="158" customFormat="1" spans="1:8">
      <c r="A964" s="247" t="s">
        <v>39</v>
      </c>
      <c r="B964" s="256">
        <f>C964*1.25</f>
        <v>8.75</v>
      </c>
      <c r="C964" s="336">
        <v>7</v>
      </c>
      <c r="D964" s="303"/>
      <c r="E964" s="243"/>
      <c r="F964" s="243"/>
      <c r="G964" s="243"/>
      <c r="H964" s="243"/>
    </row>
    <row r="965" s="158" customFormat="1" spans="1:8">
      <c r="A965" s="247" t="s">
        <v>86</v>
      </c>
      <c r="B965" s="249">
        <f>C965*1.33</f>
        <v>9.31</v>
      </c>
      <c r="C965" s="249">
        <v>7</v>
      </c>
      <c r="D965" s="303"/>
      <c r="E965" s="243"/>
      <c r="F965" s="243"/>
      <c r="G965" s="243"/>
      <c r="H965" s="243"/>
    </row>
    <row r="966" s="158" customFormat="1" spans="1:8">
      <c r="A966" s="301" t="s">
        <v>46</v>
      </c>
      <c r="B966" s="302">
        <f t="shared" ref="B966:B971" si="42">C966</f>
        <v>2.51</v>
      </c>
      <c r="C966" s="302">
        <v>2.51</v>
      </c>
      <c r="D966" s="303"/>
      <c r="E966" s="243"/>
      <c r="F966" s="243"/>
      <c r="G966" s="243"/>
      <c r="H966" s="243"/>
    </row>
    <row r="967" s="158" customFormat="1" spans="1:8">
      <c r="A967" s="292" t="s">
        <v>93</v>
      </c>
      <c r="B967" s="302">
        <f t="shared" si="42"/>
        <v>9</v>
      </c>
      <c r="C967" s="256">
        <v>9</v>
      </c>
      <c r="D967" s="283"/>
      <c r="E967" s="243"/>
      <c r="F967" s="243"/>
      <c r="G967" s="243"/>
      <c r="H967" s="243"/>
    </row>
    <row r="968" s="158" customFormat="1" spans="1:8">
      <c r="A968" s="213" t="s">
        <v>25</v>
      </c>
      <c r="B968" s="214">
        <f t="shared" si="42"/>
        <v>0.5</v>
      </c>
      <c r="C968" s="249">
        <v>0.5</v>
      </c>
      <c r="D968" s="529"/>
      <c r="E968" s="243"/>
      <c r="F968" s="243"/>
      <c r="G968" s="243"/>
      <c r="H968" s="243"/>
    </row>
    <row r="969" s="158" customFormat="1" spans="1:8">
      <c r="A969" s="212" t="s">
        <v>24</v>
      </c>
      <c r="B969" s="249">
        <f t="shared" si="42"/>
        <v>2.4</v>
      </c>
      <c r="C969" s="249">
        <v>2.4</v>
      </c>
      <c r="D969" s="323"/>
      <c r="E969" s="243"/>
      <c r="F969" s="243"/>
      <c r="G969" s="243"/>
      <c r="H969" s="243"/>
    </row>
    <row r="970" s="158" customFormat="1" spans="1:8">
      <c r="A970" s="202" t="s">
        <v>19</v>
      </c>
      <c r="B970" s="265">
        <f t="shared" si="42"/>
        <v>2</v>
      </c>
      <c r="C970" s="265">
        <v>2</v>
      </c>
      <c r="D970" s="271"/>
      <c r="E970" s="243"/>
      <c r="F970" s="243"/>
      <c r="G970" s="243"/>
      <c r="H970" s="243"/>
    </row>
    <row r="971" s="158" customFormat="1" spans="1:8">
      <c r="A971" s="202" t="s">
        <v>94</v>
      </c>
      <c r="B971" s="265">
        <f t="shared" si="42"/>
        <v>4</v>
      </c>
      <c r="C971" s="265">
        <v>4</v>
      </c>
      <c r="D971" s="271"/>
      <c r="E971" s="243"/>
      <c r="F971" s="243"/>
      <c r="G971" s="243"/>
      <c r="H971" s="243"/>
    </row>
    <row r="972" s="158" customFormat="1" ht="14.25" spans="1:8">
      <c r="A972" s="350" t="s">
        <v>54</v>
      </c>
      <c r="B972" s="351"/>
      <c r="C972" s="351">
        <f>SUM(C960:C971)</f>
        <v>182.5</v>
      </c>
      <c r="D972" s="352"/>
      <c r="E972" s="243"/>
      <c r="F972" s="243"/>
      <c r="G972" s="243"/>
      <c r="H972" s="243"/>
    </row>
    <row r="973" s="158" customFormat="1" ht="14.25" spans="1:8">
      <c r="A973" s="338" t="s">
        <v>89</v>
      </c>
      <c r="B973" s="339"/>
      <c r="C973" s="340"/>
      <c r="D973" s="355">
        <v>90</v>
      </c>
      <c r="E973" s="243"/>
      <c r="F973" s="243"/>
      <c r="G973" s="243"/>
      <c r="H973" s="243"/>
    </row>
    <row r="974" s="158" customFormat="1" spans="1:8">
      <c r="A974" s="356" t="s">
        <v>96</v>
      </c>
      <c r="B974" s="343">
        <f>C974</f>
        <v>1</v>
      </c>
      <c r="C974" s="343">
        <v>1</v>
      </c>
      <c r="D974" s="355"/>
      <c r="E974" s="243"/>
      <c r="F974" s="243"/>
      <c r="G974" s="243"/>
      <c r="H974" s="243"/>
    </row>
    <row r="975" s="158" customFormat="1" spans="1:8">
      <c r="A975" s="357" t="s">
        <v>54</v>
      </c>
      <c r="B975" s="358"/>
      <c r="C975" s="359">
        <v>110</v>
      </c>
      <c r="D975" s="360"/>
      <c r="E975" s="243"/>
      <c r="F975" s="243"/>
      <c r="G975" s="243"/>
      <c r="H975" s="243"/>
    </row>
    <row r="976" s="158" customFormat="1" spans="1:8">
      <c r="A976" s="361" t="s">
        <v>51</v>
      </c>
      <c r="B976" s="343">
        <f>C976</f>
        <v>2</v>
      </c>
      <c r="C976" s="343">
        <v>2</v>
      </c>
      <c r="D976" s="360"/>
      <c r="E976" s="243"/>
      <c r="F976" s="243"/>
      <c r="G976" s="243"/>
      <c r="H976" s="243"/>
    </row>
    <row r="977" s="158" customFormat="1" ht="15.75" spans="1:8">
      <c r="A977" s="280" t="s">
        <v>97</v>
      </c>
      <c r="B977" s="281"/>
      <c r="C977" s="282"/>
      <c r="D977" s="322">
        <v>150</v>
      </c>
      <c r="E977" s="190">
        <v>5.83</v>
      </c>
      <c r="F977" s="190">
        <v>5.72</v>
      </c>
      <c r="G977" s="190">
        <v>32.68</v>
      </c>
      <c r="H977" s="190">
        <v>205.85</v>
      </c>
    </row>
    <row r="978" s="158" customFormat="1" spans="1:8">
      <c r="A978" s="247" t="s">
        <v>36</v>
      </c>
      <c r="B978" s="241">
        <f>C978*1.33</f>
        <v>172.9</v>
      </c>
      <c r="C978" s="241">
        <v>130</v>
      </c>
      <c r="D978" s="323"/>
      <c r="E978" s="243"/>
      <c r="F978" s="243"/>
      <c r="G978" s="243"/>
      <c r="H978" s="243"/>
    </row>
    <row r="979" s="158" customFormat="1" spans="1:8">
      <c r="A979" s="247" t="s">
        <v>37</v>
      </c>
      <c r="B979" s="241">
        <f>C979*1.67</f>
        <v>217.1</v>
      </c>
      <c r="C979" s="241">
        <v>130</v>
      </c>
      <c r="D979" s="323"/>
      <c r="E979" s="243"/>
      <c r="F979" s="243"/>
      <c r="G979" s="243"/>
      <c r="H979" s="243"/>
    </row>
    <row r="980" s="158" customFormat="1" spans="1:8">
      <c r="A980" s="213" t="s">
        <v>25</v>
      </c>
      <c r="B980" s="214">
        <f>C980</f>
        <v>0.84</v>
      </c>
      <c r="C980" s="210">
        <v>0.84</v>
      </c>
      <c r="D980" s="323"/>
      <c r="E980" s="243"/>
      <c r="F980" s="243"/>
      <c r="G980" s="243"/>
      <c r="H980" s="243"/>
    </row>
    <row r="981" s="163" customFormat="1" spans="1:8">
      <c r="A981" s="212" t="s">
        <v>24</v>
      </c>
      <c r="B981" s="249">
        <f>C981*1.05</f>
        <v>23.625</v>
      </c>
      <c r="C981" s="249">
        <v>22.5</v>
      </c>
      <c r="D981" s="323"/>
      <c r="E981" s="398"/>
      <c r="F981" s="398"/>
      <c r="G981" s="398"/>
      <c r="H981" s="398"/>
    </row>
    <row r="982" s="158" customFormat="1" spans="1:8">
      <c r="A982" s="191" t="s">
        <v>16</v>
      </c>
      <c r="B982" s="249">
        <f>C982</f>
        <v>4</v>
      </c>
      <c r="C982" s="249">
        <v>4</v>
      </c>
      <c r="D982" s="197"/>
      <c r="E982" s="243"/>
      <c r="F982" s="243"/>
      <c r="G982" s="243"/>
      <c r="H982" s="243"/>
    </row>
    <row r="983" s="158" customFormat="1" ht="15.75" spans="1:8">
      <c r="A983" s="304" t="s">
        <v>295</v>
      </c>
      <c r="B983" s="305"/>
      <c r="C983" s="306"/>
      <c r="D983" s="283">
        <v>180</v>
      </c>
      <c r="E983" s="284">
        <v>0.22</v>
      </c>
      <c r="F983" s="284">
        <v>0.07</v>
      </c>
      <c r="G983" s="284">
        <v>13.93</v>
      </c>
      <c r="H983" s="284">
        <v>57.94</v>
      </c>
    </row>
    <row r="984" s="158" customFormat="1" spans="1:8">
      <c r="A984" s="307" t="s">
        <v>68</v>
      </c>
      <c r="B984" s="278">
        <f>C984</f>
        <v>20</v>
      </c>
      <c r="C984" s="278">
        <v>20</v>
      </c>
      <c r="D984" s="308"/>
      <c r="E984" s="243"/>
      <c r="F984" s="243"/>
      <c r="G984" s="243"/>
      <c r="H984" s="243"/>
    </row>
    <row r="985" s="158" customFormat="1" spans="1:8">
      <c r="A985" s="307" t="s">
        <v>99</v>
      </c>
      <c r="B985" s="278">
        <f>C985</f>
        <v>6</v>
      </c>
      <c r="C985" s="278">
        <v>6</v>
      </c>
      <c r="D985" s="308"/>
      <c r="E985" s="243"/>
      <c r="F985" s="243"/>
      <c r="G985" s="243"/>
      <c r="H985" s="243"/>
    </row>
    <row r="986" s="158" customFormat="1" spans="1:8">
      <c r="A986" s="223" t="s">
        <v>29</v>
      </c>
      <c r="B986" s="224">
        <f>C986</f>
        <v>195</v>
      </c>
      <c r="C986" s="224">
        <v>195</v>
      </c>
      <c r="D986" s="308"/>
      <c r="E986" s="243"/>
      <c r="F986" s="243"/>
      <c r="G986" s="243"/>
      <c r="H986" s="243"/>
    </row>
    <row r="987" s="158" customFormat="1" spans="1:8">
      <c r="A987" s="208" t="s">
        <v>26</v>
      </c>
      <c r="B987" s="278">
        <f>C987</f>
        <v>12</v>
      </c>
      <c r="C987" s="278">
        <v>12</v>
      </c>
      <c r="D987" s="308"/>
      <c r="E987" s="243"/>
      <c r="F987" s="243"/>
      <c r="G987" s="243"/>
      <c r="H987" s="243"/>
    </row>
    <row r="988" s="158" customFormat="1" ht="15.75" spans="1:8">
      <c r="A988" s="225" t="s">
        <v>30</v>
      </c>
      <c r="B988" s="249"/>
      <c r="C988" s="285"/>
      <c r="D988" s="230">
        <v>20</v>
      </c>
      <c r="E988" s="190">
        <v>1.12</v>
      </c>
      <c r="F988" s="190">
        <v>0.22</v>
      </c>
      <c r="G988" s="190">
        <v>11.58</v>
      </c>
      <c r="H988" s="190">
        <v>55.28</v>
      </c>
    </row>
    <row r="989" s="158" customFormat="1" ht="15.75" spans="1:8">
      <c r="A989" s="286" t="s">
        <v>59</v>
      </c>
      <c r="B989" s="287"/>
      <c r="C989" s="287"/>
      <c r="D989" s="283">
        <v>20</v>
      </c>
      <c r="E989" s="190">
        <v>0.89</v>
      </c>
      <c r="F989" s="190">
        <v>0.17</v>
      </c>
      <c r="G989" s="190">
        <v>9.26</v>
      </c>
      <c r="H989" s="190">
        <v>44.2</v>
      </c>
    </row>
    <row r="990" ht="19.5" spans="1:8">
      <c r="A990" s="183" t="s">
        <v>60</v>
      </c>
      <c r="B990" s="288"/>
      <c r="C990" s="288"/>
      <c r="D990" s="392">
        <f>D991+D998+D1002</f>
        <v>355</v>
      </c>
      <c r="E990" s="377">
        <f>SUM(E991:E1002)</f>
        <v>7.44</v>
      </c>
      <c r="F990" s="377">
        <f>SUM(F991:F1002)</f>
        <v>7.68</v>
      </c>
      <c r="G990" s="377">
        <f>SUM(G991:G1002)</f>
        <v>35</v>
      </c>
      <c r="H990" s="377">
        <f>SUM(H991:H1002)</f>
        <v>246.47</v>
      </c>
    </row>
    <row r="991" s="163" customFormat="1" ht="15.75" spans="1:8">
      <c r="A991" s="412" t="s">
        <v>253</v>
      </c>
      <c r="B991" s="269"/>
      <c r="C991" s="269"/>
      <c r="D991" s="283">
        <v>50</v>
      </c>
      <c r="E991" s="291">
        <v>4.37</v>
      </c>
      <c r="F991" s="291">
        <v>4.85</v>
      </c>
      <c r="G991" s="291">
        <v>13.57</v>
      </c>
      <c r="H991" s="291">
        <v>102.56</v>
      </c>
    </row>
    <row r="992" s="158" customFormat="1" spans="1:8">
      <c r="A992" s="268" t="s">
        <v>134</v>
      </c>
      <c r="B992" s="269">
        <f>C992</f>
        <v>50</v>
      </c>
      <c r="C992" s="269">
        <v>50</v>
      </c>
      <c r="D992" s="270"/>
      <c r="E992" s="243"/>
      <c r="F992" s="243"/>
      <c r="G992" s="243"/>
      <c r="H992" s="243"/>
    </row>
    <row r="993" s="158" customFormat="1" spans="1:8">
      <c r="A993" s="387" t="s">
        <v>111</v>
      </c>
      <c r="B993" s="319">
        <f>C993</f>
        <v>8</v>
      </c>
      <c r="C993" s="319">
        <v>8</v>
      </c>
      <c r="D993" s="560"/>
      <c r="E993" s="243"/>
      <c r="F993" s="243"/>
      <c r="G993" s="243"/>
      <c r="H993" s="243"/>
    </row>
    <row r="994" s="158" customFormat="1" spans="1:8">
      <c r="A994" s="561" t="s">
        <v>254</v>
      </c>
      <c r="B994" s="269">
        <f>C994</f>
        <v>1</v>
      </c>
      <c r="C994" s="269">
        <v>1</v>
      </c>
      <c r="D994" s="270"/>
      <c r="E994" s="243"/>
      <c r="F994" s="243"/>
      <c r="G994" s="243"/>
      <c r="H994" s="243"/>
    </row>
    <row r="995" s="158" customFormat="1" spans="1:8">
      <c r="A995" s="268" t="s">
        <v>19</v>
      </c>
      <c r="B995" s="269">
        <f>C995</f>
        <v>1</v>
      </c>
      <c r="C995" s="269">
        <v>1</v>
      </c>
      <c r="D995" s="270"/>
      <c r="E995" s="243"/>
      <c r="F995" s="243"/>
      <c r="G995" s="243"/>
      <c r="H995" s="243"/>
    </row>
    <row r="996" s="158" customFormat="1" spans="1:8">
      <c r="A996" s="268" t="s">
        <v>51</v>
      </c>
      <c r="B996" s="269">
        <f>C996</f>
        <v>0.96</v>
      </c>
      <c r="C996" s="269">
        <v>0.96</v>
      </c>
      <c r="D996" s="270"/>
      <c r="E996" s="243"/>
      <c r="F996" s="243"/>
      <c r="G996" s="243"/>
      <c r="H996" s="243"/>
    </row>
    <row r="997" s="158" customFormat="1" ht="14.25" spans="1:8">
      <c r="A997" s="272" t="s">
        <v>54</v>
      </c>
      <c r="B997" s="300"/>
      <c r="C997" s="564">
        <f>C995+C994+C993+C992</f>
        <v>60</v>
      </c>
      <c r="D997" s="270"/>
      <c r="E997" s="243"/>
      <c r="F997" s="243"/>
      <c r="G997" s="243"/>
      <c r="H997" s="243"/>
    </row>
    <row r="998" s="158" customFormat="1" ht="15.75" spans="1:8">
      <c r="A998" s="280" t="s">
        <v>167</v>
      </c>
      <c r="B998" s="281"/>
      <c r="C998" s="282"/>
      <c r="D998" s="283">
        <v>180</v>
      </c>
      <c r="E998" s="284">
        <v>0.87</v>
      </c>
      <c r="F998" s="284">
        <v>0.03</v>
      </c>
      <c r="G998" s="284">
        <v>11.43</v>
      </c>
      <c r="H998" s="284">
        <v>85.91</v>
      </c>
    </row>
    <row r="999" s="158" customFormat="1" spans="1:8">
      <c r="A999" s="247" t="s">
        <v>58</v>
      </c>
      <c r="B999" s="249">
        <f>C999</f>
        <v>15</v>
      </c>
      <c r="C999" s="249">
        <v>15</v>
      </c>
      <c r="D999" s="270"/>
      <c r="E999" s="243"/>
      <c r="F999" s="243"/>
      <c r="G999" s="243"/>
      <c r="H999" s="243"/>
    </row>
    <row r="1000" s="158" customFormat="1" spans="1:8">
      <c r="A1000" s="208" t="s">
        <v>26</v>
      </c>
      <c r="B1000" s="249">
        <f>C1000</f>
        <v>12</v>
      </c>
      <c r="C1000" s="249">
        <v>12</v>
      </c>
      <c r="D1000" s="270"/>
      <c r="E1000" s="243"/>
      <c r="F1000" s="243"/>
      <c r="G1000" s="243"/>
      <c r="H1000" s="243"/>
    </row>
    <row r="1001" s="158" customFormat="1" spans="1:8">
      <c r="A1001" s="247" t="s">
        <v>29</v>
      </c>
      <c r="B1001" s="249">
        <f>C1001</f>
        <v>210</v>
      </c>
      <c r="C1001" s="249">
        <v>210</v>
      </c>
      <c r="D1001" s="270"/>
      <c r="E1001" s="243"/>
      <c r="F1001" s="243"/>
      <c r="G1001" s="243"/>
      <c r="H1001" s="243"/>
    </row>
    <row r="1002" s="154" customFormat="1" ht="15.75" spans="1:8">
      <c r="A1002" s="229" t="s">
        <v>69</v>
      </c>
      <c r="B1002" s="224"/>
      <c r="C1002" s="224"/>
      <c r="D1002" s="230">
        <v>125</v>
      </c>
      <c r="E1002" s="190">
        <v>2.2</v>
      </c>
      <c r="F1002" s="190">
        <v>2.8</v>
      </c>
      <c r="G1002" s="190">
        <v>10</v>
      </c>
      <c r="H1002" s="190">
        <v>58</v>
      </c>
    </row>
    <row r="1003" ht="18.75" spans="1:8">
      <c r="A1003" s="309" t="s">
        <v>70</v>
      </c>
      <c r="B1003" s="310"/>
      <c r="C1003" s="310"/>
      <c r="D1003" s="311"/>
      <c r="E1003" s="312">
        <f>E990+E943+E924</f>
        <v>45.44</v>
      </c>
      <c r="F1003" s="312">
        <f>F990+F943+F924</f>
        <v>47.53</v>
      </c>
      <c r="G1003" s="312">
        <f>G990+G943+G924</f>
        <v>199.97</v>
      </c>
      <c r="H1003" s="312">
        <f>H990+H943+H924</f>
        <v>1416.28</v>
      </c>
    </row>
    <row r="1004" ht="29.25" customHeight="1" spans="1:8">
      <c r="A1004" s="174" t="s">
        <v>296</v>
      </c>
      <c r="B1004" s="175"/>
      <c r="C1004" s="175"/>
      <c r="D1004" s="175"/>
      <c r="E1004" s="175"/>
      <c r="F1004" s="175"/>
      <c r="G1004" s="175"/>
      <c r="H1004" s="176"/>
    </row>
    <row r="1005" ht="23.25" customHeight="1" spans="1:8">
      <c r="A1005" s="177" t="s">
        <v>5</v>
      </c>
      <c r="B1005" s="177" t="s">
        <v>6</v>
      </c>
      <c r="C1005" s="177" t="s">
        <v>7</v>
      </c>
      <c r="D1005" s="178" t="s">
        <v>8</v>
      </c>
      <c r="E1005" s="179" t="s">
        <v>9</v>
      </c>
      <c r="F1005" s="179" t="s">
        <v>10</v>
      </c>
      <c r="G1005" s="179" t="s">
        <v>11</v>
      </c>
      <c r="H1005" s="179" t="s">
        <v>12</v>
      </c>
    </row>
    <row r="1006" ht="23.25" customHeight="1" spans="1:8">
      <c r="A1006" s="180"/>
      <c r="B1006" s="180"/>
      <c r="C1006" s="180"/>
      <c r="D1006" s="181"/>
      <c r="E1006" s="182"/>
      <c r="F1006" s="182"/>
      <c r="G1006" s="182"/>
      <c r="H1006" s="182"/>
    </row>
    <row r="1007" ht="24.75" customHeight="1" spans="1:8">
      <c r="A1007" s="183" t="s">
        <v>13</v>
      </c>
      <c r="B1007" s="183"/>
      <c r="C1007" s="183"/>
      <c r="D1007" s="455">
        <v>503</v>
      </c>
      <c r="E1007" s="377">
        <f>SUM(E1008:E1026)</f>
        <v>16.1</v>
      </c>
      <c r="F1007" s="377">
        <f>SUM(F1008:F1026)</f>
        <v>16.45</v>
      </c>
      <c r="G1007" s="377">
        <f>SUM(G1008:G1025)</f>
        <v>70.19</v>
      </c>
      <c r="H1007" s="377">
        <f>SUM(H1008:H1025)</f>
        <v>492.02</v>
      </c>
    </row>
    <row r="1008" s="154" customFormat="1" ht="15.75" spans="1:8">
      <c r="A1008" s="418" t="s">
        <v>256</v>
      </c>
      <c r="B1008" s="418"/>
      <c r="C1008" s="418"/>
      <c r="D1008" s="207" t="s">
        <v>177</v>
      </c>
      <c r="E1008" s="190">
        <v>1.44</v>
      </c>
      <c r="F1008" s="190">
        <v>0.6</v>
      </c>
      <c r="G1008" s="190">
        <v>18.2</v>
      </c>
      <c r="H1008" s="190">
        <v>90.27</v>
      </c>
    </row>
    <row r="1009" s="154" customFormat="1" spans="1:8">
      <c r="A1009" s="195" t="s">
        <v>17</v>
      </c>
      <c r="B1009" s="241">
        <f>C1009</f>
        <v>18</v>
      </c>
      <c r="C1009" s="241">
        <v>18</v>
      </c>
      <c r="D1009" s="567"/>
      <c r="E1009" s="231"/>
      <c r="F1009" s="231"/>
      <c r="G1009" s="231"/>
      <c r="H1009" s="231"/>
    </row>
    <row r="1010" s="154" customFormat="1" spans="1:8">
      <c r="A1010" s="191" t="s">
        <v>111</v>
      </c>
      <c r="B1010" s="319">
        <f>C1010</f>
        <v>15</v>
      </c>
      <c r="C1010" s="319">
        <v>15</v>
      </c>
      <c r="D1010" s="560"/>
      <c r="E1010" s="231"/>
      <c r="F1010" s="231"/>
      <c r="G1010" s="231"/>
      <c r="H1010" s="231"/>
    </row>
    <row r="1011" s="154" customFormat="1" ht="15.75" spans="1:8">
      <c r="A1011" s="204" t="s">
        <v>297</v>
      </c>
      <c r="B1011" s="205"/>
      <c r="C1011" s="206"/>
      <c r="D1011" s="207" t="s">
        <v>21</v>
      </c>
      <c r="E1011" s="190">
        <v>4.54</v>
      </c>
      <c r="F1011" s="190">
        <v>8.05</v>
      </c>
      <c r="G1011" s="190">
        <v>18</v>
      </c>
      <c r="H1011" s="190">
        <v>135.62</v>
      </c>
    </row>
    <row r="1012" s="154" customFormat="1" spans="1:8">
      <c r="A1012" s="208" t="s">
        <v>272</v>
      </c>
      <c r="B1012" s="192">
        <f t="shared" ref="B1012:B1017" si="43">C1012</f>
        <v>25</v>
      </c>
      <c r="C1012" s="192">
        <v>25</v>
      </c>
      <c r="D1012" s="193"/>
      <c r="E1012" s="231"/>
      <c r="F1012" s="231"/>
      <c r="G1012" s="231"/>
      <c r="H1012" s="231"/>
    </row>
    <row r="1013" s="154" customFormat="1" spans="1:8">
      <c r="A1013" s="209" t="s">
        <v>23</v>
      </c>
      <c r="B1013" s="192">
        <f t="shared" si="43"/>
        <v>86</v>
      </c>
      <c r="C1013" s="210">
        <v>86</v>
      </c>
      <c r="D1013" s="193"/>
      <c r="E1013" s="231"/>
      <c r="F1013" s="231"/>
      <c r="G1013" s="231"/>
      <c r="H1013" s="231"/>
    </row>
    <row r="1014" s="154" customFormat="1" spans="1:8">
      <c r="A1014" s="212" t="s">
        <v>24</v>
      </c>
      <c r="B1014" s="192">
        <f t="shared" si="43"/>
        <v>96</v>
      </c>
      <c r="C1014" s="210">
        <v>96</v>
      </c>
      <c r="D1014" s="193"/>
      <c r="E1014" s="231"/>
      <c r="F1014" s="231"/>
      <c r="G1014" s="231"/>
      <c r="H1014" s="231"/>
    </row>
    <row r="1015" s="154" customFormat="1" spans="1:8">
      <c r="A1015" s="213" t="s">
        <v>25</v>
      </c>
      <c r="B1015" s="214">
        <f t="shared" si="43"/>
        <v>0.2</v>
      </c>
      <c r="C1015" s="285">
        <v>0.2</v>
      </c>
      <c r="D1015" s="193"/>
      <c r="E1015" s="231"/>
      <c r="F1015" s="231"/>
      <c r="G1015" s="231"/>
      <c r="H1015" s="231"/>
    </row>
    <row r="1016" s="154" customFormat="1" spans="1:8">
      <c r="A1016" s="208" t="s">
        <v>26</v>
      </c>
      <c r="B1016" s="192">
        <f t="shared" si="43"/>
        <v>4.89</v>
      </c>
      <c r="C1016" s="192">
        <v>4.89</v>
      </c>
      <c r="D1016" s="193"/>
      <c r="E1016" s="231"/>
      <c r="F1016" s="231"/>
      <c r="G1016" s="231"/>
      <c r="H1016" s="231"/>
    </row>
    <row r="1017" s="154" customFormat="1" spans="1:8">
      <c r="A1017" s="191" t="s">
        <v>16</v>
      </c>
      <c r="B1017" s="192">
        <f t="shared" si="43"/>
        <v>3</v>
      </c>
      <c r="C1017" s="192">
        <v>3</v>
      </c>
      <c r="D1017" s="193"/>
      <c r="E1017" s="231"/>
      <c r="F1017" s="231"/>
      <c r="G1017" s="231"/>
      <c r="H1017" s="231"/>
    </row>
    <row r="1018" s="154" customFormat="1" ht="15.75" spans="1:8">
      <c r="A1018" s="460" t="s">
        <v>225</v>
      </c>
      <c r="B1018" s="461"/>
      <c r="C1018" s="462"/>
      <c r="D1018" s="369">
        <v>200</v>
      </c>
      <c r="E1018" s="190">
        <v>3.28</v>
      </c>
      <c r="F1018" s="190">
        <v>2.83</v>
      </c>
      <c r="G1018" s="190">
        <v>16.3</v>
      </c>
      <c r="H1018" s="190">
        <v>119.26</v>
      </c>
    </row>
    <row r="1019" s="154" customFormat="1" spans="1:8">
      <c r="A1019" s="388" t="s">
        <v>105</v>
      </c>
      <c r="B1019" s="319">
        <f>C1019</f>
        <v>1.5</v>
      </c>
      <c r="C1019" s="319">
        <v>1.5</v>
      </c>
      <c r="D1019" s="389"/>
      <c r="E1019" s="231"/>
      <c r="F1019" s="231"/>
      <c r="G1019" s="231"/>
      <c r="H1019" s="231"/>
    </row>
    <row r="1020" s="154" customFormat="1" spans="1:8">
      <c r="A1020" s="212" t="s">
        <v>24</v>
      </c>
      <c r="B1020" s="319">
        <f>C1020</f>
        <v>100</v>
      </c>
      <c r="C1020" s="241">
        <v>100</v>
      </c>
      <c r="D1020" s="390"/>
      <c r="E1020" s="231"/>
      <c r="F1020" s="231"/>
      <c r="G1020" s="231"/>
      <c r="H1020" s="231"/>
    </row>
    <row r="1021" s="154" customFormat="1" spans="1:8">
      <c r="A1021" s="208" t="s">
        <v>29</v>
      </c>
      <c r="B1021" s="269">
        <f>C1021</f>
        <v>110</v>
      </c>
      <c r="C1021" s="269">
        <v>110</v>
      </c>
      <c r="D1021" s="390"/>
      <c r="E1021" s="231"/>
      <c r="F1021" s="231"/>
      <c r="G1021" s="231"/>
      <c r="H1021" s="231"/>
    </row>
    <row r="1022" s="154" customFormat="1" spans="1:8">
      <c r="A1022" s="208" t="s">
        <v>26</v>
      </c>
      <c r="B1022" s="319">
        <f>C1022</f>
        <v>10</v>
      </c>
      <c r="C1022" s="241">
        <v>10</v>
      </c>
      <c r="D1022" s="390"/>
      <c r="E1022" s="231"/>
      <c r="F1022" s="231"/>
      <c r="G1022" s="231"/>
      <c r="H1022" s="231"/>
    </row>
    <row r="1023" s="154" customFormat="1" ht="15.75" spans="1:8">
      <c r="A1023" s="198" t="s">
        <v>18</v>
      </c>
      <c r="B1023" s="199"/>
      <c r="C1023" s="200"/>
      <c r="D1023" s="201">
        <v>40</v>
      </c>
      <c r="E1023" s="190">
        <v>5.16</v>
      </c>
      <c r="F1023" s="190">
        <v>4.64</v>
      </c>
      <c r="G1023" s="190">
        <v>0.32</v>
      </c>
      <c r="H1023" s="190">
        <v>64</v>
      </c>
    </row>
    <row r="1024" s="154" customFormat="1" spans="1:8">
      <c r="A1024" s="268" t="s">
        <v>19</v>
      </c>
      <c r="B1024" s="196">
        <f>C1024</f>
        <v>40</v>
      </c>
      <c r="C1024" s="200">
        <v>40</v>
      </c>
      <c r="D1024" s="197"/>
      <c r="E1024" s="231"/>
      <c r="F1024" s="231"/>
      <c r="G1024" s="231"/>
      <c r="H1024" s="231"/>
    </row>
    <row r="1025" s="154" customFormat="1" ht="15.75" spans="1:8">
      <c r="A1025" s="225" t="s">
        <v>30</v>
      </c>
      <c r="B1025" s="249"/>
      <c r="C1025" s="285"/>
      <c r="D1025" s="230">
        <v>30</v>
      </c>
      <c r="E1025" s="190">
        <v>1.68</v>
      </c>
      <c r="F1025" s="190">
        <v>0.33</v>
      </c>
      <c r="G1025" s="190">
        <v>17.37</v>
      </c>
      <c r="H1025" s="190">
        <v>82.87</v>
      </c>
    </row>
    <row r="1026" s="154" customFormat="1" spans="1:8">
      <c r="A1026" s="609"/>
      <c r="B1026" s="610"/>
      <c r="C1026" s="610"/>
      <c r="D1026" s="611"/>
      <c r="E1026" s="231"/>
      <c r="F1026" s="231"/>
      <c r="G1026" s="231"/>
      <c r="H1026" s="231"/>
    </row>
    <row r="1027" ht="19.5" spans="1:8">
      <c r="A1027" s="183" t="s">
        <v>32</v>
      </c>
      <c r="B1027" s="232"/>
      <c r="C1027" s="232"/>
      <c r="D1027" s="411" t="s">
        <v>298</v>
      </c>
      <c r="E1027" s="377">
        <f>SUM(E1028:E1068)</f>
        <v>24.24</v>
      </c>
      <c r="F1027" s="377">
        <f>SUM(F1028:F1068)</f>
        <v>24.36</v>
      </c>
      <c r="G1027" s="377">
        <f>SUM(G1028:G1068)</f>
        <v>95.88</v>
      </c>
      <c r="H1027" s="377">
        <f>SUM(H1028:H1068)</f>
        <v>702.48</v>
      </c>
    </row>
    <row r="1028" s="154" customFormat="1" ht="15.75" spans="1:8">
      <c r="A1028" s="497" t="s">
        <v>206</v>
      </c>
      <c r="B1028" s="498"/>
      <c r="C1028" s="499"/>
      <c r="D1028" s="207" t="s">
        <v>207</v>
      </c>
      <c r="E1028" s="239">
        <v>8.8</v>
      </c>
      <c r="F1028" s="239">
        <v>6.57</v>
      </c>
      <c r="G1028" s="239">
        <v>26.37</v>
      </c>
      <c r="H1028" s="239">
        <v>189.72</v>
      </c>
    </row>
    <row r="1029" s="154" customFormat="1" spans="1:8">
      <c r="A1029" s="500" t="s">
        <v>34</v>
      </c>
      <c r="B1029" s="265">
        <f>C1029*1.45</f>
        <v>17.69</v>
      </c>
      <c r="C1029" s="265">
        <f>C1030*1.22</f>
        <v>12.2</v>
      </c>
      <c r="D1029" s="323"/>
      <c r="E1029" s="231"/>
      <c r="F1029" s="231"/>
      <c r="G1029" s="231"/>
      <c r="H1029" s="231"/>
    </row>
    <row r="1030" s="154" customFormat="1" spans="1:8">
      <c r="A1030" s="501" t="s">
        <v>208</v>
      </c>
      <c r="B1030" s="265"/>
      <c r="C1030" s="502">
        <v>10</v>
      </c>
      <c r="D1030" s="323"/>
      <c r="E1030" s="231"/>
      <c r="F1030" s="231"/>
      <c r="G1030" s="231"/>
      <c r="H1030" s="231"/>
    </row>
    <row r="1031" s="154" customFormat="1" spans="1:8">
      <c r="A1031" s="292" t="s">
        <v>209</v>
      </c>
      <c r="B1031" s="265">
        <f>C1031</f>
        <v>28</v>
      </c>
      <c r="C1031" s="265">
        <v>28</v>
      </c>
      <c r="D1031" s="503"/>
      <c r="E1031" s="231"/>
      <c r="F1031" s="231"/>
      <c r="G1031" s="231"/>
      <c r="H1031" s="231"/>
    </row>
    <row r="1032" s="154" customFormat="1" spans="1:8">
      <c r="A1032" s="504" t="s">
        <v>210</v>
      </c>
      <c r="B1032" s="505"/>
      <c r="C1032" s="506">
        <v>62</v>
      </c>
      <c r="D1032" s="503"/>
      <c r="E1032" s="231"/>
      <c r="F1032" s="231"/>
      <c r="G1032" s="231"/>
      <c r="H1032" s="231"/>
    </row>
    <row r="1033" s="154" customFormat="1" spans="1:8">
      <c r="A1033" s="292" t="s">
        <v>160</v>
      </c>
      <c r="B1033" s="265">
        <f>C1033*1.28</f>
        <v>1.28</v>
      </c>
      <c r="C1033" s="265">
        <v>1</v>
      </c>
      <c r="D1033" s="503"/>
      <c r="E1033" s="231"/>
      <c r="F1033" s="231"/>
      <c r="G1033" s="231"/>
      <c r="H1033" s="231"/>
    </row>
    <row r="1034" s="154" customFormat="1" spans="1:8">
      <c r="A1034" s="292" t="s">
        <v>40</v>
      </c>
      <c r="B1034" s="265">
        <f>C1034*1.19</f>
        <v>13.09</v>
      </c>
      <c r="C1034" s="265">
        <v>11</v>
      </c>
      <c r="D1034" s="503"/>
      <c r="E1034" s="231"/>
      <c r="F1034" s="231"/>
      <c r="G1034" s="231"/>
      <c r="H1034" s="231"/>
    </row>
    <row r="1035" s="154" customFormat="1" spans="1:8">
      <c r="A1035" s="292" t="s">
        <v>51</v>
      </c>
      <c r="B1035" s="265">
        <f t="shared" ref="B1035" si="44">C1035</f>
        <v>4.5</v>
      </c>
      <c r="C1035" s="265">
        <v>4.5</v>
      </c>
      <c r="D1035" s="503"/>
      <c r="E1035" s="231"/>
      <c r="F1035" s="231"/>
      <c r="G1035" s="231"/>
      <c r="H1035" s="231"/>
    </row>
    <row r="1036" s="154" customFormat="1" spans="1:8">
      <c r="A1036" s="247" t="s">
        <v>36</v>
      </c>
      <c r="B1036" s="241">
        <f>C1036*1.33</f>
        <v>23.275</v>
      </c>
      <c r="C1036" s="241">
        <v>17.5</v>
      </c>
      <c r="D1036" s="503"/>
      <c r="E1036" s="231"/>
      <c r="F1036" s="231"/>
      <c r="G1036" s="231"/>
      <c r="H1036" s="231"/>
    </row>
    <row r="1037" s="154" customFormat="1" spans="1:8">
      <c r="A1037" s="247" t="s">
        <v>37</v>
      </c>
      <c r="B1037" s="241">
        <f>C1037*1.67</f>
        <v>29.225</v>
      </c>
      <c r="C1037" s="241">
        <v>17.5</v>
      </c>
      <c r="D1037" s="503"/>
      <c r="E1037" s="231"/>
      <c r="F1037" s="231"/>
      <c r="G1037" s="231"/>
      <c r="H1037" s="231"/>
    </row>
    <row r="1038" s="154" customFormat="1" spans="1:8">
      <c r="A1038" s="247" t="s">
        <v>39</v>
      </c>
      <c r="B1038" s="256">
        <f>C1038*1.25</f>
        <v>13.125</v>
      </c>
      <c r="C1038" s="336">
        <v>10.5</v>
      </c>
      <c r="D1038" s="503"/>
      <c r="E1038" s="231"/>
      <c r="F1038" s="231"/>
      <c r="G1038" s="231"/>
      <c r="H1038" s="231"/>
    </row>
    <row r="1039" s="154" customFormat="1" spans="1:8">
      <c r="A1039" s="247" t="s">
        <v>86</v>
      </c>
      <c r="B1039" s="249">
        <f>C1039*1.33</f>
        <v>13.965</v>
      </c>
      <c r="C1039" s="249">
        <v>10.5</v>
      </c>
      <c r="D1039" s="503"/>
      <c r="E1039" s="231"/>
      <c r="F1039" s="231"/>
      <c r="G1039" s="231"/>
      <c r="H1039" s="231"/>
    </row>
    <row r="1040" s="154" customFormat="1" spans="1:8">
      <c r="A1040" s="318" t="s">
        <v>25</v>
      </c>
      <c r="B1040" s="256">
        <f>C1040</f>
        <v>1.3</v>
      </c>
      <c r="C1040" s="319">
        <v>1.3</v>
      </c>
      <c r="D1040" s="503"/>
      <c r="E1040" s="231"/>
      <c r="F1040" s="231"/>
      <c r="G1040" s="231"/>
      <c r="H1040" s="231"/>
    </row>
    <row r="1041" s="154" customFormat="1" spans="1:8">
      <c r="A1041" s="292" t="s">
        <v>29</v>
      </c>
      <c r="B1041" s="265">
        <f t="shared" ref="B1041" si="45">C1041</f>
        <v>160</v>
      </c>
      <c r="C1041" s="265">
        <v>160</v>
      </c>
      <c r="D1041" s="503"/>
      <c r="E1041" s="231"/>
      <c r="F1041" s="231"/>
      <c r="G1041" s="231"/>
      <c r="H1041" s="231"/>
    </row>
    <row r="1042" s="154" customFormat="1" spans="1:8">
      <c r="A1042" s="500" t="s">
        <v>211</v>
      </c>
      <c r="B1042" s="196">
        <f>C1042*1.25</f>
        <v>11.25</v>
      </c>
      <c r="C1042" s="196">
        <v>9</v>
      </c>
      <c r="D1042" s="503"/>
      <c r="E1042" s="231"/>
      <c r="F1042" s="231"/>
      <c r="G1042" s="231"/>
      <c r="H1042" s="231"/>
    </row>
    <row r="1043" s="154" customFormat="1" spans="1:8">
      <c r="A1043" s="612" t="s">
        <v>232</v>
      </c>
      <c r="B1043" s="613">
        <f>C1043*1.25</f>
        <v>11.25</v>
      </c>
      <c r="C1043" s="613">
        <v>9</v>
      </c>
      <c r="D1043" s="390"/>
      <c r="E1043" s="231"/>
      <c r="F1043" s="231"/>
      <c r="G1043" s="231"/>
      <c r="H1043" s="231"/>
    </row>
    <row r="1044" s="154" customFormat="1" spans="1:8">
      <c r="A1044" s="500" t="s">
        <v>186</v>
      </c>
      <c r="B1044" s="196">
        <f>C1044</f>
        <v>5</v>
      </c>
      <c r="C1044" s="196">
        <v>5</v>
      </c>
      <c r="D1044" s="503"/>
      <c r="E1044" s="231"/>
      <c r="F1044" s="231"/>
      <c r="G1044" s="231"/>
      <c r="H1044" s="231"/>
    </row>
    <row r="1045" s="154" customFormat="1" ht="15.75" spans="1:8">
      <c r="A1045" s="326" t="s">
        <v>299</v>
      </c>
      <c r="B1045" s="326"/>
      <c r="C1045" s="326"/>
      <c r="D1045" s="442">
        <v>90</v>
      </c>
      <c r="E1045" s="190">
        <v>9.51</v>
      </c>
      <c r="F1045" s="190">
        <v>11.73</v>
      </c>
      <c r="G1045" s="190">
        <v>4.56</v>
      </c>
      <c r="H1045" s="190">
        <v>167.91</v>
      </c>
    </row>
    <row r="1046" s="154" customFormat="1" spans="1:8">
      <c r="A1046" s="353" t="s">
        <v>300</v>
      </c>
      <c r="B1046" s="252">
        <f>C1046*1.15</f>
        <v>154.215</v>
      </c>
      <c r="C1046" s="316">
        <f>D1045*1.49</f>
        <v>134.1</v>
      </c>
      <c r="D1046" s="614"/>
      <c r="E1046" s="231"/>
      <c r="F1046" s="231"/>
      <c r="G1046" s="231"/>
      <c r="H1046" s="231"/>
    </row>
    <row r="1047" s="154" customFormat="1" spans="1:8">
      <c r="A1047" s="482" t="s">
        <v>51</v>
      </c>
      <c r="B1047" s="316">
        <f>C1047</f>
        <v>2</v>
      </c>
      <c r="C1047" s="316">
        <v>2</v>
      </c>
      <c r="D1047" s="614"/>
      <c r="E1047" s="231"/>
      <c r="F1047" s="231"/>
      <c r="G1047" s="231"/>
      <c r="H1047" s="231"/>
    </row>
    <row r="1048" s="154" customFormat="1" spans="1:8">
      <c r="A1048" s="401" t="s">
        <v>124</v>
      </c>
      <c r="B1048" s="262">
        <f>C1048</f>
        <v>2</v>
      </c>
      <c r="C1048" s="316">
        <v>2</v>
      </c>
      <c r="D1048" s="614"/>
      <c r="E1048" s="231"/>
      <c r="F1048" s="231"/>
      <c r="G1048" s="231"/>
      <c r="H1048" s="231"/>
    </row>
    <row r="1049" s="154" customFormat="1" spans="1:8">
      <c r="A1049" s="401" t="s">
        <v>160</v>
      </c>
      <c r="B1049" s="262">
        <f>C1049*1.26</f>
        <v>0.378</v>
      </c>
      <c r="C1049" s="316">
        <v>0.3</v>
      </c>
      <c r="D1049" s="614"/>
      <c r="E1049" s="231"/>
      <c r="F1049" s="231"/>
      <c r="G1049" s="231"/>
      <c r="H1049" s="231"/>
    </row>
    <row r="1050" s="154" customFormat="1" spans="1:8">
      <c r="A1050" s="213" t="s">
        <v>25</v>
      </c>
      <c r="B1050" s="316">
        <f>C1050</f>
        <v>0.9</v>
      </c>
      <c r="C1050" s="316">
        <v>0.9</v>
      </c>
      <c r="D1050" s="614"/>
      <c r="E1050" s="231"/>
      <c r="F1050" s="231"/>
      <c r="G1050" s="231"/>
      <c r="H1050" s="231"/>
    </row>
    <row r="1051" s="154" customFormat="1" ht="15.75" spans="1:8">
      <c r="A1051" s="577" t="s">
        <v>231</v>
      </c>
      <c r="B1051" s="615"/>
      <c r="C1051" s="616"/>
      <c r="D1051" s="442">
        <v>150</v>
      </c>
      <c r="E1051" s="190">
        <v>2.9</v>
      </c>
      <c r="F1051" s="190">
        <v>5.38</v>
      </c>
      <c r="G1051" s="190">
        <v>19.45</v>
      </c>
      <c r="H1051" s="190">
        <v>138</v>
      </c>
    </row>
    <row r="1052" s="154" customFormat="1" ht="15.75" spans="1:8">
      <c r="A1052" s="247" t="s">
        <v>36</v>
      </c>
      <c r="B1052" s="241">
        <f>C1052*1.33</f>
        <v>126.35</v>
      </c>
      <c r="C1052" s="241">
        <v>95</v>
      </c>
      <c r="D1052" s="442"/>
      <c r="E1052" s="190"/>
      <c r="F1052" s="190"/>
      <c r="G1052" s="190"/>
      <c r="H1052" s="190"/>
    </row>
    <row r="1053" s="154" customFormat="1" ht="15.75" spans="1:8">
      <c r="A1053" s="247" t="s">
        <v>37</v>
      </c>
      <c r="B1053" s="241">
        <f>C1053*1.67</f>
        <v>158.65</v>
      </c>
      <c r="C1053" s="241">
        <v>95</v>
      </c>
      <c r="D1053" s="442"/>
      <c r="E1053" s="190"/>
      <c r="F1053" s="190"/>
      <c r="G1053" s="190"/>
      <c r="H1053" s="190"/>
    </row>
    <row r="1054" s="154" customFormat="1" spans="1:8">
      <c r="A1054" s="247" t="s">
        <v>39</v>
      </c>
      <c r="B1054" s="256">
        <f>C1054*1.25</f>
        <v>21.25</v>
      </c>
      <c r="C1054" s="336">
        <v>17</v>
      </c>
      <c r="D1054" s="529"/>
      <c r="E1054" s="231"/>
      <c r="F1054" s="231"/>
      <c r="G1054" s="231"/>
      <c r="H1054" s="231"/>
    </row>
    <row r="1055" s="154" customFormat="1" spans="1:8">
      <c r="A1055" s="247" t="s">
        <v>86</v>
      </c>
      <c r="B1055" s="249">
        <f>C1055*1.33</f>
        <v>22.61</v>
      </c>
      <c r="C1055" s="249">
        <v>17</v>
      </c>
      <c r="D1055" s="529"/>
      <c r="E1055" s="231"/>
      <c r="F1055" s="231"/>
      <c r="G1055" s="231"/>
      <c r="H1055" s="231"/>
    </row>
    <row r="1056" s="154" customFormat="1" spans="1:8">
      <c r="A1056" s="247" t="s">
        <v>301</v>
      </c>
      <c r="B1056" s="302">
        <f>C1056*1.25</f>
        <v>40</v>
      </c>
      <c r="C1056" s="302">
        <v>32</v>
      </c>
      <c r="D1056" s="529"/>
      <c r="E1056" s="231"/>
      <c r="F1056" s="231"/>
      <c r="G1056" s="231"/>
      <c r="H1056" s="231"/>
    </row>
    <row r="1057" s="154" customFormat="1" spans="1:8">
      <c r="A1057" s="209" t="s">
        <v>40</v>
      </c>
      <c r="B1057" s="252">
        <f>C1057*1.19</f>
        <v>13.09</v>
      </c>
      <c r="C1057" s="252">
        <v>11</v>
      </c>
      <c r="D1057" s="529"/>
      <c r="E1057" s="231"/>
      <c r="F1057" s="231"/>
      <c r="G1057" s="231"/>
      <c r="H1057" s="231"/>
    </row>
    <row r="1058" s="154" customFormat="1" spans="1:8">
      <c r="A1058" s="401" t="s">
        <v>124</v>
      </c>
      <c r="B1058" s="262">
        <f>C1058</f>
        <v>2</v>
      </c>
      <c r="C1058" s="249">
        <v>2</v>
      </c>
      <c r="D1058" s="529"/>
      <c r="E1058" s="231"/>
      <c r="F1058" s="231"/>
      <c r="G1058" s="231"/>
      <c r="H1058" s="231"/>
    </row>
    <row r="1059" s="154" customFormat="1" spans="1:8">
      <c r="A1059" s="213" t="s">
        <v>25</v>
      </c>
      <c r="B1059" s="252">
        <f>C1059</f>
        <v>0.9</v>
      </c>
      <c r="C1059" s="252">
        <v>0.9</v>
      </c>
      <c r="D1059" s="529"/>
      <c r="E1059" s="231"/>
      <c r="F1059" s="231"/>
      <c r="G1059" s="231"/>
      <c r="H1059" s="231"/>
    </row>
    <row r="1060" s="154" customFormat="1" spans="1:8">
      <c r="A1060" s="482" t="s">
        <v>51</v>
      </c>
      <c r="B1060" s="252">
        <f>C1060</f>
        <v>5</v>
      </c>
      <c r="C1060" s="252">
        <v>5</v>
      </c>
      <c r="D1060" s="529"/>
      <c r="E1060" s="231"/>
      <c r="F1060" s="231"/>
      <c r="G1060" s="231"/>
      <c r="H1060" s="231"/>
    </row>
    <row r="1061" s="154" customFormat="1" ht="15.75" spans="1:8">
      <c r="A1061" s="326" t="s">
        <v>233</v>
      </c>
      <c r="B1061" s="326"/>
      <c r="C1061" s="326"/>
      <c r="D1061" s="365">
        <v>200</v>
      </c>
      <c r="E1061" s="617">
        <v>0.12</v>
      </c>
      <c r="F1061" s="617">
        <v>0.11</v>
      </c>
      <c r="G1061" s="617">
        <v>15.39</v>
      </c>
      <c r="H1061" s="617">
        <v>63.17</v>
      </c>
    </row>
    <row r="1062" s="154" customFormat="1" spans="1:8">
      <c r="A1062" s="348" t="s">
        <v>288</v>
      </c>
      <c r="B1062" s="297">
        <f>C1062*1.13</f>
        <v>19.21</v>
      </c>
      <c r="C1062" s="297">
        <v>17</v>
      </c>
      <c r="D1062" s="334"/>
      <c r="E1062" s="231"/>
      <c r="F1062" s="231"/>
      <c r="G1062" s="231"/>
      <c r="H1062" s="231"/>
    </row>
    <row r="1063" s="154" customFormat="1" spans="1:8">
      <c r="A1063" s="348" t="s">
        <v>140</v>
      </c>
      <c r="B1063" s="297">
        <f>C1063</f>
        <v>8</v>
      </c>
      <c r="C1063" s="297">
        <v>8</v>
      </c>
      <c r="D1063" s="334"/>
      <c r="E1063" s="231"/>
      <c r="F1063" s="231"/>
      <c r="G1063" s="231"/>
      <c r="H1063" s="231"/>
    </row>
    <row r="1064" s="154" customFormat="1" spans="1:8">
      <c r="A1064" s="208" t="s">
        <v>26</v>
      </c>
      <c r="B1064" s="249">
        <f>C1064</f>
        <v>13</v>
      </c>
      <c r="C1064" s="249">
        <v>13</v>
      </c>
      <c r="D1064" s="334"/>
      <c r="E1064" s="231"/>
      <c r="F1064" s="231"/>
      <c r="G1064" s="231"/>
      <c r="H1064" s="231"/>
    </row>
    <row r="1065" s="154" customFormat="1" spans="1:8">
      <c r="A1065" s="367" t="s">
        <v>29</v>
      </c>
      <c r="B1065" s="297">
        <f>C1065</f>
        <v>215</v>
      </c>
      <c r="C1065" s="297">
        <v>215</v>
      </c>
      <c r="D1065" s="334"/>
      <c r="E1065" s="231"/>
      <c r="F1065" s="231"/>
      <c r="G1065" s="231"/>
      <c r="H1065" s="231"/>
    </row>
    <row r="1066" s="154" customFormat="1" ht="15.75" spans="1:8">
      <c r="A1066" s="225" t="s">
        <v>30</v>
      </c>
      <c r="B1066" s="249"/>
      <c r="C1066" s="285"/>
      <c r="D1066" s="230">
        <v>20</v>
      </c>
      <c r="E1066" s="284">
        <v>1.12</v>
      </c>
      <c r="F1066" s="284">
        <v>0.22</v>
      </c>
      <c r="G1066" s="284">
        <v>11.58</v>
      </c>
      <c r="H1066" s="284">
        <v>55.28</v>
      </c>
    </row>
    <row r="1067" s="154" customFormat="1" ht="15.75" spans="1:8">
      <c r="A1067" s="286" t="s">
        <v>59</v>
      </c>
      <c r="B1067" s="287"/>
      <c r="C1067" s="287"/>
      <c r="D1067" s="283">
        <v>40</v>
      </c>
      <c r="E1067" s="190">
        <v>1.79</v>
      </c>
      <c r="F1067" s="190">
        <v>0.35</v>
      </c>
      <c r="G1067" s="190">
        <v>18.53</v>
      </c>
      <c r="H1067" s="190">
        <v>88.4</v>
      </c>
    </row>
    <row r="1068" s="155" customFormat="1" ht="14.25" customHeight="1" spans="1:8">
      <c r="A1068" s="326"/>
      <c r="B1068" s="326"/>
      <c r="C1068" s="326"/>
      <c r="D1068" s="218"/>
      <c r="E1068" s="203"/>
      <c r="F1068" s="203"/>
      <c r="G1068" s="203"/>
      <c r="H1068" s="203"/>
    </row>
    <row r="1069" ht="19.5" spans="1:8">
      <c r="A1069" s="183" t="s">
        <v>60</v>
      </c>
      <c r="B1069" s="618"/>
      <c r="C1069" s="618"/>
      <c r="D1069" s="411">
        <f>D1070+D1081+D1086</f>
        <v>350</v>
      </c>
      <c r="E1069" s="377">
        <f>SUM(E1070:E1086)</f>
        <v>7.55</v>
      </c>
      <c r="F1069" s="377">
        <f>SUM(F1070:F1086)</f>
        <v>7.85</v>
      </c>
      <c r="G1069" s="377">
        <f>SUM(G1070:G1086)</f>
        <v>34.8</v>
      </c>
      <c r="H1069" s="377">
        <f>SUM(H1070:H1086)</f>
        <v>237.62</v>
      </c>
    </row>
    <row r="1070" ht="15.75" spans="1:8">
      <c r="A1070" s="289" t="s">
        <v>61</v>
      </c>
      <c r="B1070" s="290"/>
      <c r="C1070" s="290"/>
      <c r="D1070" s="238">
        <v>50</v>
      </c>
      <c r="E1070" s="291">
        <v>6.88</v>
      </c>
      <c r="F1070" s="291">
        <v>7.7</v>
      </c>
      <c r="G1070" s="291">
        <v>12.04</v>
      </c>
      <c r="H1070" s="291">
        <v>143.16</v>
      </c>
    </row>
    <row r="1071" spans="1:8">
      <c r="A1071" s="292" t="s">
        <v>19</v>
      </c>
      <c r="B1071" s="265">
        <f t="shared" ref="B1071" si="46">C1071</f>
        <v>6</v>
      </c>
      <c r="C1071" s="265">
        <v>6</v>
      </c>
      <c r="D1071" s="293"/>
      <c r="E1071" s="320"/>
      <c r="F1071" s="320"/>
      <c r="G1071" s="320"/>
      <c r="H1071" s="320"/>
    </row>
    <row r="1072" spans="1:8">
      <c r="A1072" s="294" t="s">
        <v>62</v>
      </c>
      <c r="B1072" s="265">
        <f>C1072*1.01</f>
        <v>18.18</v>
      </c>
      <c r="C1072" s="265">
        <v>18</v>
      </c>
      <c r="D1072" s="293"/>
      <c r="E1072" s="320"/>
      <c r="F1072" s="320"/>
      <c r="G1072" s="320"/>
      <c r="H1072" s="320"/>
    </row>
    <row r="1073" spans="1:8">
      <c r="A1073" s="294" t="s">
        <v>26</v>
      </c>
      <c r="B1073" s="265">
        <f>C1073</f>
        <v>11</v>
      </c>
      <c r="C1073" s="265">
        <v>11</v>
      </c>
      <c r="D1073" s="293"/>
      <c r="E1073" s="320"/>
      <c r="F1073" s="320"/>
      <c r="G1073" s="320"/>
      <c r="H1073" s="320"/>
    </row>
    <row r="1074" spans="1:8">
      <c r="A1074" s="268" t="s">
        <v>53</v>
      </c>
      <c r="B1074" s="269">
        <f>C1074</f>
        <v>27</v>
      </c>
      <c r="C1074" s="269">
        <v>27</v>
      </c>
      <c r="D1074" s="270"/>
      <c r="E1074" s="320"/>
      <c r="F1074" s="320"/>
      <c r="G1074" s="320"/>
      <c r="H1074" s="320"/>
    </row>
    <row r="1075" spans="1:8">
      <c r="A1075" s="294" t="s">
        <v>63</v>
      </c>
      <c r="B1075" s="265">
        <f t="shared" ref="B1075:B1078" si="47">C1075</f>
        <v>6</v>
      </c>
      <c r="C1075" s="210">
        <v>6</v>
      </c>
      <c r="D1075" s="293"/>
      <c r="E1075" s="320"/>
      <c r="F1075" s="320"/>
      <c r="G1075" s="320"/>
      <c r="H1075" s="320"/>
    </row>
    <row r="1076" spans="1:8">
      <c r="A1076" s="295" t="s">
        <v>64</v>
      </c>
      <c r="B1076" s="296">
        <f t="shared" si="47"/>
        <v>0.3</v>
      </c>
      <c r="C1076" s="297">
        <v>0.3</v>
      </c>
      <c r="D1076" s="298"/>
      <c r="E1076" s="320"/>
      <c r="F1076" s="320"/>
      <c r="G1076" s="320"/>
      <c r="H1076" s="320"/>
    </row>
    <row r="1077" spans="1:8">
      <c r="A1077" s="299" t="s">
        <v>65</v>
      </c>
      <c r="B1077" s="296">
        <f t="shared" si="47"/>
        <v>1.5</v>
      </c>
      <c r="C1077" s="296">
        <v>1.5</v>
      </c>
      <c r="D1077" s="270"/>
      <c r="E1077" s="320"/>
      <c r="F1077" s="320"/>
      <c r="G1077" s="320"/>
      <c r="H1077" s="320"/>
    </row>
    <row r="1078" spans="1:8">
      <c r="A1078" s="268" t="s">
        <v>66</v>
      </c>
      <c r="B1078" s="269">
        <f t="shared" si="47"/>
        <v>1.2</v>
      </c>
      <c r="C1078" s="269">
        <v>1.2</v>
      </c>
      <c r="D1078" s="270"/>
      <c r="E1078" s="320"/>
      <c r="F1078" s="320"/>
      <c r="G1078" s="320"/>
      <c r="H1078" s="320"/>
    </row>
    <row r="1079" spans="1:8">
      <c r="A1079" s="272" t="s">
        <v>54</v>
      </c>
      <c r="B1079" s="300"/>
      <c r="C1079" s="300">
        <f>SUM(C1071:C1078)</f>
        <v>71</v>
      </c>
      <c r="D1079" s="270"/>
      <c r="E1079" s="320"/>
      <c r="F1079" s="320"/>
      <c r="G1079" s="320"/>
      <c r="H1079" s="320"/>
    </row>
    <row r="1080" spans="1:8">
      <c r="A1080" s="301" t="s">
        <v>46</v>
      </c>
      <c r="B1080" s="302">
        <f>C1080</f>
        <v>1</v>
      </c>
      <c r="C1080" s="302">
        <v>1</v>
      </c>
      <c r="D1080" s="303"/>
      <c r="E1080" s="320"/>
      <c r="F1080" s="320"/>
      <c r="G1080" s="320"/>
      <c r="H1080" s="320"/>
    </row>
    <row r="1081" ht="15.75" spans="1:8">
      <c r="A1081" s="274" t="s">
        <v>302</v>
      </c>
      <c r="B1081" s="275"/>
      <c r="C1081" s="276"/>
      <c r="D1081" s="375">
        <v>200</v>
      </c>
      <c r="E1081" s="190">
        <v>0.27</v>
      </c>
      <c r="F1081" s="190">
        <v>0.05</v>
      </c>
      <c r="G1081" s="190">
        <v>13.46</v>
      </c>
      <c r="H1081" s="190">
        <v>55.46</v>
      </c>
    </row>
    <row r="1082" spans="1:8">
      <c r="A1082" s="219" t="s">
        <v>28</v>
      </c>
      <c r="B1082" s="269">
        <f>C1082</f>
        <v>1</v>
      </c>
      <c r="C1082" s="220">
        <v>1</v>
      </c>
      <c r="D1082" s="376"/>
      <c r="E1082" s="320"/>
      <c r="F1082" s="320"/>
      <c r="G1082" s="320"/>
      <c r="H1082" s="320"/>
    </row>
    <row r="1083" spans="1:8">
      <c r="A1083" s="219" t="s">
        <v>29</v>
      </c>
      <c r="B1083" s="269">
        <f>C1083</f>
        <v>215</v>
      </c>
      <c r="C1083" s="269">
        <v>215</v>
      </c>
      <c r="D1083" s="376"/>
      <c r="E1083" s="320"/>
      <c r="F1083" s="320"/>
      <c r="G1083" s="320"/>
      <c r="H1083" s="320"/>
    </row>
    <row r="1084" spans="1:8">
      <c r="A1084" s="208" t="s">
        <v>26</v>
      </c>
      <c r="B1084" s="269">
        <f>C1084</f>
        <v>13</v>
      </c>
      <c r="C1084" s="269">
        <v>13</v>
      </c>
      <c r="D1084" s="376"/>
      <c r="E1084" s="320"/>
      <c r="F1084" s="320"/>
      <c r="G1084" s="320"/>
      <c r="H1084" s="320"/>
    </row>
    <row r="1085" spans="1:8">
      <c r="A1085" s="208" t="s">
        <v>216</v>
      </c>
      <c r="B1085" s="269">
        <f>C1085</f>
        <v>2</v>
      </c>
      <c r="C1085" s="269">
        <v>2</v>
      </c>
      <c r="D1085" s="376"/>
      <c r="E1085" s="320"/>
      <c r="F1085" s="320"/>
      <c r="G1085" s="320"/>
      <c r="H1085" s="320"/>
    </row>
    <row r="1086" ht="15.75" spans="1:8">
      <c r="A1086" s="326" t="s">
        <v>80</v>
      </c>
      <c r="B1086" s="326"/>
      <c r="C1086" s="326"/>
      <c r="D1086" s="218" t="s">
        <v>81</v>
      </c>
      <c r="E1086" s="327">
        <v>0.4</v>
      </c>
      <c r="F1086" s="190">
        <v>0.1</v>
      </c>
      <c r="G1086" s="190">
        <v>9.3</v>
      </c>
      <c r="H1086" s="190">
        <v>39</v>
      </c>
    </row>
    <row r="1087" ht="18.75" spans="1:8">
      <c r="A1087" s="309" t="s">
        <v>70</v>
      </c>
      <c r="B1087" s="310"/>
      <c r="C1087" s="310"/>
      <c r="D1087" s="311"/>
      <c r="E1087" s="312">
        <f>E1069+E1027+E1007</f>
        <v>47.89</v>
      </c>
      <c r="F1087" s="312">
        <f>F1069+F1027+F1007</f>
        <v>48.66</v>
      </c>
      <c r="G1087" s="312">
        <f>G1069+G1027+G1007</f>
        <v>200.87</v>
      </c>
      <c r="H1087" s="312">
        <f>H1069+H1027+H1007</f>
        <v>1432.12</v>
      </c>
    </row>
    <row r="1088" ht="33" customHeight="1" spans="1:8">
      <c r="A1088" s="174" t="s">
        <v>303</v>
      </c>
      <c r="B1088" s="175"/>
      <c r="C1088" s="175"/>
      <c r="D1088" s="175"/>
      <c r="E1088" s="175"/>
      <c r="F1088" s="175"/>
      <c r="G1088" s="175"/>
      <c r="H1088" s="176"/>
    </row>
    <row r="1089" ht="27" customHeight="1" spans="1:8">
      <c r="A1089" s="177" t="s">
        <v>5</v>
      </c>
      <c r="B1089" s="177" t="s">
        <v>6</v>
      </c>
      <c r="C1089" s="177" t="s">
        <v>7</v>
      </c>
      <c r="D1089" s="178" t="s">
        <v>8</v>
      </c>
      <c r="E1089" s="179" t="s">
        <v>9</v>
      </c>
      <c r="F1089" s="179" t="s">
        <v>10</v>
      </c>
      <c r="G1089" s="179" t="s">
        <v>11</v>
      </c>
      <c r="H1089" s="179" t="s">
        <v>12</v>
      </c>
    </row>
    <row r="1090" ht="18.75" customHeight="1" spans="1:8">
      <c r="A1090" s="180"/>
      <c r="B1090" s="180"/>
      <c r="C1090" s="180"/>
      <c r="D1090" s="181"/>
      <c r="E1090" s="182"/>
      <c r="F1090" s="182"/>
      <c r="G1090" s="182"/>
      <c r="H1090" s="182"/>
    </row>
    <row r="1091" ht="19.5" spans="1:8">
      <c r="A1091" s="183" t="s">
        <v>13</v>
      </c>
      <c r="B1091" s="183"/>
      <c r="C1091" s="183"/>
      <c r="D1091" s="455">
        <v>500</v>
      </c>
      <c r="E1091" s="490">
        <f>SUM(E1092:E1108)</f>
        <v>16.04</v>
      </c>
      <c r="F1091" s="490">
        <f>SUM(F1092:F1108)</f>
        <v>16.28</v>
      </c>
      <c r="G1091" s="490">
        <f>SUM(G1092:G1108)</f>
        <v>66.14</v>
      </c>
      <c r="H1091" s="377">
        <f>SUM(H1092:H1108)</f>
        <v>490.85</v>
      </c>
    </row>
    <row r="1092" s="154" customFormat="1" customHeight="1" spans="1:8">
      <c r="A1092" s="186" t="s">
        <v>72</v>
      </c>
      <c r="B1092" s="187"/>
      <c r="C1092" s="188"/>
      <c r="D1092" s="189" t="s">
        <v>199</v>
      </c>
      <c r="E1092" s="314">
        <v>3.44</v>
      </c>
      <c r="F1092" s="314">
        <v>2.74</v>
      </c>
      <c r="G1092" s="314">
        <v>8.96</v>
      </c>
      <c r="H1092" s="315">
        <v>73.64</v>
      </c>
    </row>
    <row r="1093" s="154" customFormat="1" spans="1:8">
      <c r="A1093" s="318" t="s">
        <v>74</v>
      </c>
      <c r="B1093" s="319">
        <f>C1093*1.01</f>
        <v>12.12</v>
      </c>
      <c r="C1093" s="319">
        <v>12</v>
      </c>
      <c r="D1093" s="197"/>
      <c r="E1093" s="231"/>
      <c r="F1093" s="231"/>
      <c r="G1093" s="231"/>
      <c r="H1093" s="231"/>
    </row>
    <row r="1094" s="154" customFormat="1" spans="1:8">
      <c r="A1094" s="195" t="s">
        <v>17</v>
      </c>
      <c r="B1094" s="196">
        <f>C1094</f>
        <v>18</v>
      </c>
      <c r="C1094" s="196">
        <v>18</v>
      </c>
      <c r="D1094" s="197"/>
      <c r="E1094" s="231"/>
      <c r="F1094" s="231"/>
      <c r="G1094" s="231"/>
      <c r="H1094" s="231"/>
    </row>
    <row r="1095" s="154" customFormat="1" ht="15.75" spans="1:8">
      <c r="A1095" s="204" t="s">
        <v>145</v>
      </c>
      <c r="B1095" s="205"/>
      <c r="C1095" s="206"/>
      <c r="D1095" s="207" t="s">
        <v>304</v>
      </c>
      <c r="E1095" s="190">
        <v>4.23</v>
      </c>
      <c r="F1095" s="190">
        <v>4.58</v>
      </c>
      <c r="G1095" s="190">
        <v>20.13</v>
      </c>
      <c r="H1095" s="190">
        <v>156.69</v>
      </c>
    </row>
    <row r="1096" s="154" customFormat="1" spans="1:8">
      <c r="A1096" s="208" t="s">
        <v>147</v>
      </c>
      <c r="B1096" s="192">
        <f t="shared" ref="B1096:B1099" si="48">C1096</f>
        <v>21</v>
      </c>
      <c r="C1096" s="192">
        <v>21</v>
      </c>
      <c r="D1096" s="193"/>
      <c r="E1096" s="231"/>
      <c r="F1096" s="231"/>
      <c r="G1096" s="231"/>
      <c r="H1096" s="231"/>
    </row>
    <row r="1097" s="154" customFormat="1" spans="1:8">
      <c r="A1097" s="209" t="s">
        <v>23</v>
      </c>
      <c r="B1097" s="192">
        <f t="shared" si="48"/>
        <v>58</v>
      </c>
      <c r="C1097" s="210">
        <v>58</v>
      </c>
      <c r="D1097" s="193"/>
      <c r="E1097" s="231"/>
      <c r="F1097" s="231"/>
      <c r="G1097" s="231"/>
      <c r="H1097" s="231"/>
    </row>
    <row r="1098" s="154" customFormat="1" spans="1:8">
      <c r="A1098" s="212" t="s">
        <v>24</v>
      </c>
      <c r="B1098" s="192">
        <f t="shared" si="48"/>
        <v>105</v>
      </c>
      <c r="C1098" s="210">
        <v>105</v>
      </c>
      <c r="D1098" s="193"/>
      <c r="E1098" s="231"/>
      <c r="F1098" s="231"/>
      <c r="G1098" s="231"/>
      <c r="H1098" s="231"/>
    </row>
    <row r="1099" s="154" customFormat="1" spans="1:8">
      <c r="A1099" s="213" t="s">
        <v>25</v>
      </c>
      <c r="B1099" s="214">
        <f t="shared" si="48"/>
        <v>0.4</v>
      </c>
      <c r="C1099" s="349">
        <v>0.4</v>
      </c>
      <c r="D1099" s="193"/>
      <c r="E1099" s="231"/>
      <c r="F1099" s="231"/>
      <c r="G1099" s="231"/>
      <c r="H1099" s="231"/>
    </row>
    <row r="1100" s="154" customFormat="1" spans="1:8">
      <c r="A1100" s="208" t="s">
        <v>26</v>
      </c>
      <c r="B1100" s="192">
        <f t="shared" ref="B1100:B1101" si="49">C1100</f>
        <v>4.25</v>
      </c>
      <c r="C1100" s="192">
        <v>4.25</v>
      </c>
      <c r="D1100" s="193"/>
      <c r="E1100" s="231"/>
      <c r="F1100" s="231"/>
      <c r="G1100" s="231"/>
      <c r="H1100" s="231"/>
    </row>
    <row r="1101" s="154" customFormat="1" spans="1:8">
      <c r="A1101" s="191" t="s">
        <v>16</v>
      </c>
      <c r="B1101" s="192">
        <f t="shared" si="49"/>
        <v>3</v>
      </c>
      <c r="C1101" s="192">
        <v>3</v>
      </c>
      <c r="D1101" s="193"/>
      <c r="E1101" s="231"/>
      <c r="F1101" s="231"/>
      <c r="G1101" s="231"/>
      <c r="H1101" s="231"/>
    </row>
    <row r="1102" s="154" customFormat="1" ht="15.75" spans="1:8">
      <c r="A1102" s="321" t="s">
        <v>201</v>
      </c>
      <c r="B1102" s="321"/>
      <c r="C1102" s="321"/>
      <c r="D1102" s="322" t="s">
        <v>21</v>
      </c>
      <c r="E1102" s="190">
        <v>4.08</v>
      </c>
      <c r="F1102" s="190">
        <v>4.54</v>
      </c>
      <c r="G1102" s="190">
        <v>17.12</v>
      </c>
      <c r="H1102" s="190">
        <v>117.82</v>
      </c>
    </row>
    <row r="1103" s="154" customFormat="1" spans="1:8">
      <c r="A1103" s="219" t="s">
        <v>202</v>
      </c>
      <c r="B1103" s="269">
        <f>C1103</f>
        <v>4.5</v>
      </c>
      <c r="C1103" s="269">
        <v>4.5</v>
      </c>
      <c r="D1103" s="376"/>
      <c r="E1103" s="231"/>
      <c r="F1103" s="231"/>
      <c r="G1103" s="231"/>
      <c r="H1103" s="231"/>
    </row>
    <row r="1104" s="154" customFormat="1" spans="1:8">
      <c r="A1104" s="219" t="s">
        <v>29</v>
      </c>
      <c r="B1104" s="269">
        <f>C1104</f>
        <v>95</v>
      </c>
      <c r="C1104" s="269">
        <v>95</v>
      </c>
      <c r="D1104" s="376"/>
      <c r="E1104" s="231"/>
      <c r="F1104" s="231"/>
      <c r="G1104" s="231"/>
      <c r="H1104" s="231"/>
    </row>
    <row r="1105" s="154" customFormat="1" spans="1:8">
      <c r="A1105" s="208" t="s">
        <v>26</v>
      </c>
      <c r="B1105" s="269">
        <f>C1105</f>
        <v>12</v>
      </c>
      <c r="C1105" s="269">
        <v>12</v>
      </c>
      <c r="D1105" s="376"/>
      <c r="E1105" s="231"/>
      <c r="F1105" s="231"/>
      <c r="G1105" s="231"/>
      <c r="H1105" s="231"/>
    </row>
    <row r="1106" s="154" customFormat="1" spans="1:8">
      <c r="A1106" s="212" t="s">
        <v>24</v>
      </c>
      <c r="B1106" s="249">
        <f>C1106</f>
        <v>105</v>
      </c>
      <c r="C1106" s="249">
        <v>105</v>
      </c>
      <c r="D1106" s="376"/>
      <c r="E1106" s="231"/>
      <c r="F1106" s="231"/>
      <c r="G1106" s="231"/>
      <c r="H1106" s="231"/>
    </row>
    <row r="1107" s="154" customFormat="1" ht="15.75" spans="1:8">
      <c r="A1107" s="326" t="s">
        <v>203</v>
      </c>
      <c r="B1107" s="326"/>
      <c r="C1107" s="326"/>
      <c r="D1107" s="218" t="s">
        <v>81</v>
      </c>
      <c r="E1107" s="190">
        <v>3.4</v>
      </c>
      <c r="F1107" s="190">
        <v>4.25</v>
      </c>
      <c r="G1107" s="190">
        <v>10.67</v>
      </c>
      <c r="H1107" s="190">
        <v>98.5</v>
      </c>
    </row>
    <row r="1108" s="154" customFormat="1" ht="15.75" spans="1:8">
      <c r="A1108" s="286" t="s">
        <v>59</v>
      </c>
      <c r="B1108" s="287"/>
      <c r="C1108" s="287"/>
      <c r="D1108" s="283">
        <v>20</v>
      </c>
      <c r="E1108" s="619">
        <v>0.89</v>
      </c>
      <c r="F1108" s="619">
        <v>0.17</v>
      </c>
      <c r="G1108" s="619">
        <v>9.26</v>
      </c>
      <c r="H1108" s="619">
        <v>44.2</v>
      </c>
    </row>
    <row r="1109" ht="19.5" spans="1:8">
      <c r="A1109" s="183" t="s">
        <v>32</v>
      </c>
      <c r="B1109" s="232"/>
      <c r="C1109" s="232"/>
      <c r="D1109" s="420">
        <v>730</v>
      </c>
      <c r="E1109" s="377">
        <f>SUM(E1110:E1143)</f>
        <v>24.23</v>
      </c>
      <c r="F1109" s="377">
        <f>SUM(F1110:F1143)</f>
        <v>24.74</v>
      </c>
      <c r="G1109" s="377">
        <f>SUM(G1110:G1143)</f>
        <v>103.53</v>
      </c>
      <c r="H1109" s="377">
        <f>SUM(H1110:H1143)</f>
        <v>738.45</v>
      </c>
    </row>
    <row r="1110" s="154" customFormat="1" ht="15.75" spans="1:8">
      <c r="A1110" s="421" t="s">
        <v>150</v>
      </c>
      <c r="B1110" s="422"/>
      <c r="C1110" s="423"/>
      <c r="D1110" s="369" t="s">
        <v>151</v>
      </c>
      <c r="E1110" s="239">
        <v>7.03</v>
      </c>
      <c r="F1110" s="239">
        <v>5.52</v>
      </c>
      <c r="G1110" s="239">
        <v>21.35</v>
      </c>
      <c r="H1110" s="239">
        <v>144.21</v>
      </c>
    </row>
    <row r="1111" s="154" customFormat="1" spans="1:8">
      <c r="A1111" s="353" t="s">
        <v>152</v>
      </c>
      <c r="B1111" s="296">
        <f>C1111*1.1</f>
        <v>16.104</v>
      </c>
      <c r="C1111" s="296">
        <v>14.64</v>
      </c>
      <c r="D1111" s="369"/>
      <c r="E1111" s="231"/>
      <c r="F1111" s="231"/>
      <c r="G1111" s="231"/>
      <c r="H1111" s="231"/>
    </row>
    <row r="1112" s="154" customFormat="1" spans="1:8">
      <c r="A1112" s="247" t="s">
        <v>36</v>
      </c>
      <c r="B1112" s="241">
        <f>C1112*1.33</f>
        <v>99.75</v>
      </c>
      <c r="C1112" s="241">
        <v>75</v>
      </c>
      <c r="D1112" s="369"/>
      <c r="E1112" s="231"/>
      <c r="F1112" s="231"/>
      <c r="G1112" s="231"/>
      <c r="H1112" s="231"/>
    </row>
    <row r="1113" s="154" customFormat="1" spans="1:8">
      <c r="A1113" s="247" t="s">
        <v>37</v>
      </c>
      <c r="B1113" s="241">
        <f>C1113*1.67</f>
        <v>125.25</v>
      </c>
      <c r="C1113" s="241">
        <v>75</v>
      </c>
      <c r="D1113" s="369"/>
      <c r="E1113" s="231"/>
      <c r="F1113" s="231"/>
      <c r="G1113" s="231"/>
      <c r="H1113" s="231"/>
    </row>
    <row r="1114" s="154" customFormat="1" spans="1:8">
      <c r="A1114" s="247" t="s">
        <v>39</v>
      </c>
      <c r="B1114" s="256">
        <f>C1114*1.25</f>
        <v>25</v>
      </c>
      <c r="C1114" s="336">
        <v>20</v>
      </c>
      <c r="D1114" s="354"/>
      <c r="E1114" s="231"/>
      <c r="F1114" s="231"/>
      <c r="G1114" s="231"/>
      <c r="H1114" s="231"/>
    </row>
    <row r="1115" s="154" customFormat="1" spans="1:8">
      <c r="A1115" s="247" t="s">
        <v>86</v>
      </c>
      <c r="B1115" s="249">
        <f>C1115*1.33</f>
        <v>26.6</v>
      </c>
      <c r="C1115" s="249">
        <v>20</v>
      </c>
      <c r="D1115" s="354"/>
      <c r="E1115" s="231"/>
      <c r="F1115" s="231"/>
      <c r="G1115" s="231"/>
      <c r="H1115" s="231"/>
    </row>
    <row r="1116" s="154" customFormat="1" spans="1:8">
      <c r="A1116" s="424" t="s">
        <v>40</v>
      </c>
      <c r="B1116" s="425">
        <f>C1116*1.19</f>
        <v>17.85</v>
      </c>
      <c r="C1116" s="316">
        <v>15</v>
      </c>
      <c r="D1116" s="354"/>
      <c r="E1116" s="231"/>
      <c r="F1116" s="231"/>
      <c r="G1116" s="231"/>
      <c r="H1116" s="231"/>
    </row>
    <row r="1117" s="154" customFormat="1" spans="1:8">
      <c r="A1117" s="212" t="s">
        <v>24</v>
      </c>
      <c r="B1117" s="210">
        <f>C1117</f>
        <v>30</v>
      </c>
      <c r="C1117" s="210">
        <v>30</v>
      </c>
      <c r="D1117" s="426"/>
      <c r="E1117" s="231"/>
      <c r="F1117" s="231"/>
      <c r="G1117" s="231"/>
      <c r="H1117" s="231"/>
    </row>
    <row r="1118" s="154" customFormat="1" spans="1:8">
      <c r="A1118" s="427" t="s">
        <v>29</v>
      </c>
      <c r="B1118" s="210">
        <f>C1118</f>
        <v>80</v>
      </c>
      <c r="C1118" s="210">
        <v>80</v>
      </c>
      <c r="D1118" s="426"/>
      <c r="E1118" s="231"/>
      <c r="F1118" s="231"/>
      <c r="G1118" s="231"/>
      <c r="H1118" s="231"/>
    </row>
    <row r="1119" s="154" customFormat="1" spans="1:8">
      <c r="A1119" s="191" t="s">
        <v>16</v>
      </c>
      <c r="B1119" s="210">
        <f>C1119</f>
        <v>3</v>
      </c>
      <c r="C1119" s="210">
        <v>3</v>
      </c>
      <c r="D1119" s="426"/>
      <c r="E1119" s="231"/>
      <c r="F1119" s="231"/>
      <c r="G1119" s="231"/>
      <c r="H1119" s="231"/>
    </row>
    <row r="1120" s="154" customFormat="1" spans="1:8">
      <c r="A1120" s="213" t="s">
        <v>25</v>
      </c>
      <c r="B1120" s="214">
        <f>C1120</f>
        <v>0.6</v>
      </c>
      <c r="C1120" s="285">
        <v>0.6</v>
      </c>
      <c r="D1120" s="428"/>
      <c r="E1120" s="231"/>
      <c r="F1120" s="231"/>
      <c r="G1120" s="231"/>
      <c r="H1120" s="231"/>
    </row>
    <row r="1121" s="154" customFormat="1" spans="1:8">
      <c r="A1121" s="195" t="s">
        <v>93</v>
      </c>
      <c r="B1121" s="285">
        <f>C1121*1.6</f>
        <v>16</v>
      </c>
      <c r="C1121" s="285">
        <v>10</v>
      </c>
      <c r="D1121" s="428"/>
      <c r="E1121" s="231"/>
      <c r="F1121" s="231"/>
      <c r="G1121" s="231"/>
      <c r="H1121" s="231"/>
    </row>
    <row r="1122" s="154" customFormat="1" ht="15.75" spans="1:8">
      <c r="A1122" s="555" t="s">
        <v>305</v>
      </c>
      <c r="B1122" s="556"/>
      <c r="C1122" s="557"/>
      <c r="D1122" s="399">
        <v>90</v>
      </c>
      <c r="E1122" s="190">
        <v>9.74</v>
      </c>
      <c r="F1122" s="190">
        <v>14.13</v>
      </c>
      <c r="G1122" s="190">
        <v>3.33</v>
      </c>
      <c r="H1122" s="190">
        <v>175.42</v>
      </c>
    </row>
    <row r="1123" s="154" customFormat="1" spans="1:8">
      <c r="A1123" s="424" t="s">
        <v>92</v>
      </c>
      <c r="B1123" s="252">
        <f>C1123*1.05</f>
        <v>73.5</v>
      </c>
      <c r="C1123" s="252">
        <f>C1124*1.4</f>
        <v>70</v>
      </c>
      <c r="D1123" s="308"/>
      <c r="E1123" s="231"/>
      <c r="F1123" s="231"/>
      <c r="G1123" s="231"/>
      <c r="H1123" s="231"/>
    </row>
    <row r="1124" s="154" customFormat="1" spans="1:8">
      <c r="A1124" s="507" t="s">
        <v>213</v>
      </c>
      <c r="B1124" s="508"/>
      <c r="C1124" s="469">
        <v>50</v>
      </c>
      <c r="D1124" s="308"/>
      <c r="E1124" s="231"/>
      <c r="F1124" s="231"/>
      <c r="G1124" s="231"/>
      <c r="H1124" s="231"/>
    </row>
    <row r="1125" s="154" customFormat="1" spans="1:8">
      <c r="A1125" s="401" t="s">
        <v>124</v>
      </c>
      <c r="B1125" s="262">
        <f>C1125</f>
        <v>5</v>
      </c>
      <c r="C1125" s="269">
        <v>5</v>
      </c>
      <c r="D1125" s="197"/>
      <c r="E1125" s="231"/>
      <c r="F1125" s="231"/>
      <c r="G1125" s="231"/>
      <c r="H1125" s="231"/>
    </row>
    <row r="1126" s="154" customFormat="1" spans="1:8">
      <c r="A1126" s="247" t="s">
        <v>40</v>
      </c>
      <c r="B1126" s="249">
        <f>C1126*1.19</f>
        <v>7.14</v>
      </c>
      <c r="C1126" s="249">
        <v>6</v>
      </c>
      <c r="D1126" s="197"/>
      <c r="E1126" s="231"/>
      <c r="F1126" s="231"/>
      <c r="G1126" s="231"/>
      <c r="H1126" s="231"/>
    </row>
    <row r="1127" s="154" customFormat="1" spans="1:8">
      <c r="A1127" s="247" t="s">
        <v>87</v>
      </c>
      <c r="B1127" s="249">
        <f>C1127*1.9</f>
        <v>17.1</v>
      </c>
      <c r="C1127" s="249">
        <v>9</v>
      </c>
      <c r="D1127" s="197"/>
      <c r="E1127" s="231"/>
      <c r="F1127" s="231"/>
      <c r="G1127" s="231"/>
      <c r="H1127" s="231"/>
    </row>
    <row r="1128" s="154" customFormat="1" spans="1:8">
      <c r="A1128" s="219" t="s">
        <v>263</v>
      </c>
      <c r="B1128" s="249">
        <f>C1128</f>
        <v>2.5</v>
      </c>
      <c r="C1128" s="249">
        <v>2.5</v>
      </c>
      <c r="D1128" s="197"/>
      <c r="E1128" s="231"/>
      <c r="F1128" s="231"/>
      <c r="G1128" s="231"/>
      <c r="H1128" s="231"/>
    </row>
    <row r="1129" s="154" customFormat="1" spans="1:8">
      <c r="A1129" s="247" t="s">
        <v>51</v>
      </c>
      <c r="B1129" s="249">
        <f>C1129</f>
        <v>4</v>
      </c>
      <c r="C1129" s="249">
        <v>4</v>
      </c>
      <c r="D1129" s="197"/>
      <c r="E1129" s="231"/>
      <c r="F1129" s="231"/>
      <c r="G1129" s="231"/>
      <c r="H1129" s="231"/>
    </row>
    <row r="1130" s="154" customFormat="1" spans="1:8">
      <c r="A1130" s="213" t="s">
        <v>25</v>
      </c>
      <c r="B1130" s="214">
        <f>C1130</f>
        <v>0.87</v>
      </c>
      <c r="C1130" s="210">
        <v>0.87</v>
      </c>
      <c r="D1130" s="197"/>
      <c r="E1130" s="231"/>
      <c r="F1130" s="231"/>
      <c r="G1130" s="231"/>
      <c r="H1130" s="231"/>
    </row>
    <row r="1131" s="154" customFormat="1" spans="1:8">
      <c r="A1131" s="247" t="s">
        <v>29</v>
      </c>
      <c r="B1131" s="249">
        <f>C1131</f>
        <v>40</v>
      </c>
      <c r="C1131" s="249">
        <v>40</v>
      </c>
      <c r="D1131" s="197"/>
      <c r="E1131" s="231"/>
      <c r="F1131" s="231"/>
      <c r="G1131" s="231"/>
      <c r="H1131" s="231"/>
    </row>
    <row r="1132" s="154" customFormat="1" ht="15.75" spans="1:8">
      <c r="A1132" s="326" t="s">
        <v>306</v>
      </c>
      <c r="B1132" s="326"/>
      <c r="C1132" s="326"/>
      <c r="D1132" s="442">
        <v>150</v>
      </c>
      <c r="E1132" s="190">
        <v>3.68</v>
      </c>
      <c r="F1132" s="190">
        <v>4.49</v>
      </c>
      <c r="G1132" s="190">
        <v>37.49</v>
      </c>
      <c r="H1132" s="190">
        <v>189.63</v>
      </c>
    </row>
    <row r="1133" s="154" customFormat="1" spans="1:8">
      <c r="A1133" s="443" t="s">
        <v>165</v>
      </c>
      <c r="B1133" s="249">
        <f>C1133</f>
        <v>52.5</v>
      </c>
      <c r="C1133" s="249">
        <v>52.5</v>
      </c>
      <c r="D1133" s="444"/>
      <c r="E1133" s="231"/>
      <c r="F1133" s="231"/>
      <c r="G1133" s="231"/>
      <c r="H1133" s="231"/>
    </row>
    <row r="1134" s="163" customFormat="1" spans="1:8">
      <c r="A1134" s="213" t="s">
        <v>25</v>
      </c>
      <c r="B1134" s="214">
        <f>C1134</f>
        <v>0.9</v>
      </c>
      <c r="C1134" s="285">
        <v>0.9</v>
      </c>
      <c r="D1134" s="444"/>
      <c r="E1134" s="398"/>
      <c r="F1134" s="398"/>
      <c r="G1134" s="398"/>
      <c r="H1134" s="398"/>
    </row>
    <row r="1135" s="163" customFormat="1" spans="1:8">
      <c r="A1135" s="620" t="s">
        <v>29</v>
      </c>
      <c r="B1135" s="214">
        <f>C1135</f>
        <v>105</v>
      </c>
      <c r="C1135" s="285">
        <v>105</v>
      </c>
      <c r="D1135" s="444"/>
      <c r="E1135" s="398"/>
      <c r="F1135" s="398"/>
      <c r="G1135" s="398"/>
      <c r="H1135" s="398"/>
    </row>
    <row r="1136" s="158" customFormat="1" spans="1:8">
      <c r="A1136" s="209" t="s">
        <v>51</v>
      </c>
      <c r="B1136" s="249">
        <f>C1136</f>
        <v>4</v>
      </c>
      <c r="C1136" s="249">
        <v>4</v>
      </c>
      <c r="D1136" s="197"/>
      <c r="E1136" s="243"/>
      <c r="F1136" s="243"/>
      <c r="G1136" s="243"/>
      <c r="H1136" s="243"/>
    </row>
    <row r="1137" s="158" customFormat="1" ht="15.75" spans="1:8">
      <c r="A1137" s="280" t="s">
        <v>307</v>
      </c>
      <c r="B1137" s="281"/>
      <c r="C1137" s="282"/>
      <c r="D1137" s="283">
        <v>200</v>
      </c>
      <c r="E1137" s="284">
        <v>0.87</v>
      </c>
      <c r="F1137" s="284">
        <v>0.03</v>
      </c>
      <c r="G1137" s="284">
        <v>11.43</v>
      </c>
      <c r="H1137" s="284">
        <v>85.91</v>
      </c>
    </row>
    <row r="1138" s="158" customFormat="1" spans="1:8">
      <c r="A1138" s="247" t="s">
        <v>58</v>
      </c>
      <c r="B1138" s="249">
        <f>C1138</f>
        <v>13</v>
      </c>
      <c r="C1138" s="249">
        <v>13</v>
      </c>
      <c r="D1138" s="270"/>
      <c r="E1138" s="243"/>
      <c r="F1138" s="243"/>
      <c r="G1138" s="243"/>
      <c r="H1138" s="243"/>
    </row>
    <row r="1139" s="158" customFormat="1" spans="1:8">
      <c r="A1139" s="208" t="s">
        <v>26</v>
      </c>
      <c r="B1139" s="249">
        <f>C1139</f>
        <v>11</v>
      </c>
      <c r="C1139" s="249">
        <v>11</v>
      </c>
      <c r="D1139" s="270"/>
      <c r="E1139" s="243"/>
      <c r="F1139" s="243"/>
      <c r="G1139" s="243"/>
      <c r="H1139" s="243"/>
    </row>
    <row r="1140" s="158" customFormat="1" spans="1:8">
      <c r="A1140" s="247"/>
      <c r="B1140" s="269"/>
      <c r="C1140" s="192"/>
      <c r="D1140" s="537"/>
      <c r="E1140" s="243"/>
      <c r="F1140" s="243"/>
      <c r="G1140" s="243"/>
      <c r="H1140" s="243"/>
    </row>
    <row r="1141" s="158" customFormat="1" spans="1:8">
      <c r="A1141" s="247" t="s">
        <v>29</v>
      </c>
      <c r="B1141" s="249">
        <f>C1141</f>
        <v>230</v>
      </c>
      <c r="C1141" s="249">
        <v>230</v>
      </c>
      <c r="D1141" s="270"/>
      <c r="E1141" s="243"/>
      <c r="F1141" s="243"/>
      <c r="G1141" s="243"/>
      <c r="H1141" s="243"/>
    </row>
    <row r="1142" s="158" customFormat="1" ht="15.75" spans="1:8">
      <c r="A1142" s="225" t="s">
        <v>30</v>
      </c>
      <c r="B1142" s="249"/>
      <c r="C1142" s="285"/>
      <c r="D1142" s="230">
        <v>20</v>
      </c>
      <c r="E1142" s="190">
        <v>1.12</v>
      </c>
      <c r="F1142" s="190">
        <v>0.22</v>
      </c>
      <c r="G1142" s="190">
        <v>11.58</v>
      </c>
      <c r="H1142" s="190">
        <v>55.28</v>
      </c>
    </row>
    <row r="1143" s="158" customFormat="1" ht="15.75" spans="1:8">
      <c r="A1143" s="286" t="s">
        <v>59</v>
      </c>
      <c r="B1143" s="287"/>
      <c r="C1143" s="287"/>
      <c r="D1143" s="283">
        <v>40</v>
      </c>
      <c r="E1143" s="190">
        <v>1.79</v>
      </c>
      <c r="F1143" s="190">
        <v>0.35</v>
      </c>
      <c r="G1143" s="190">
        <v>18.35</v>
      </c>
      <c r="H1143" s="190">
        <v>88</v>
      </c>
    </row>
    <row r="1144" ht="19.5" spans="1:8">
      <c r="A1144" s="183" t="s">
        <v>60</v>
      </c>
      <c r="B1144" s="288"/>
      <c r="C1144" s="288"/>
      <c r="D1144" s="392">
        <f>D1145+D1165+D1167</f>
        <v>370</v>
      </c>
      <c r="E1144" s="377">
        <f>SUM(E1145:E1167)</f>
        <v>7.71</v>
      </c>
      <c r="F1144" s="377">
        <f>SUM(F1145:F1167)</f>
        <v>8.09</v>
      </c>
      <c r="G1144" s="377">
        <f>SUM(G1145:G1167)</f>
        <v>34.58</v>
      </c>
      <c r="H1144" s="377">
        <f>SUM(H1145:H1167)</f>
        <v>235.63</v>
      </c>
    </row>
    <row r="1145" s="154" customFormat="1" ht="15.75" spans="1:8">
      <c r="A1145" s="621" t="s">
        <v>308</v>
      </c>
      <c r="B1145" s="621"/>
      <c r="C1145" s="621"/>
      <c r="D1145" s="431">
        <v>70</v>
      </c>
      <c r="E1145" s="291">
        <v>2.51</v>
      </c>
      <c r="F1145" s="291">
        <v>5.45</v>
      </c>
      <c r="G1145" s="291">
        <v>17.25</v>
      </c>
      <c r="H1145" s="291">
        <v>131.63</v>
      </c>
    </row>
    <row r="1146" s="154" customFormat="1" spans="1:8">
      <c r="A1146" s="622" t="s">
        <v>309</v>
      </c>
      <c r="B1146" s="598"/>
      <c r="C1146" s="599">
        <f>SUM(C1147:C1153)</f>
        <v>49.574</v>
      </c>
      <c r="D1146" s="623"/>
      <c r="E1146" s="231"/>
      <c r="F1146" s="231"/>
      <c r="G1146" s="231"/>
      <c r="H1146" s="231"/>
    </row>
    <row r="1147" s="154" customFormat="1" spans="1:8">
      <c r="A1147" s="561" t="s">
        <v>263</v>
      </c>
      <c r="B1147" s="249">
        <f t="shared" ref="B1147:B1153" si="50">C1147</f>
        <v>26.74</v>
      </c>
      <c r="C1147" s="285">
        <v>26.74</v>
      </c>
      <c r="D1147" s="624"/>
      <c r="E1147" s="231"/>
      <c r="F1147" s="231"/>
      <c r="G1147" s="231"/>
      <c r="H1147" s="231"/>
    </row>
    <row r="1148" s="154" customFormat="1" spans="1:8">
      <c r="A1148" s="208" t="s">
        <v>26</v>
      </c>
      <c r="B1148" s="249">
        <f t="shared" si="50"/>
        <v>3.052</v>
      </c>
      <c r="C1148" s="297">
        <v>3.052</v>
      </c>
      <c r="D1148" s="624"/>
      <c r="E1148" s="231"/>
      <c r="F1148" s="231"/>
      <c r="G1148" s="231"/>
      <c r="H1148" s="231"/>
    </row>
    <row r="1149" s="154" customFormat="1" spans="1:8">
      <c r="A1149" s="348" t="s">
        <v>51</v>
      </c>
      <c r="B1149" s="249">
        <f t="shared" si="50"/>
        <v>6.314</v>
      </c>
      <c r="C1149" s="297">
        <v>6.314</v>
      </c>
      <c r="D1149" s="624"/>
      <c r="E1149" s="231"/>
      <c r="F1149" s="231"/>
      <c r="G1149" s="231"/>
      <c r="H1149" s="231"/>
    </row>
    <row r="1150" s="154" customFormat="1" spans="1:8">
      <c r="A1150" s="213" t="s">
        <v>25</v>
      </c>
      <c r="B1150" s="214">
        <f t="shared" si="50"/>
        <v>0.238</v>
      </c>
      <c r="C1150" s="297">
        <v>0.238</v>
      </c>
      <c r="D1150" s="624"/>
      <c r="E1150" s="231"/>
      <c r="F1150" s="231"/>
      <c r="G1150" s="231"/>
      <c r="H1150" s="231"/>
    </row>
    <row r="1151" s="154" customFormat="1" spans="1:8">
      <c r="A1151" s="451" t="s">
        <v>172</v>
      </c>
      <c r="B1151" s="625">
        <f t="shared" si="50"/>
        <v>0.35</v>
      </c>
      <c r="C1151" s="625">
        <v>0.35</v>
      </c>
      <c r="D1151" s="624"/>
      <c r="E1151" s="231"/>
      <c r="F1151" s="231"/>
      <c r="G1151" s="231"/>
      <c r="H1151" s="231"/>
    </row>
    <row r="1152" s="154" customFormat="1" ht="0.75" customHeight="1" spans="1:8">
      <c r="A1152" s="212"/>
      <c r="B1152" s="297"/>
      <c r="C1152" s="297">
        <v>0</v>
      </c>
      <c r="D1152" s="624"/>
      <c r="E1152" s="231"/>
      <c r="F1152" s="231"/>
      <c r="G1152" s="231"/>
      <c r="H1152" s="231"/>
    </row>
    <row r="1153" s="154" customFormat="1" spans="1:8">
      <c r="A1153" s="454" t="s">
        <v>29</v>
      </c>
      <c r="B1153" s="297">
        <f t="shared" si="50"/>
        <v>12.88</v>
      </c>
      <c r="C1153" s="297">
        <v>12.88</v>
      </c>
      <c r="D1153" s="624"/>
      <c r="E1153" s="231"/>
      <c r="F1153" s="231"/>
      <c r="G1153" s="231"/>
      <c r="H1153" s="231"/>
    </row>
    <row r="1154" s="154" customFormat="1" spans="1:8">
      <c r="A1154" s="622" t="s">
        <v>310</v>
      </c>
      <c r="B1154" s="626"/>
      <c r="C1154" s="598"/>
      <c r="D1154" s="623"/>
      <c r="E1154" s="231"/>
      <c r="F1154" s="231"/>
      <c r="G1154" s="231"/>
      <c r="H1154" s="231"/>
    </row>
    <row r="1155" s="154" customFormat="1" spans="1:8">
      <c r="A1155" s="247" t="s">
        <v>36</v>
      </c>
      <c r="B1155" s="241">
        <f>C1155*1.33</f>
        <v>46.55</v>
      </c>
      <c r="C1155" s="241">
        <v>35</v>
      </c>
      <c r="D1155" s="623"/>
      <c r="E1155" s="231"/>
      <c r="F1155" s="231"/>
      <c r="G1155" s="231"/>
      <c r="H1155" s="231"/>
    </row>
    <row r="1156" s="154" customFormat="1" spans="1:8">
      <c r="A1156" s="247" t="s">
        <v>37</v>
      </c>
      <c r="B1156" s="241">
        <f>C1156*1.67</f>
        <v>58.45</v>
      </c>
      <c r="C1156" s="241">
        <v>35</v>
      </c>
      <c r="D1156" s="623"/>
      <c r="E1156" s="231"/>
      <c r="F1156" s="231"/>
      <c r="G1156" s="231"/>
      <c r="H1156" s="231"/>
    </row>
    <row r="1157" s="154" customFormat="1" ht="0.75" customHeight="1" spans="1:8">
      <c r="A1157" s="212"/>
      <c r="B1157" s="297"/>
      <c r="C1157" s="297"/>
      <c r="D1157" s="623"/>
      <c r="E1157" s="231"/>
      <c r="F1157" s="231"/>
      <c r="G1157" s="231"/>
      <c r="H1157" s="231"/>
    </row>
    <row r="1158" s="154" customFormat="1" spans="1:8">
      <c r="A1158" s="213" t="s">
        <v>25</v>
      </c>
      <c r="B1158" s="214">
        <f>C1158</f>
        <v>0.3</v>
      </c>
      <c r="C1158" s="297">
        <v>0.3</v>
      </c>
      <c r="D1158" s="623"/>
      <c r="E1158" s="231"/>
      <c r="F1158" s="231"/>
      <c r="G1158" s="231"/>
      <c r="H1158" s="231"/>
    </row>
    <row r="1159" s="154" customFormat="1" spans="1:8">
      <c r="A1159" s="627" t="s">
        <v>311</v>
      </c>
      <c r="B1159" s="598"/>
      <c r="C1159" s="598">
        <f>C1156</f>
        <v>35</v>
      </c>
      <c r="D1159" s="623"/>
      <c r="E1159" s="231"/>
      <c r="F1159" s="231"/>
      <c r="G1159" s="231"/>
      <c r="H1159" s="231"/>
    </row>
    <row r="1160" s="154" customFormat="1" spans="1:8">
      <c r="A1160" s="400" t="s">
        <v>312</v>
      </c>
      <c r="B1160" s="297">
        <f t="shared" ref="B1160:B1164" si="51">C1160</f>
        <v>1</v>
      </c>
      <c r="C1160" s="297">
        <v>1</v>
      </c>
      <c r="D1160" s="623"/>
      <c r="E1160" s="231"/>
      <c r="F1160" s="231"/>
      <c r="G1160" s="231"/>
      <c r="H1160" s="231"/>
    </row>
    <row r="1161" s="154" customFormat="1" spans="1:8">
      <c r="A1161" s="424" t="s">
        <v>313</v>
      </c>
      <c r="B1161" s="316">
        <f t="shared" si="51"/>
        <v>3</v>
      </c>
      <c r="C1161" s="316">
        <v>3</v>
      </c>
      <c r="D1161" s="623"/>
      <c r="E1161" s="231"/>
      <c r="F1161" s="231"/>
      <c r="G1161" s="231"/>
      <c r="H1161" s="231"/>
    </row>
    <row r="1162" s="154" customFormat="1" spans="1:8">
      <c r="A1162" s="628" t="s">
        <v>54</v>
      </c>
      <c r="B1162" s="629"/>
      <c r="C1162" s="630">
        <f>C1159+C1146</f>
        <v>84.574</v>
      </c>
      <c r="D1162" s="623"/>
      <c r="E1162" s="231"/>
      <c r="F1162" s="231"/>
      <c r="G1162" s="231"/>
      <c r="H1162" s="231"/>
    </row>
    <row r="1163" s="163" customFormat="1" spans="1:8">
      <c r="A1163" s="295" t="s">
        <v>254</v>
      </c>
      <c r="B1163" s="316">
        <f>C1163</f>
        <v>1</v>
      </c>
      <c r="C1163" s="316">
        <v>1</v>
      </c>
      <c r="D1163" s="631"/>
      <c r="E1163" s="398"/>
      <c r="F1163" s="398"/>
      <c r="G1163" s="398"/>
      <c r="H1163" s="398"/>
    </row>
    <row r="1164" s="154" customFormat="1" spans="1:8">
      <c r="A1164" s="632" t="s">
        <v>95</v>
      </c>
      <c r="B1164" s="297">
        <f t="shared" si="51"/>
        <v>0.5</v>
      </c>
      <c r="C1164" s="297">
        <v>0.5</v>
      </c>
      <c r="D1164" s="623"/>
      <c r="E1164" s="231"/>
      <c r="F1164" s="231"/>
      <c r="G1164" s="231"/>
      <c r="H1164" s="231"/>
    </row>
    <row r="1165" s="154" customFormat="1" ht="15.75" spans="1:8">
      <c r="A1165" s="452" t="s">
        <v>173</v>
      </c>
      <c r="B1165" s="278"/>
      <c r="C1165" s="278"/>
      <c r="D1165" s="453">
        <v>200</v>
      </c>
      <c r="E1165" s="239">
        <v>4.8</v>
      </c>
      <c r="F1165" s="239">
        <v>2.54</v>
      </c>
      <c r="G1165" s="239">
        <v>8.03</v>
      </c>
      <c r="H1165" s="239">
        <v>65</v>
      </c>
    </row>
    <row r="1166" s="154" customFormat="1" spans="1:8">
      <c r="A1166" s="454" t="s">
        <v>174</v>
      </c>
      <c r="B1166" s="249">
        <v>200</v>
      </c>
      <c r="C1166" s="249">
        <v>200</v>
      </c>
      <c r="D1166" s="221"/>
      <c r="E1166" s="231"/>
      <c r="F1166" s="231"/>
      <c r="G1166" s="231"/>
      <c r="H1166" s="231"/>
    </row>
    <row r="1167" s="154" customFormat="1" ht="15.75" spans="1:8">
      <c r="A1167" s="326" t="s">
        <v>80</v>
      </c>
      <c r="B1167" s="269">
        <f>C1167</f>
        <v>100</v>
      </c>
      <c r="C1167" s="269">
        <v>100</v>
      </c>
      <c r="D1167" s="283">
        <v>100</v>
      </c>
      <c r="E1167" s="327">
        <v>0.4</v>
      </c>
      <c r="F1167" s="190">
        <v>0.1</v>
      </c>
      <c r="G1167" s="190">
        <v>9.3</v>
      </c>
      <c r="H1167" s="190">
        <v>39</v>
      </c>
    </row>
    <row r="1168" ht="18.75" spans="1:8">
      <c r="A1168" s="309" t="s">
        <v>70</v>
      </c>
      <c r="B1168" s="310"/>
      <c r="C1168" s="310"/>
      <c r="D1168" s="311"/>
      <c r="E1168" s="312">
        <f>E1144+E1109+E1091</f>
        <v>47.98</v>
      </c>
      <c r="F1168" s="312">
        <f>F1144+F1109+F1091</f>
        <v>49.11</v>
      </c>
      <c r="G1168" s="312">
        <f>G1144+G1109+G1091</f>
        <v>204.25</v>
      </c>
      <c r="H1168" s="312">
        <f>H1144+H1109+H1091</f>
        <v>1464.93</v>
      </c>
    </row>
    <row r="1169" ht="24.75" customHeight="1" spans="1:8">
      <c r="A1169" s="174" t="s">
        <v>314</v>
      </c>
      <c r="B1169" s="175"/>
      <c r="C1169" s="175"/>
      <c r="D1169" s="175"/>
      <c r="E1169" s="175"/>
      <c r="F1169" s="175"/>
      <c r="G1169" s="175"/>
      <c r="H1169" s="176"/>
    </row>
    <row r="1170" ht="24.75" customHeight="1" spans="1:8">
      <c r="A1170" s="177" t="s">
        <v>5</v>
      </c>
      <c r="B1170" s="177" t="s">
        <v>6</v>
      </c>
      <c r="C1170" s="177" t="s">
        <v>7</v>
      </c>
      <c r="D1170" s="178" t="s">
        <v>8</v>
      </c>
      <c r="E1170" s="179" t="s">
        <v>9</v>
      </c>
      <c r="F1170" s="179" t="s">
        <v>10</v>
      </c>
      <c r="G1170" s="179" t="s">
        <v>11</v>
      </c>
      <c r="H1170" s="179" t="s">
        <v>12</v>
      </c>
    </row>
    <row r="1171" ht="24.75" customHeight="1" spans="1:8">
      <c r="A1171" s="180"/>
      <c r="B1171" s="180"/>
      <c r="C1171" s="180"/>
      <c r="D1171" s="181"/>
      <c r="E1171" s="182"/>
      <c r="F1171" s="182"/>
      <c r="G1171" s="182"/>
      <c r="H1171" s="182"/>
    </row>
    <row r="1172" ht="19.5" spans="1:8">
      <c r="A1172" s="183" t="s">
        <v>13</v>
      </c>
      <c r="B1172" s="183"/>
      <c r="C1172" s="183"/>
      <c r="D1172" s="455"/>
      <c r="E1172" s="377">
        <f>SUM(E1173:E1189)</f>
        <v>14.67</v>
      </c>
      <c r="F1172" s="377">
        <f>SUM(F1173:F1189)</f>
        <v>15.04</v>
      </c>
      <c r="G1172" s="377">
        <f>SUM(G1173:G1189)</f>
        <v>64.15</v>
      </c>
      <c r="H1172" s="377">
        <f>SUM(H1173:H1189)</f>
        <v>450.44</v>
      </c>
    </row>
    <row r="1173" s="154" customFormat="1" ht="15.75" spans="1:8">
      <c r="A1173" s="600" t="s">
        <v>315</v>
      </c>
      <c r="B1173" s="302"/>
      <c r="C1173" s="302"/>
      <c r="D1173" s="218" t="s">
        <v>110</v>
      </c>
      <c r="E1173" s="190">
        <v>5.92</v>
      </c>
      <c r="F1173" s="190">
        <v>7.62</v>
      </c>
      <c r="G1173" s="190">
        <v>11.69</v>
      </c>
      <c r="H1173" s="190">
        <v>117.84</v>
      </c>
    </row>
    <row r="1174" s="154" customFormat="1" spans="1:8">
      <c r="A1174" s="195" t="s">
        <v>17</v>
      </c>
      <c r="B1174" s="302">
        <f>C1174</f>
        <v>18</v>
      </c>
      <c r="C1174" s="302">
        <v>18</v>
      </c>
      <c r="D1174" s="218"/>
      <c r="E1174" s="231"/>
      <c r="F1174" s="231"/>
      <c r="G1174" s="231"/>
      <c r="H1174" s="231"/>
    </row>
    <row r="1175" s="154" customFormat="1" spans="1:8">
      <c r="A1175" s="191" t="s">
        <v>16</v>
      </c>
      <c r="B1175" s="302">
        <f>C1175</f>
        <v>5</v>
      </c>
      <c r="C1175" s="319">
        <v>5</v>
      </c>
      <c r="D1175" s="334"/>
      <c r="E1175" s="231"/>
      <c r="F1175" s="231"/>
      <c r="G1175" s="231"/>
      <c r="H1175" s="231"/>
    </row>
    <row r="1176" s="154" customFormat="1" spans="1:8">
      <c r="A1176" s="318" t="s">
        <v>74</v>
      </c>
      <c r="B1176" s="319">
        <f>C1176*1.01</f>
        <v>10.1</v>
      </c>
      <c r="C1176" s="319">
        <v>10</v>
      </c>
      <c r="D1176" s="197"/>
      <c r="E1176" s="231"/>
      <c r="F1176" s="231"/>
      <c r="G1176" s="231"/>
      <c r="H1176" s="231"/>
    </row>
    <row r="1177" s="154" customFormat="1" ht="15.75" spans="1:8">
      <c r="A1177" s="204" t="s">
        <v>178</v>
      </c>
      <c r="B1177" s="205"/>
      <c r="C1177" s="206"/>
      <c r="D1177" s="207" t="s">
        <v>76</v>
      </c>
      <c r="E1177" s="190">
        <v>7.03</v>
      </c>
      <c r="F1177" s="190">
        <v>7.05</v>
      </c>
      <c r="G1177" s="190">
        <v>21.54</v>
      </c>
      <c r="H1177" s="190">
        <v>197</v>
      </c>
    </row>
    <row r="1178" s="154" customFormat="1" spans="1:8">
      <c r="A1178" s="212" t="s">
        <v>180</v>
      </c>
      <c r="B1178" s="192">
        <f t="shared" ref="B1178:B1183" si="52">C1178</f>
        <v>22.5</v>
      </c>
      <c r="C1178" s="192">
        <v>22.5</v>
      </c>
      <c r="D1178" s="193"/>
      <c r="E1178" s="231"/>
      <c r="F1178" s="231"/>
      <c r="G1178" s="231"/>
      <c r="H1178" s="231"/>
    </row>
    <row r="1179" s="154" customFormat="1" spans="1:8">
      <c r="A1179" s="209" t="s">
        <v>23</v>
      </c>
      <c r="B1179" s="192">
        <f t="shared" si="52"/>
        <v>62</v>
      </c>
      <c r="C1179" s="210">
        <v>62</v>
      </c>
      <c r="D1179" s="193"/>
      <c r="E1179" s="231"/>
      <c r="F1179" s="231"/>
      <c r="G1179" s="231"/>
      <c r="H1179" s="231"/>
    </row>
    <row r="1180" s="154" customFormat="1" spans="1:8">
      <c r="A1180" s="212" t="s">
        <v>24</v>
      </c>
      <c r="B1180" s="192">
        <f t="shared" si="52"/>
        <v>102</v>
      </c>
      <c r="C1180" s="210">
        <v>102</v>
      </c>
      <c r="D1180" s="193"/>
      <c r="E1180" s="231"/>
      <c r="F1180" s="231"/>
      <c r="G1180" s="231"/>
      <c r="H1180" s="231"/>
    </row>
    <row r="1181" s="154" customFormat="1" spans="1:8">
      <c r="A1181" s="208" t="s">
        <v>26</v>
      </c>
      <c r="B1181" s="192">
        <f t="shared" si="52"/>
        <v>4</v>
      </c>
      <c r="C1181" s="192">
        <v>4</v>
      </c>
      <c r="D1181" s="193"/>
      <c r="E1181" s="231"/>
      <c r="F1181" s="231"/>
      <c r="G1181" s="231"/>
      <c r="H1181" s="231"/>
    </row>
    <row r="1182" s="154" customFormat="1" spans="1:8">
      <c r="A1182" s="213" t="s">
        <v>25</v>
      </c>
      <c r="B1182" s="214">
        <f t="shared" si="52"/>
        <v>0.3</v>
      </c>
      <c r="C1182" s="297">
        <v>0.3</v>
      </c>
      <c r="D1182" s="193"/>
      <c r="E1182" s="231"/>
      <c r="F1182" s="231"/>
      <c r="G1182" s="231"/>
      <c r="H1182" s="231"/>
    </row>
    <row r="1183" s="154" customFormat="1" spans="1:8">
      <c r="A1183" s="191" t="s">
        <v>16</v>
      </c>
      <c r="B1183" s="192">
        <f t="shared" si="52"/>
        <v>3</v>
      </c>
      <c r="C1183" s="192">
        <v>3</v>
      </c>
      <c r="D1183" s="193"/>
      <c r="E1183" s="231"/>
      <c r="F1183" s="231"/>
      <c r="G1183" s="231"/>
      <c r="H1183" s="231"/>
    </row>
    <row r="1184" s="154" customFormat="1" ht="15.75" spans="1:8">
      <c r="A1184" s="374" t="s">
        <v>196</v>
      </c>
      <c r="B1184" s="374"/>
      <c r="C1184" s="374"/>
      <c r="D1184" s="375">
        <v>200</v>
      </c>
      <c r="E1184" s="190">
        <v>0.2</v>
      </c>
      <c r="F1184" s="190">
        <v>0.05</v>
      </c>
      <c r="G1184" s="190">
        <v>10.04</v>
      </c>
      <c r="H1184" s="190">
        <v>41.32</v>
      </c>
    </row>
    <row r="1185" s="154" customFormat="1" spans="1:8">
      <c r="A1185" s="219" t="s">
        <v>28</v>
      </c>
      <c r="B1185" s="269">
        <f>C1185</f>
        <v>0.7</v>
      </c>
      <c r="C1185" s="220">
        <v>0.7</v>
      </c>
      <c r="D1185" s="376"/>
      <c r="E1185" s="231"/>
      <c r="F1185" s="231"/>
      <c r="G1185" s="231"/>
      <c r="H1185" s="231"/>
    </row>
    <row r="1186" s="154" customFormat="1" spans="1:8">
      <c r="A1186" s="219" t="s">
        <v>29</v>
      </c>
      <c r="B1186" s="269">
        <f>C1186</f>
        <v>210</v>
      </c>
      <c r="C1186" s="269">
        <v>210</v>
      </c>
      <c r="D1186" s="376"/>
      <c r="E1186" s="231"/>
      <c r="F1186" s="231"/>
      <c r="G1186" s="231"/>
      <c r="H1186" s="231"/>
    </row>
    <row r="1187" s="154" customFormat="1" spans="1:8">
      <c r="A1187" s="208" t="s">
        <v>26</v>
      </c>
      <c r="B1187" s="269">
        <f>C1187</f>
        <v>10</v>
      </c>
      <c r="C1187" s="269">
        <v>10</v>
      </c>
      <c r="D1187" s="376"/>
      <c r="E1187" s="231"/>
      <c r="F1187" s="231"/>
      <c r="G1187" s="231"/>
      <c r="H1187" s="231"/>
    </row>
    <row r="1188" s="154" customFormat="1" ht="15.75" spans="1:8">
      <c r="A1188" s="326" t="s">
        <v>80</v>
      </c>
      <c r="B1188" s="326"/>
      <c r="C1188" s="326"/>
      <c r="D1188" s="283">
        <v>100</v>
      </c>
      <c r="E1188" s="327">
        <v>0.4</v>
      </c>
      <c r="F1188" s="190">
        <v>0.1</v>
      </c>
      <c r="G1188" s="190">
        <v>9.3</v>
      </c>
      <c r="H1188" s="190">
        <v>39</v>
      </c>
    </row>
    <row r="1189" s="154" customFormat="1" ht="15.75" spans="1:8">
      <c r="A1189" s="225" t="s">
        <v>30</v>
      </c>
      <c r="B1189" s="249"/>
      <c r="C1189" s="285"/>
      <c r="D1189" s="230">
        <v>20</v>
      </c>
      <c r="E1189" s="284">
        <v>1.12</v>
      </c>
      <c r="F1189" s="284">
        <v>0.22</v>
      </c>
      <c r="G1189" s="284">
        <v>11.58</v>
      </c>
      <c r="H1189" s="284">
        <v>55.28</v>
      </c>
    </row>
    <row r="1190" ht="19.5" spans="1:8">
      <c r="A1190" s="183" t="s">
        <v>32</v>
      </c>
      <c r="B1190" s="232"/>
      <c r="C1190" s="232"/>
      <c r="D1190" s="411">
        <f>D1191+D1195+D1214+D1227+D1233+D1238</f>
        <v>720</v>
      </c>
      <c r="E1190" s="377">
        <f>SUM(E1191:E1238)</f>
        <v>24.19</v>
      </c>
      <c r="F1190" s="377">
        <f>SUM(F1191:F1238)</f>
        <v>22.62</v>
      </c>
      <c r="G1190" s="377">
        <f>SUM(G1191:G1238)</f>
        <v>95.85</v>
      </c>
      <c r="H1190" s="377">
        <f>SUM(H1191:H1238)</f>
        <v>738.04</v>
      </c>
    </row>
    <row r="1191" ht="15.75" spans="1:8">
      <c r="A1191" s="393" t="s">
        <v>115</v>
      </c>
      <c r="B1191" s="394"/>
      <c r="C1191" s="395"/>
      <c r="D1191" s="396">
        <v>60</v>
      </c>
      <c r="E1191" s="239">
        <v>0.63</v>
      </c>
      <c r="F1191" s="239">
        <v>0.03</v>
      </c>
      <c r="G1191" s="239">
        <v>2.43</v>
      </c>
      <c r="H1191" s="239">
        <v>12.6</v>
      </c>
    </row>
    <row r="1192" ht="14.25" customHeight="1" spans="1:8">
      <c r="A1192" s="247" t="s">
        <v>257</v>
      </c>
      <c r="B1192" s="249">
        <f>C1192*1.05</f>
        <v>63</v>
      </c>
      <c r="C1192" s="249">
        <v>60</v>
      </c>
      <c r="D1192" s="397"/>
      <c r="E1192" s="320"/>
      <c r="F1192" s="320"/>
      <c r="G1192" s="320"/>
      <c r="H1192" s="320"/>
    </row>
    <row r="1193" ht="14.25" customHeight="1" spans="1:8">
      <c r="A1193" s="247" t="s">
        <v>118</v>
      </c>
      <c r="B1193" s="214">
        <f>C1193*1.25</f>
        <v>75</v>
      </c>
      <c r="C1193" s="214">
        <v>60</v>
      </c>
      <c r="D1193" s="397"/>
      <c r="E1193" s="320"/>
      <c r="F1193" s="320"/>
      <c r="G1193" s="320"/>
      <c r="H1193" s="320"/>
    </row>
    <row r="1194" ht="14.25" customHeight="1" spans="1:8">
      <c r="A1194" s="213" t="s">
        <v>119</v>
      </c>
      <c r="B1194" s="214">
        <f>C1194*1.3</f>
        <v>78</v>
      </c>
      <c r="C1194" s="214">
        <v>60</v>
      </c>
      <c r="D1194" s="397"/>
      <c r="E1194" s="320"/>
      <c r="F1194" s="320"/>
      <c r="G1194" s="320"/>
      <c r="H1194" s="320"/>
    </row>
    <row r="1195" ht="15.75" spans="1:8">
      <c r="A1195" s="304" t="s">
        <v>120</v>
      </c>
      <c r="B1195" s="305"/>
      <c r="C1195" s="306"/>
      <c r="D1195" s="399">
        <v>200</v>
      </c>
      <c r="E1195" s="239">
        <v>5.8</v>
      </c>
      <c r="F1195" s="239">
        <v>7.47</v>
      </c>
      <c r="G1195" s="239">
        <v>9.89</v>
      </c>
      <c r="H1195" s="239">
        <v>195</v>
      </c>
    </row>
    <row r="1196" spans="1:8">
      <c r="A1196" s="240" t="s">
        <v>34</v>
      </c>
      <c r="B1196" s="241">
        <f>C1196*1.45</f>
        <v>18.125</v>
      </c>
      <c r="C1196" s="241">
        <f>C1197*1.25</f>
        <v>12.5</v>
      </c>
      <c r="D1196" s="197"/>
      <c r="E1196" s="320"/>
      <c r="F1196" s="320"/>
      <c r="G1196" s="320"/>
      <c r="H1196" s="320"/>
    </row>
    <row r="1197" spans="1:8">
      <c r="A1197" s="244" t="s">
        <v>35</v>
      </c>
      <c r="B1197" s="245"/>
      <c r="C1197" s="246">
        <v>10</v>
      </c>
      <c r="D1197" s="197"/>
      <c r="E1197" s="320"/>
      <c r="F1197" s="320"/>
      <c r="G1197" s="320"/>
      <c r="H1197" s="320"/>
    </row>
    <row r="1198" spans="1:8">
      <c r="A1198" s="247" t="s">
        <v>36</v>
      </c>
      <c r="B1198" s="241">
        <f>C1198*1.33</f>
        <v>29.26</v>
      </c>
      <c r="C1198" s="241">
        <v>22</v>
      </c>
      <c r="D1198" s="197"/>
      <c r="E1198" s="320"/>
      <c r="F1198" s="320"/>
      <c r="G1198" s="320"/>
      <c r="H1198" s="320"/>
    </row>
    <row r="1199" spans="1:8">
      <c r="A1199" s="247" t="s">
        <v>37</v>
      </c>
      <c r="B1199" s="241">
        <f>C1199*1.67</f>
        <v>36.74</v>
      </c>
      <c r="C1199" s="241">
        <v>22</v>
      </c>
      <c r="D1199" s="270"/>
      <c r="E1199" s="320"/>
      <c r="F1199" s="320"/>
      <c r="G1199" s="320"/>
      <c r="H1199" s="320"/>
    </row>
    <row r="1200" spans="1:8">
      <c r="A1200" s="400" t="s">
        <v>121</v>
      </c>
      <c r="B1200" s="269">
        <f>C1200*1.25</f>
        <v>23.75</v>
      </c>
      <c r="C1200" s="269">
        <v>19</v>
      </c>
      <c r="D1200" s="376"/>
      <c r="E1200" s="320"/>
      <c r="F1200" s="320"/>
      <c r="G1200" s="320"/>
      <c r="H1200" s="320"/>
    </row>
    <row r="1201" spans="1:8">
      <c r="A1201" s="247" t="s">
        <v>39</v>
      </c>
      <c r="B1201" s="256">
        <f>C1201*1.25</f>
        <v>13.75</v>
      </c>
      <c r="C1201" s="336">
        <v>11</v>
      </c>
      <c r="D1201" s="376"/>
      <c r="E1201" s="320"/>
      <c r="F1201" s="320"/>
      <c r="G1201" s="320"/>
      <c r="H1201" s="320"/>
    </row>
    <row r="1202" spans="1:8">
      <c r="A1202" s="247" t="s">
        <v>86</v>
      </c>
      <c r="B1202" s="249">
        <f>C1202*1.33</f>
        <v>14.63</v>
      </c>
      <c r="C1202" s="249">
        <v>11</v>
      </c>
      <c r="D1202" s="376"/>
      <c r="E1202" s="320"/>
      <c r="F1202" s="320"/>
      <c r="G1202" s="320"/>
      <c r="H1202" s="320"/>
    </row>
    <row r="1203" spans="1:8">
      <c r="A1203" s="400" t="s">
        <v>122</v>
      </c>
      <c r="B1203" s="269">
        <f>C1203*1.25</f>
        <v>25</v>
      </c>
      <c r="C1203" s="269">
        <v>20</v>
      </c>
      <c r="D1203" s="376"/>
      <c r="E1203" s="320"/>
      <c r="F1203" s="320"/>
      <c r="G1203" s="320"/>
      <c r="H1203" s="320"/>
    </row>
    <row r="1204" spans="1:8">
      <c r="A1204" s="219" t="s">
        <v>123</v>
      </c>
      <c r="B1204" s="269">
        <f>C1204*1.33</f>
        <v>26.6</v>
      </c>
      <c r="C1204" s="269">
        <v>20</v>
      </c>
      <c r="D1204" s="270"/>
      <c r="E1204" s="320"/>
      <c r="F1204" s="320"/>
      <c r="G1204" s="320"/>
      <c r="H1204" s="320"/>
    </row>
    <row r="1205" spans="1:8">
      <c r="A1205" s="401" t="s">
        <v>124</v>
      </c>
      <c r="B1205" s="262">
        <f>C1205</f>
        <v>1.5</v>
      </c>
      <c r="C1205" s="269">
        <v>1.5</v>
      </c>
      <c r="D1205" s="376"/>
      <c r="E1205" s="320"/>
      <c r="F1205" s="320"/>
      <c r="G1205" s="320"/>
      <c r="H1205" s="320"/>
    </row>
    <row r="1206" spans="1:8">
      <c r="A1206" s="219" t="s">
        <v>40</v>
      </c>
      <c r="B1206" s="402">
        <f>C1206*1.19</f>
        <v>11.9</v>
      </c>
      <c r="C1206" s="269">
        <v>10</v>
      </c>
      <c r="D1206" s="270"/>
      <c r="E1206" s="320"/>
      <c r="F1206" s="320"/>
      <c r="G1206" s="320"/>
      <c r="H1206" s="320"/>
    </row>
    <row r="1207" spans="1:8">
      <c r="A1207" s="251" t="s">
        <v>41</v>
      </c>
      <c r="B1207" s="402">
        <f>C1207</f>
        <v>0.01</v>
      </c>
      <c r="C1207" s="269">
        <v>0.01</v>
      </c>
      <c r="D1207" s="270"/>
      <c r="E1207" s="320"/>
      <c r="F1207" s="320"/>
      <c r="G1207" s="320"/>
      <c r="H1207" s="320"/>
    </row>
    <row r="1208" spans="1:8">
      <c r="A1208" s="219" t="s">
        <v>46</v>
      </c>
      <c r="B1208" s="269">
        <f>C1208</f>
        <v>3</v>
      </c>
      <c r="C1208" s="269">
        <v>3</v>
      </c>
      <c r="D1208" s="270"/>
      <c r="E1208" s="320"/>
      <c r="F1208" s="320"/>
      <c r="G1208" s="320"/>
      <c r="H1208" s="320"/>
    </row>
    <row r="1209" spans="1:8">
      <c r="A1209" s="337" t="s">
        <v>88</v>
      </c>
      <c r="B1209" s="269">
        <f>C1209</f>
        <v>8</v>
      </c>
      <c r="C1209" s="269">
        <v>8</v>
      </c>
      <c r="D1209" s="270"/>
      <c r="E1209" s="320"/>
      <c r="F1209" s="320"/>
      <c r="G1209" s="320"/>
      <c r="H1209" s="320"/>
    </row>
    <row r="1210" spans="1:8">
      <c r="A1210" s="337" t="s">
        <v>29</v>
      </c>
      <c r="B1210" s="269">
        <f>C1210</f>
        <v>160</v>
      </c>
      <c r="C1210" s="269">
        <v>160</v>
      </c>
      <c r="D1210" s="270"/>
      <c r="E1210" s="320"/>
      <c r="F1210" s="320"/>
      <c r="G1210" s="320"/>
      <c r="H1210" s="320"/>
    </row>
    <row r="1211" spans="1:8">
      <c r="A1211" s="403" t="s">
        <v>125</v>
      </c>
      <c r="B1211" s="404">
        <f t="shared" ref="B1211:B1213" si="53">C1211</f>
        <v>0.13</v>
      </c>
      <c r="C1211" s="296">
        <v>0.13</v>
      </c>
      <c r="D1211" s="218"/>
      <c r="E1211" s="320"/>
      <c r="F1211" s="320"/>
      <c r="G1211" s="320"/>
      <c r="H1211" s="320"/>
    </row>
    <row r="1212" spans="1:8">
      <c r="A1212" s="213" t="s">
        <v>25</v>
      </c>
      <c r="B1212" s="214">
        <f t="shared" si="53"/>
        <v>0.6</v>
      </c>
      <c r="C1212" s="269">
        <v>0.6</v>
      </c>
      <c r="D1212" s="270"/>
      <c r="E1212" s="320"/>
      <c r="F1212" s="320"/>
      <c r="G1212" s="320"/>
      <c r="H1212" s="320"/>
    </row>
    <row r="1213" spans="1:8">
      <c r="A1213" s="208" t="s">
        <v>26</v>
      </c>
      <c r="B1213" s="269">
        <f t="shared" si="53"/>
        <v>1.75</v>
      </c>
      <c r="C1213" s="269">
        <v>1.75</v>
      </c>
      <c r="D1213" s="270"/>
      <c r="E1213" s="320"/>
      <c r="F1213" s="320"/>
      <c r="G1213" s="320"/>
      <c r="H1213" s="320"/>
    </row>
    <row r="1214" ht="15.75" spans="1:8">
      <c r="A1214" s="633" t="s">
        <v>316</v>
      </c>
      <c r="B1214" s="634"/>
      <c r="C1214" s="635"/>
      <c r="D1214" s="298">
        <v>90</v>
      </c>
      <c r="E1214" s="190">
        <v>10.61</v>
      </c>
      <c r="F1214" s="190">
        <v>9.14</v>
      </c>
      <c r="G1214" s="190">
        <v>23.73</v>
      </c>
      <c r="H1214" s="190">
        <v>193.03</v>
      </c>
    </row>
    <row r="1215" spans="1:8">
      <c r="A1215" s="636" t="s">
        <v>317</v>
      </c>
      <c r="B1215" s="241">
        <f>C1215*1.02</f>
        <v>38.76</v>
      </c>
      <c r="C1215" s="241">
        <v>38</v>
      </c>
      <c r="D1215" s="439"/>
      <c r="E1215" s="320"/>
      <c r="F1215" s="320"/>
      <c r="G1215" s="320"/>
      <c r="H1215" s="320"/>
    </row>
    <row r="1216" spans="1:8">
      <c r="A1216" s="353" t="s">
        <v>152</v>
      </c>
      <c r="B1216" s="296">
        <f>C1216*1.1</f>
        <v>37.4</v>
      </c>
      <c r="C1216" s="241">
        <v>34</v>
      </c>
      <c r="D1216" s="439"/>
      <c r="E1216" s="320"/>
      <c r="F1216" s="320"/>
      <c r="G1216" s="320"/>
      <c r="H1216" s="320"/>
    </row>
    <row r="1217" spans="1:8">
      <c r="A1217" s="212" t="s">
        <v>40</v>
      </c>
      <c r="B1217" s="252">
        <f>C1217*1.19</f>
        <v>9.52</v>
      </c>
      <c r="C1217" s="192">
        <v>8</v>
      </c>
      <c r="D1217" s="439"/>
      <c r="E1217" s="320"/>
      <c r="F1217" s="320"/>
      <c r="G1217" s="320"/>
      <c r="H1217" s="320"/>
    </row>
    <row r="1218" spans="1:8">
      <c r="A1218" s="212" t="s">
        <v>180</v>
      </c>
      <c r="B1218" s="252">
        <f>C1218</f>
        <v>10</v>
      </c>
      <c r="C1218" s="192">
        <v>10</v>
      </c>
      <c r="D1218" s="439"/>
      <c r="E1218" s="320"/>
      <c r="F1218" s="320"/>
      <c r="G1218" s="320"/>
      <c r="H1218" s="320"/>
    </row>
    <row r="1219" spans="1:8">
      <c r="A1219" s="569" t="s">
        <v>262</v>
      </c>
      <c r="B1219" s="637"/>
      <c r="C1219" s="570">
        <f>C1218*2.5</f>
        <v>25</v>
      </c>
      <c r="D1219" s="439"/>
      <c r="E1219" s="320"/>
      <c r="F1219" s="320"/>
      <c r="G1219" s="320"/>
      <c r="H1219" s="320"/>
    </row>
    <row r="1220" spans="1:8">
      <c r="A1220" s="569" t="s">
        <v>29</v>
      </c>
      <c r="B1220" s="637"/>
      <c r="C1220" s="570">
        <f>C1218*2</f>
        <v>20</v>
      </c>
      <c r="D1220" s="439"/>
      <c r="E1220" s="320"/>
      <c r="F1220" s="320"/>
      <c r="G1220" s="320"/>
      <c r="H1220" s="320"/>
    </row>
    <row r="1221" spans="1:8">
      <c r="A1221" s="213" t="s">
        <v>25</v>
      </c>
      <c r="B1221" s="214">
        <f>C1221</f>
        <v>0.7</v>
      </c>
      <c r="C1221" s="285">
        <v>0.7</v>
      </c>
      <c r="D1221" s="439"/>
      <c r="E1221" s="320"/>
      <c r="F1221" s="320"/>
      <c r="G1221" s="320"/>
      <c r="H1221" s="320"/>
    </row>
    <row r="1222" spans="1:8">
      <c r="A1222" s="561" t="s">
        <v>263</v>
      </c>
      <c r="B1222" s="192">
        <f>C1222</f>
        <v>4</v>
      </c>
      <c r="C1222" s="192">
        <v>4</v>
      </c>
      <c r="D1222" s="439"/>
      <c r="E1222" s="320"/>
      <c r="F1222" s="320"/>
      <c r="G1222" s="320"/>
      <c r="H1222" s="320"/>
    </row>
    <row r="1223" spans="1:8">
      <c r="A1223" s="638" t="s">
        <v>54</v>
      </c>
      <c r="B1223" s="639"/>
      <c r="C1223" s="640">
        <f>C1222+C1219+C1217+C1216+C1215</f>
        <v>109</v>
      </c>
      <c r="D1223" s="439"/>
      <c r="E1223" s="320"/>
      <c r="F1223" s="320"/>
      <c r="G1223" s="320"/>
      <c r="H1223" s="320"/>
    </row>
    <row r="1224" spans="1:8">
      <c r="A1224" s="212" t="s">
        <v>51</v>
      </c>
      <c r="B1224" s="252">
        <f>C1224</f>
        <v>1</v>
      </c>
      <c r="C1224" s="241">
        <v>1</v>
      </c>
      <c r="D1224" s="439"/>
      <c r="E1224" s="320"/>
      <c r="F1224" s="320"/>
      <c r="G1224" s="320"/>
      <c r="H1224" s="320"/>
    </row>
    <row r="1225" spans="1:8">
      <c r="A1225" s="440" t="s">
        <v>318</v>
      </c>
      <c r="B1225" s="441"/>
      <c r="C1225" s="441"/>
      <c r="D1225" s="441"/>
      <c r="E1225" s="320"/>
      <c r="F1225" s="320"/>
      <c r="G1225" s="320"/>
      <c r="H1225" s="320"/>
    </row>
    <row r="1226" spans="1:8">
      <c r="A1226" s="633" t="s">
        <v>319</v>
      </c>
      <c r="B1226" s="641"/>
      <c r="C1226" s="642"/>
      <c r="D1226" s="399">
        <v>90</v>
      </c>
      <c r="E1226" s="320"/>
      <c r="F1226" s="320"/>
      <c r="G1226" s="320"/>
      <c r="H1226" s="320"/>
    </row>
    <row r="1227" ht="15.75" spans="1:8">
      <c r="A1227" s="280" t="s">
        <v>97</v>
      </c>
      <c r="B1227" s="281"/>
      <c r="C1227" s="282"/>
      <c r="D1227" s="322">
        <v>150</v>
      </c>
      <c r="E1227" s="190">
        <v>5.83</v>
      </c>
      <c r="F1227" s="190">
        <v>5.72</v>
      </c>
      <c r="G1227" s="190">
        <v>32.68</v>
      </c>
      <c r="H1227" s="190">
        <v>205.85</v>
      </c>
    </row>
    <row r="1228" ht="15.75" spans="1:8">
      <c r="A1228" s="247" t="s">
        <v>36</v>
      </c>
      <c r="B1228" s="241">
        <f>C1228*1.33</f>
        <v>172.9</v>
      </c>
      <c r="C1228" s="241">
        <v>130</v>
      </c>
      <c r="D1228" s="322"/>
      <c r="E1228" s="190"/>
      <c r="F1228" s="190"/>
      <c r="G1228" s="190"/>
      <c r="H1228" s="190"/>
    </row>
    <row r="1229" spans="1:8">
      <c r="A1229" s="247" t="s">
        <v>37</v>
      </c>
      <c r="B1229" s="241">
        <f>C1229*1.67</f>
        <v>217.1</v>
      </c>
      <c r="C1229" s="241">
        <v>130</v>
      </c>
      <c r="D1229" s="323"/>
      <c r="E1229" s="320"/>
      <c r="F1229" s="320"/>
      <c r="G1229" s="320"/>
      <c r="H1229" s="320"/>
    </row>
    <row r="1230" spans="1:8">
      <c r="A1230" s="213" t="s">
        <v>25</v>
      </c>
      <c r="B1230" s="214">
        <f>C1230</f>
        <v>0.96</v>
      </c>
      <c r="C1230" s="210">
        <v>0.96</v>
      </c>
      <c r="D1230" s="323"/>
      <c r="E1230" s="320"/>
      <c r="F1230" s="320"/>
      <c r="G1230" s="320"/>
      <c r="H1230" s="320"/>
    </row>
    <row r="1231" spans="1:8">
      <c r="A1231" s="212" t="s">
        <v>24</v>
      </c>
      <c r="B1231" s="249">
        <f>C1231*1.05</f>
        <v>23.625</v>
      </c>
      <c r="C1231" s="249">
        <v>22.5</v>
      </c>
      <c r="D1231" s="323"/>
      <c r="E1231" s="320"/>
      <c r="F1231" s="320"/>
      <c r="G1231" s="320"/>
      <c r="H1231" s="320"/>
    </row>
    <row r="1232" spans="1:8">
      <c r="A1232" s="191" t="s">
        <v>16</v>
      </c>
      <c r="B1232" s="249">
        <f>C1232</f>
        <v>4</v>
      </c>
      <c r="C1232" s="249">
        <v>4</v>
      </c>
      <c r="D1232" s="197"/>
      <c r="E1232" s="320"/>
      <c r="F1232" s="320"/>
      <c r="G1232" s="320"/>
      <c r="H1232" s="320"/>
    </row>
    <row r="1233" ht="15.75" spans="1:8">
      <c r="A1233" s="362" t="s">
        <v>320</v>
      </c>
      <c r="B1233" s="363"/>
      <c r="C1233" s="364"/>
      <c r="D1233" s="365">
        <v>200</v>
      </c>
      <c r="E1233" s="284">
        <v>0.43</v>
      </c>
      <c r="F1233" s="284">
        <v>0.09</v>
      </c>
      <c r="G1233" s="284">
        <v>17.86</v>
      </c>
      <c r="H1233" s="284">
        <v>87.36</v>
      </c>
    </row>
    <row r="1234" spans="1:8">
      <c r="A1234" s="191" t="s">
        <v>251</v>
      </c>
      <c r="B1234" s="297">
        <f>C1234</f>
        <v>15</v>
      </c>
      <c r="C1234" s="297">
        <v>15</v>
      </c>
      <c r="D1234" s="334"/>
      <c r="E1234" s="320"/>
      <c r="F1234" s="320"/>
      <c r="G1234" s="320"/>
      <c r="H1234" s="320"/>
    </row>
    <row r="1235" spans="1:8">
      <c r="A1235" s="208" t="s">
        <v>26</v>
      </c>
      <c r="B1235" s="249">
        <f>C1235</f>
        <v>11</v>
      </c>
      <c r="C1235" s="249">
        <v>11</v>
      </c>
      <c r="D1235" s="334"/>
      <c r="E1235" s="320"/>
      <c r="F1235" s="320"/>
      <c r="G1235" s="320"/>
      <c r="H1235" s="320"/>
    </row>
    <row r="1236" spans="1:8">
      <c r="A1236" s="367" t="s">
        <v>29</v>
      </c>
      <c r="B1236" s="297">
        <f>C1236</f>
        <v>210</v>
      </c>
      <c r="C1236" s="297">
        <v>210</v>
      </c>
      <c r="D1236" s="334"/>
      <c r="E1236" s="320"/>
      <c r="F1236" s="320"/>
      <c r="G1236" s="320"/>
      <c r="H1236" s="320"/>
    </row>
    <row r="1237" spans="1:8">
      <c r="A1237" s="225"/>
      <c r="B1237" s="249"/>
      <c r="C1237" s="285"/>
      <c r="D1237" s="230"/>
      <c r="E1237" s="320"/>
      <c r="F1237" s="320"/>
      <c r="G1237" s="320"/>
      <c r="H1237" s="320"/>
    </row>
    <row r="1238" ht="15.75" spans="1:8">
      <c r="A1238" s="286" t="s">
        <v>59</v>
      </c>
      <c r="B1238" s="287"/>
      <c r="C1238" s="287"/>
      <c r="D1238" s="283">
        <v>20</v>
      </c>
      <c r="E1238" s="190">
        <v>0.89</v>
      </c>
      <c r="F1238" s="190">
        <v>0.17</v>
      </c>
      <c r="G1238" s="190">
        <v>9.26</v>
      </c>
      <c r="H1238" s="190">
        <v>44.2</v>
      </c>
    </row>
    <row r="1239" ht="19.5" spans="1:8">
      <c r="A1239" s="183" t="s">
        <v>60</v>
      </c>
      <c r="B1239" s="288"/>
      <c r="C1239" s="288"/>
      <c r="D1239" s="392"/>
      <c r="E1239" s="377">
        <f>SUM(E1240:E1251)</f>
        <v>7.37</v>
      </c>
      <c r="F1239" s="377">
        <f>SUM(F1240:F1251)</f>
        <v>7.64</v>
      </c>
      <c r="G1239" s="377">
        <f>SUM(G1240:G1251)</f>
        <v>31.99</v>
      </c>
      <c r="H1239" s="377">
        <f>SUM(H1240:H1251)</f>
        <v>225.66</v>
      </c>
    </row>
    <row r="1240" s="154" customFormat="1" ht="15.75" spans="1:8">
      <c r="A1240" s="412" t="s">
        <v>321</v>
      </c>
      <c r="B1240" s="269"/>
      <c r="C1240" s="269"/>
      <c r="D1240" s="283">
        <v>100</v>
      </c>
      <c r="E1240" s="291">
        <v>7.12</v>
      </c>
      <c r="F1240" s="291">
        <v>7.56</v>
      </c>
      <c r="G1240" s="291">
        <v>17.76</v>
      </c>
      <c r="H1240" s="291">
        <v>166.15</v>
      </c>
    </row>
    <row r="1241" s="154" customFormat="1" spans="1:8">
      <c r="A1241" s="268" t="s">
        <v>195</v>
      </c>
      <c r="B1241" s="269">
        <f t="shared" ref="B1241:B1245" si="54">C1241</f>
        <v>115</v>
      </c>
      <c r="C1241" s="269">
        <v>115</v>
      </c>
      <c r="D1241" s="270"/>
      <c r="E1241" s="231"/>
      <c r="F1241" s="231"/>
      <c r="G1241" s="231"/>
      <c r="H1241" s="231"/>
    </row>
    <row r="1242" s="154" customFormat="1" spans="1:8">
      <c r="A1242" s="208" t="s">
        <v>26</v>
      </c>
      <c r="B1242" s="269">
        <f t="shared" si="54"/>
        <v>4</v>
      </c>
      <c r="C1242" s="269">
        <v>4</v>
      </c>
      <c r="D1242" s="270"/>
      <c r="E1242" s="231"/>
      <c r="F1242" s="231"/>
      <c r="G1242" s="231"/>
      <c r="H1242" s="231"/>
    </row>
    <row r="1243" s="154" customFormat="1" spans="1:8">
      <c r="A1243" s="268" t="s">
        <v>171</v>
      </c>
      <c r="B1243" s="269">
        <f t="shared" si="54"/>
        <v>1</v>
      </c>
      <c r="C1243" s="269">
        <v>1</v>
      </c>
      <c r="D1243" s="270"/>
      <c r="E1243" s="231"/>
      <c r="F1243" s="231"/>
      <c r="G1243" s="231"/>
      <c r="H1243" s="231"/>
    </row>
    <row r="1244" s="154" customFormat="1" spans="1:8">
      <c r="A1244" s="202" t="s">
        <v>19</v>
      </c>
      <c r="B1244" s="269">
        <f t="shared" si="54"/>
        <v>2</v>
      </c>
      <c r="C1244" s="269">
        <v>2</v>
      </c>
      <c r="D1244" s="270"/>
      <c r="E1244" s="231"/>
      <c r="F1244" s="231"/>
      <c r="G1244" s="231"/>
      <c r="H1244" s="231"/>
    </row>
    <row r="1245" s="154" customFormat="1" spans="1:8">
      <c r="A1245" s="482" t="s">
        <v>51</v>
      </c>
      <c r="B1245" s="269">
        <f t="shared" si="54"/>
        <v>1</v>
      </c>
      <c r="C1245" s="269">
        <v>1</v>
      </c>
      <c r="D1245" s="270"/>
      <c r="E1245" s="231"/>
      <c r="F1245" s="231"/>
      <c r="G1245" s="231"/>
      <c r="H1245" s="231"/>
    </row>
    <row r="1246" s="154" customFormat="1" spans="1:8">
      <c r="A1246" s="483" t="s">
        <v>54</v>
      </c>
      <c r="B1246" s="300"/>
      <c r="C1246" s="300">
        <f>C1244+C1243+C1242+C1241</f>
        <v>122</v>
      </c>
      <c r="D1246" s="270"/>
      <c r="E1246" s="231"/>
      <c r="F1246" s="231"/>
      <c r="G1246" s="231"/>
      <c r="H1246" s="231"/>
    </row>
    <row r="1247" s="154" customFormat="1" ht="15.75" spans="1:8">
      <c r="A1247" s="304" t="s">
        <v>295</v>
      </c>
      <c r="B1247" s="305"/>
      <c r="C1247" s="306"/>
      <c r="D1247" s="283">
        <v>200</v>
      </c>
      <c r="E1247" s="190">
        <v>0.25</v>
      </c>
      <c r="F1247" s="190">
        <v>0.08</v>
      </c>
      <c r="G1247" s="190">
        <v>14.23</v>
      </c>
      <c r="H1247" s="190">
        <v>59.51</v>
      </c>
    </row>
    <row r="1248" s="154" customFormat="1" spans="1:8">
      <c r="A1248" s="307" t="s">
        <v>68</v>
      </c>
      <c r="B1248" s="278">
        <f>C1248</f>
        <v>23</v>
      </c>
      <c r="C1248" s="278">
        <v>23</v>
      </c>
      <c r="D1248" s="308"/>
      <c r="E1248" s="231"/>
      <c r="F1248" s="231"/>
      <c r="G1248" s="231"/>
      <c r="H1248" s="231"/>
    </row>
    <row r="1249" s="154" customFormat="1" spans="1:8">
      <c r="A1249" s="307" t="s">
        <v>99</v>
      </c>
      <c r="B1249" s="278">
        <f>C1249</f>
        <v>3</v>
      </c>
      <c r="C1249" s="278">
        <v>3</v>
      </c>
      <c r="D1249" s="308"/>
      <c r="E1249" s="231"/>
      <c r="F1249" s="231"/>
      <c r="G1249" s="231"/>
      <c r="H1249" s="231"/>
    </row>
    <row r="1250" s="154" customFormat="1" spans="1:8">
      <c r="A1250" s="223" t="s">
        <v>29</v>
      </c>
      <c r="B1250" s="224">
        <f>C1250</f>
        <v>215</v>
      </c>
      <c r="C1250" s="224">
        <v>215</v>
      </c>
      <c r="D1250" s="308"/>
      <c r="E1250" s="231"/>
      <c r="F1250" s="231"/>
      <c r="G1250" s="231"/>
      <c r="H1250" s="231"/>
    </row>
    <row r="1251" s="154" customFormat="1" spans="1:8">
      <c r="A1251" s="208" t="s">
        <v>26</v>
      </c>
      <c r="B1251" s="278">
        <f>C1251</f>
        <v>12</v>
      </c>
      <c r="C1251" s="278">
        <v>12</v>
      </c>
      <c r="D1251" s="308"/>
      <c r="E1251" s="231"/>
      <c r="F1251" s="231"/>
      <c r="G1251" s="231"/>
      <c r="H1251" s="231"/>
    </row>
    <row r="1252" ht="18.75" spans="1:8">
      <c r="A1252" s="309" t="s">
        <v>70</v>
      </c>
      <c r="B1252" s="310"/>
      <c r="C1252" s="310"/>
      <c r="D1252" s="311"/>
      <c r="E1252" s="312">
        <f>E1239+E1190+E1172</f>
        <v>46.23</v>
      </c>
      <c r="F1252" s="312">
        <f>F1239+F1190+F1172</f>
        <v>45.3</v>
      </c>
      <c r="G1252" s="312">
        <f>G1239+G1190+G1172</f>
        <v>191.99</v>
      </c>
      <c r="H1252" s="312">
        <f>H1239+H1190+H1172</f>
        <v>1414.14</v>
      </c>
    </row>
    <row r="1254" ht="20.25" customHeight="1"/>
  </sheetData>
  <sheetProtection algorithmName="SHA-512" hashValue="VB094kaNF4+0KQ+pbbpLIYKD+vBCHiebvKZvA1cAPsWZFyWhrrTjWdY2K3K429/F8pNySp4gfKM/zzm1I79fcQ==" saltValue="J5bQsKFse9nSERHzHCfaSg==" spinCount="100000" sheet="1" selectLockedCells="1" selectUnlockedCells="1" objects="1"/>
  <mergeCells count="221">
    <mergeCell ref="A1:H1"/>
    <mergeCell ref="A2:H2"/>
    <mergeCell ref="A3:H3"/>
    <mergeCell ref="A4:H4"/>
    <mergeCell ref="A5:H5"/>
    <mergeCell ref="A29:B29"/>
    <mergeCell ref="A63:C63"/>
    <mergeCell ref="A87:H87"/>
    <mergeCell ref="A102:C102"/>
    <mergeCell ref="A126:C126"/>
    <mergeCell ref="A141:C141"/>
    <mergeCell ref="A158:C158"/>
    <mergeCell ref="A174:H174"/>
    <mergeCell ref="A196:C196"/>
    <mergeCell ref="A201:C201"/>
    <mergeCell ref="A231:C231"/>
    <mergeCell ref="A249:C249"/>
    <mergeCell ref="A257:H257"/>
    <mergeCell ref="A265:C265"/>
    <mergeCell ref="A272:C272"/>
    <mergeCell ref="A280:C280"/>
    <mergeCell ref="A310:D310"/>
    <mergeCell ref="A312:C312"/>
    <mergeCell ref="A320:C320"/>
    <mergeCell ref="A342:H342"/>
    <mergeCell ref="A346:C346"/>
    <mergeCell ref="A351:C351"/>
    <mergeCell ref="A358:C358"/>
    <mergeCell ref="A365:C365"/>
    <mergeCell ref="A394:C394"/>
    <mergeCell ref="A399:C399"/>
    <mergeCell ref="A415:C415"/>
    <mergeCell ref="A421:H421"/>
    <mergeCell ref="A422:H422"/>
    <mergeCell ref="A429:C429"/>
    <mergeCell ref="A436:C436"/>
    <mergeCell ref="A462:C462"/>
    <mergeCell ref="A499:C499"/>
    <mergeCell ref="A505:H505"/>
    <mergeCell ref="A520:C520"/>
    <mergeCell ref="A528:C528"/>
    <mergeCell ref="A551:D551"/>
    <mergeCell ref="A567:C567"/>
    <mergeCell ref="A589:C589"/>
    <mergeCell ref="A595:H595"/>
    <mergeCell ref="A609:C609"/>
    <mergeCell ref="A617:C617"/>
    <mergeCell ref="A630:C630"/>
    <mergeCell ref="A645:C645"/>
    <mergeCell ref="A650:C650"/>
    <mergeCell ref="A671:H671"/>
    <mergeCell ref="A678:C678"/>
    <mergeCell ref="A685:C685"/>
    <mergeCell ref="A694:C694"/>
    <mergeCell ref="A698:C698"/>
    <mergeCell ref="A714:C714"/>
    <mergeCell ref="A726:C726"/>
    <mergeCell ref="A736:C736"/>
    <mergeCell ref="A750:C750"/>
    <mergeCell ref="A757:H757"/>
    <mergeCell ref="A761:C761"/>
    <mergeCell ref="A768:C768"/>
    <mergeCell ref="A777:C777"/>
    <mergeCell ref="A779:C779"/>
    <mergeCell ref="A831:C831"/>
    <mergeCell ref="A838:H838"/>
    <mergeCell ref="A839:H839"/>
    <mergeCell ref="A846:C846"/>
    <mergeCell ref="A853:C853"/>
    <mergeCell ref="A860:C860"/>
    <mergeCell ref="A888:C888"/>
    <mergeCell ref="A893:C893"/>
    <mergeCell ref="A914:C914"/>
    <mergeCell ref="A921:H921"/>
    <mergeCell ref="A936:C936"/>
    <mergeCell ref="A946:C946"/>
    <mergeCell ref="A959:C959"/>
    <mergeCell ref="A973:C973"/>
    <mergeCell ref="A983:C983"/>
    <mergeCell ref="A998:C998"/>
    <mergeCell ref="A1004:H1004"/>
    <mergeCell ref="A1011:C1011"/>
    <mergeCell ref="A1018:C1018"/>
    <mergeCell ref="A1045:C1045"/>
    <mergeCell ref="A1061:C1061"/>
    <mergeCell ref="A1081:C1081"/>
    <mergeCell ref="A1088:H1088"/>
    <mergeCell ref="A1095:C1095"/>
    <mergeCell ref="A1102:C1102"/>
    <mergeCell ref="A1110:C1110"/>
    <mergeCell ref="A1122:C1122"/>
    <mergeCell ref="A1132:C1132"/>
    <mergeCell ref="A1137:C1137"/>
    <mergeCell ref="A1169:H1169"/>
    <mergeCell ref="A1177:C1177"/>
    <mergeCell ref="A1184:C1184"/>
    <mergeCell ref="A1191:C1191"/>
    <mergeCell ref="A1195:C1195"/>
    <mergeCell ref="A1225:D1225"/>
    <mergeCell ref="A1233:C1233"/>
    <mergeCell ref="A1247:C1247"/>
    <mergeCell ref="A6:A7"/>
    <mergeCell ref="A88:A89"/>
    <mergeCell ref="A175:A176"/>
    <mergeCell ref="A258:A259"/>
    <mergeCell ref="A343:A344"/>
    <mergeCell ref="A423:A424"/>
    <mergeCell ref="A506:A507"/>
    <mergeCell ref="A596:A597"/>
    <mergeCell ref="A672:A673"/>
    <mergeCell ref="A758:A759"/>
    <mergeCell ref="A840:A841"/>
    <mergeCell ref="A922:A923"/>
    <mergeCell ref="A1005:A1006"/>
    <mergeCell ref="A1089:A1090"/>
    <mergeCell ref="A1170:A1171"/>
    <mergeCell ref="B6:B7"/>
    <mergeCell ref="B88:B89"/>
    <mergeCell ref="B175:B176"/>
    <mergeCell ref="B258:B259"/>
    <mergeCell ref="B343:B344"/>
    <mergeCell ref="B423:B424"/>
    <mergeCell ref="B506:B507"/>
    <mergeCell ref="B596:B597"/>
    <mergeCell ref="B672:B673"/>
    <mergeCell ref="B758:B759"/>
    <mergeCell ref="B840:B841"/>
    <mergeCell ref="B922:B923"/>
    <mergeCell ref="B1005:B1006"/>
    <mergeCell ref="B1089:B1090"/>
    <mergeCell ref="B1170:B1171"/>
    <mergeCell ref="C6:C7"/>
    <mergeCell ref="C88:C89"/>
    <mergeCell ref="C175:C176"/>
    <mergeCell ref="C258:C259"/>
    <mergeCell ref="C343:C344"/>
    <mergeCell ref="C423:C424"/>
    <mergeCell ref="C506:C507"/>
    <mergeCell ref="C596:C597"/>
    <mergeCell ref="C672:C673"/>
    <mergeCell ref="C758:C759"/>
    <mergeCell ref="C840:C841"/>
    <mergeCell ref="C922:C923"/>
    <mergeCell ref="C1005:C1006"/>
    <mergeCell ref="C1089:C1090"/>
    <mergeCell ref="C1170:C1171"/>
    <mergeCell ref="D6:D7"/>
    <mergeCell ref="D88:D89"/>
    <mergeCell ref="D175:D176"/>
    <mergeCell ref="D258:D259"/>
    <mergeCell ref="D343:D344"/>
    <mergeCell ref="D423:D424"/>
    <mergeCell ref="D506:D507"/>
    <mergeCell ref="D596:D597"/>
    <mergeCell ref="D672:D673"/>
    <mergeCell ref="D758:D759"/>
    <mergeCell ref="D840:D841"/>
    <mergeCell ref="D922:D923"/>
    <mergeCell ref="D1005:D1006"/>
    <mergeCell ref="D1089:D1090"/>
    <mergeCell ref="D1170:D1171"/>
    <mergeCell ref="E6:E7"/>
    <mergeCell ref="E88:E89"/>
    <mergeCell ref="E175:E176"/>
    <mergeCell ref="E258:E259"/>
    <mergeCell ref="E343:E344"/>
    <mergeCell ref="E423:E424"/>
    <mergeCell ref="E506:E507"/>
    <mergeCell ref="E596:E597"/>
    <mergeCell ref="E672:E673"/>
    <mergeCell ref="E758:E759"/>
    <mergeCell ref="E840:E841"/>
    <mergeCell ref="E922:E923"/>
    <mergeCell ref="E1005:E1006"/>
    <mergeCell ref="E1089:E1090"/>
    <mergeCell ref="E1170:E1171"/>
    <mergeCell ref="F6:F7"/>
    <mergeCell ref="F88:F89"/>
    <mergeCell ref="F175:F176"/>
    <mergeCell ref="F258:F259"/>
    <mergeCell ref="F343:F344"/>
    <mergeCell ref="F423:F424"/>
    <mergeCell ref="F506:F507"/>
    <mergeCell ref="F596:F597"/>
    <mergeCell ref="F672:F673"/>
    <mergeCell ref="F758:F759"/>
    <mergeCell ref="F840:F841"/>
    <mergeCell ref="F922:F923"/>
    <mergeCell ref="F1005:F1006"/>
    <mergeCell ref="F1089:F1090"/>
    <mergeCell ref="F1170:F1171"/>
    <mergeCell ref="G6:G7"/>
    <mergeCell ref="G88:G89"/>
    <mergeCell ref="G175:G176"/>
    <mergeCell ref="G258:G259"/>
    <mergeCell ref="G343:G344"/>
    <mergeCell ref="G423:G424"/>
    <mergeCell ref="G506:G507"/>
    <mergeCell ref="G596:G597"/>
    <mergeCell ref="G672:G673"/>
    <mergeCell ref="G758:G759"/>
    <mergeCell ref="G840:G841"/>
    <mergeCell ref="G922:G923"/>
    <mergeCell ref="G1005:G1006"/>
    <mergeCell ref="G1089:G1090"/>
    <mergeCell ref="G1170:G1171"/>
    <mergeCell ref="H6:H7"/>
    <mergeCell ref="H88:H89"/>
    <mergeCell ref="H175:H176"/>
    <mergeCell ref="H258:H259"/>
    <mergeCell ref="H343:H344"/>
    <mergeCell ref="H423:H424"/>
    <mergeCell ref="H506:H507"/>
    <mergeCell ref="H596:H597"/>
    <mergeCell ref="H672:H673"/>
    <mergeCell ref="H758:H759"/>
    <mergeCell ref="H840:H841"/>
    <mergeCell ref="H922:H923"/>
    <mergeCell ref="H1005:H1006"/>
    <mergeCell ref="H1089:H1090"/>
    <mergeCell ref="H1170:H1171"/>
  </mergeCells>
  <pageMargins left="1.2992125984252" right="0.708661417322835" top="0.354330708661417" bottom="0" header="0.31496062992126" footer="0.31496062992126"/>
  <pageSetup paperSize="9" scale="4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AD25"/>
  <sheetViews>
    <sheetView workbookViewId="0">
      <selection activeCell="A27" sqref="A27"/>
    </sheetView>
  </sheetViews>
  <sheetFormatPr defaultColWidth="9" defaultRowHeight="15"/>
  <cols>
    <col min="1" max="1" width="23.4285714285714" customWidth="1"/>
    <col min="2" max="2" width="8" style="106" customWidth="1"/>
    <col min="3" max="3" width="22.7142857142857" style="107" customWidth="1"/>
    <col min="4" max="4" width="7.85714285714286" style="106" customWidth="1"/>
    <col min="5" max="5" width="22" style="108" customWidth="1"/>
    <col min="6" max="6" width="8.14285714285714" style="106" customWidth="1"/>
    <col min="7" max="7" width="22.5714285714286" customWidth="1"/>
    <col min="8" max="8" width="7.57142857142857" style="106" customWidth="1"/>
    <col min="9" max="9" width="21.8571428571429" customWidth="1"/>
    <col min="10" max="10" width="8.42857142857143" customWidth="1"/>
    <col min="11" max="11" width="23.1428571428571" customWidth="1"/>
    <col min="12" max="12" width="9" customWidth="1"/>
    <col min="13" max="13" width="21.5714285714286" customWidth="1"/>
    <col min="14" max="14" width="9.71428571428571" customWidth="1"/>
    <col min="15" max="15" width="21.7142857142857" customWidth="1"/>
    <col min="16" max="16" width="9.57142857142857" customWidth="1"/>
    <col min="17" max="17" width="24.4285714285714" customWidth="1"/>
    <col min="18" max="18" width="7.85714285714286" customWidth="1"/>
    <col min="19" max="19" width="24.1428571428571" customWidth="1"/>
    <col min="20" max="20" width="8.28571428571429" customWidth="1"/>
    <col min="21" max="21" width="24.2857142857143" customWidth="1"/>
    <col min="22" max="22" width="7.14285714285714" customWidth="1"/>
    <col min="23" max="23" width="23" customWidth="1"/>
    <col min="24" max="24" width="7.42857142857143" customWidth="1"/>
    <col min="25" max="25" width="22.7142857142857" customWidth="1"/>
    <col min="26" max="26" width="7.85714285714286" customWidth="1"/>
    <col min="27" max="27" width="23" customWidth="1"/>
    <col min="28" max="28" width="8" customWidth="1"/>
    <col min="29" max="29" width="25.1428571428571" customWidth="1"/>
  </cols>
  <sheetData>
    <row r="1" ht="25.5" customHeight="1" spans="1:19">
      <c r="A1" s="109" t="s">
        <v>322</v>
      </c>
      <c r="B1" s="109"/>
      <c r="C1" s="109"/>
      <c r="D1" s="109"/>
      <c r="E1" s="109"/>
      <c r="F1" s="109"/>
      <c r="G1" s="109"/>
      <c r="H1" s="109"/>
      <c r="I1" s="109"/>
      <c r="J1" s="109"/>
      <c r="K1" s="109" t="s">
        <v>323</v>
      </c>
      <c r="L1" s="109"/>
      <c r="M1" s="109"/>
      <c r="N1" s="109"/>
      <c r="O1" s="109"/>
      <c r="P1" s="109"/>
      <c r="Q1" s="109"/>
      <c r="R1" s="109"/>
      <c r="S1" s="109"/>
    </row>
    <row r="2" s="102" customFormat="1" ht="18.75" spans="1:30">
      <c r="A2" s="110" t="s">
        <v>4</v>
      </c>
      <c r="B2" s="111"/>
      <c r="C2" s="110" t="s">
        <v>71</v>
      </c>
      <c r="D2" s="111"/>
      <c r="E2" s="112" t="s">
        <v>108</v>
      </c>
      <c r="F2" s="113"/>
      <c r="G2" s="110" t="s">
        <v>141</v>
      </c>
      <c r="H2" s="111"/>
      <c r="I2" s="110" t="s">
        <v>175</v>
      </c>
      <c r="J2" s="111"/>
      <c r="K2" s="110" t="s">
        <v>198</v>
      </c>
      <c r="L2" s="111"/>
      <c r="M2" s="110" t="s">
        <v>224</v>
      </c>
      <c r="N2" s="111"/>
      <c r="O2" s="110" t="s">
        <v>240</v>
      </c>
      <c r="P2" s="111"/>
      <c r="Q2" s="145" t="s">
        <v>255</v>
      </c>
      <c r="R2" s="145"/>
      <c r="S2" s="110" t="s">
        <v>270</v>
      </c>
      <c r="T2" s="111"/>
      <c r="U2" s="110" t="s">
        <v>284</v>
      </c>
      <c r="V2" s="146"/>
      <c r="W2" s="110" t="s">
        <v>292</v>
      </c>
      <c r="X2" s="147"/>
      <c r="Y2" s="110" t="s">
        <v>296</v>
      </c>
      <c r="Z2" s="147"/>
      <c r="AA2" s="110" t="s">
        <v>303</v>
      </c>
      <c r="AB2" s="147"/>
      <c r="AC2" s="145" t="s">
        <v>314</v>
      </c>
      <c r="AD2" s="151"/>
    </row>
    <row r="3" s="103" customFormat="1" ht="15.75" spans="1:30">
      <c r="A3" s="114" t="s">
        <v>13</v>
      </c>
      <c r="B3" s="115" t="s">
        <v>324</v>
      </c>
      <c r="C3" s="115" t="s">
        <v>13</v>
      </c>
      <c r="D3" s="115" t="s">
        <v>324</v>
      </c>
      <c r="E3" s="115" t="s">
        <v>13</v>
      </c>
      <c r="F3" s="115" t="s">
        <v>325</v>
      </c>
      <c r="G3" s="114" t="s">
        <v>13</v>
      </c>
      <c r="H3" s="115" t="s">
        <v>325</v>
      </c>
      <c r="I3" s="114" t="s">
        <v>13</v>
      </c>
      <c r="J3" s="114" t="s">
        <v>325</v>
      </c>
      <c r="K3" s="114" t="s">
        <v>13</v>
      </c>
      <c r="L3" s="114" t="s">
        <v>325</v>
      </c>
      <c r="M3" s="114" t="s">
        <v>13</v>
      </c>
      <c r="N3" s="114" t="s">
        <v>325</v>
      </c>
      <c r="O3" s="114" t="s">
        <v>13</v>
      </c>
      <c r="P3" s="141" t="s">
        <v>325</v>
      </c>
      <c r="Q3" s="114" t="s">
        <v>13</v>
      </c>
      <c r="R3" s="114" t="s">
        <v>325</v>
      </c>
      <c r="S3" s="114" t="s">
        <v>13</v>
      </c>
      <c r="T3" s="114" t="s">
        <v>325</v>
      </c>
      <c r="U3" s="114" t="s">
        <v>13</v>
      </c>
      <c r="V3" s="114" t="s">
        <v>325</v>
      </c>
      <c r="W3" s="148" t="s">
        <v>326</v>
      </c>
      <c r="X3" s="148" t="s">
        <v>325</v>
      </c>
      <c r="Y3" s="148" t="s">
        <v>13</v>
      </c>
      <c r="Z3" s="148" t="s">
        <v>325</v>
      </c>
      <c r="AA3" s="148" t="s">
        <v>13</v>
      </c>
      <c r="AB3" s="148" t="s">
        <v>325</v>
      </c>
      <c r="AC3" s="148" t="s">
        <v>13</v>
      </c>
      <c r="AD3" s="114" t="s">
        <v>325</v>
      </c>
    </row>
    <row r="4" s="104" customFormat="1" ht="24" customHeight="1" spans="1:30">
      <c r="A4" s="116" t="str">
        <f>Меню!A9</f>
        <v>Бутерброд с маслом</v>
      </c>
      <c r="B4" s="117" t="str">
        <f>Меню!D9</f>
        <v>18/5</v>
      </c>
      <c r="C4" s="116" t="str">
        <f>Меню!A91</f>
        <v>Бутерброд с сыром </v>
      </c>
      <c r="D4" s="118" t="str">
        <f>Меню!D91</f>
        <v>18/10</v>
      </c>
      <c r="E4" s="119" t="str">
        <f>Меню!A178</f>
        <v>Бутерброд с маслом и повидлом</v>
      </c>
      <c r="F4" s="117" t="str">
        <f>Меню!D178</f>
        <v>18/5/10</v>
      </c>
      <c r="G4" s="120" t="str">
        <f>Меню!A261</f>
        <v>Горячий бутерброд "Пикантный"</v>
      </c>
      <c r="H4" s="117" t="s">
        <v>144</v>
      </c>
      <c r="I4" s="120" t="str">
        <f>Меню!A346</f>
        <v>Бутерброд с  повидлом </v>
      </c>
      <c r="J4" s="117" t="str">
        <f>Меню!D346</f>
        <v>18/15</v>
      </c>
      <c r="K4" s="120" t="str">
        <f>Меню!A426</f>
        <v>Бутерброд с сыром </v>
      </c>
      <c r="L4" s="117" t="str">
        <f>Меню!D426</f>
        <v>18/12</v>
      </c>
      <c r="M4" s="119" t="str">
        <f>Меню!A509</f>
        <v>Горячий бутерброд "Пикантный"</v>
      </c>
      <c r="N4" s="117" t="str">
        <f>Меню!D509</f>
        <v>30</v>
      </c>
      <c r="O4" s="128" t="str">
        <f>Меню!A599</f>
        <v>Бутерброд с маслом </v>
      </c>
      <c r="P4" s="117" t="str">
        <f>Меню!D599</f>
        <v>18/10</v>
      </c>
      <c r="Q4" s="143" t="str">
        <f>Меню!A675</f>
        <v>Бутерброд с  повидлом</v>
      </c>
      <c r="R4" s="117" t="s">
        <v>177</v>
      </c>
      <c r="S4" s="119" t="str">
        <f>Меню!A761</f>
        <v>Каша молочная овсяная </v>
      </c>
      <c r="T4" s="117" t="s">
        <v>146</v>
      </c>
      <c r="U4" s="131" t="str">
        <f>Меню!A843</f>
        <v>Бутерброд с маслом</v>
      </c>
      <c r="V4" s="117" t="str">
        <f>Меню!D843</f>
        <v>18/10</v>
      </c>
      <c r="W4" s="120" t="str">
        <f>Меню!A925</f>
        <v>Горячий бутерброд "Пикантный"</v>
      </c>
      <c r="X4" s="117" t="str">
        <f>Меню!D925</f>
        <v>30</v>
      </c>
      <c r="Y4" s="119" t="str">
        <f>Меню!A1008</f>
        <v>Бутерброд с  повидлом</v>
      </c>
      <c r="Z4" s="117" t="str">
        <f>Меню!D1008</f>
        <v>18/15</v>
      </c>
      <c r="AA4" s="120" t="str">
        <f>Меню!A1092</f>
        <v>Бутерброд с сыром </v>
      </c>
      <c r="AB4" s="117" t="str">
        <f>Меню!D1092</f>
        <v>18/12</v>
      </c>
      <c r="AC4" s="131" t="str">
        <f>Меню!A1173</f>
        <v>Бутерброд с маслом и сыром</v>
      </c>
      <c r="AD4" s="117" t="str">
        <f>Меню!D1173</f>
        <v>18/5/10</v>
      </c>
    </row>
    <row r="5" s="104" customFormat="1" ht="12.75" spans="1:30">
      <c r="A5" s="116" t="str">
        <f>Меню!A12</f>
        <v>Яйцо отварное</v>
      </c>
      <c r="B5" s="121">
        <f>Меню!D12</f>
        <v>40</v>
      </c>
      <c r="C5" s="116"/>
      <c r="D5" s="122"/>
      <c r="E5" s="119"/>
      <c r="F5" s="123"/>
      <c r="G5" s="120"/>
      <c r="H5" s="121"/>
      <c r="I5" s="120" t="str">
        <f>Меню!A349</f>
        <v>Яйцо отварное</v>
      </c>
      <c r="J5" s="117" t="s">
        <v>31</v>
      </c>
      <c r="K5" s="120"/>
      <c r="L5" s="121"/>
      <c r="M5" s="120"/>
      <c r="N5" s="125"/>
      <c r="O5" s="130"/>
      <c r="P5" s="121"/>
      <c r="Q5" s="120"/>
      <c r="R5" s="125"/>
      <c r="S5" s="119" t="str">
        <f>Меню!A768</f>
        <v>Какао с молоком</v>
      </c>
      <c r="T5" s="130">
        <f>Меню!D768</f>
        <v>200</v>
      </c>
      <c r="U5" s="131"/>
      <c r="V5" s="121"/>
      <c r="W5" s="119"/>
      <c r="X5" s="121"/>
      <c r="Y5" s="143" t="str">
        <f>Меню!A1023</f>
        <v>Яйцо отварное</v>
      </c>
      <c r="Z5" s="121">
        <f>Меню!D1023</f>
        <v>40</v>
      </c>
      <c r="AA5" s="131"/>
      <c r="AB5" s="121"/>
      <c r="AC5" s="131"/>
      <c r="AD5" s="121"/>
    </row>
    <row r="6" s="104" customFormat="1" ht="25.5" spans="1:30">
      <c r="A6" s="124" t="str">
        <f>Меню!A14</f>
        <v>Каша молочная пшеничная </v>
      </c>
      <c r="B6" s="117" t="str">
        <f>Меню!D14</f>
        <v>200</v>
      </c>
      <c r="C6" s="116" t="str">
        <f>Меню!A95</f>
        <v>Каша молочная пшенная</v>
      </c>
      <c r="D6" s="118" t="s">
        <v>327</v>
      </c>
      <c r="E6" s="119" t="str">
        <f>Меню!A182</f>
        <v>Омлет натуральный </v>
      </c>
      <c r="F6" s="125">
        <f>Меню!D182</f>
        <v>120</v>
      </c>
      <c r="G6" s="120" t="str">
        <f>Меню!A265</f>
        <v>Каша молочная ячневая</v>
      </c>
      <c r="H6" s="117" t="str">
        <f>Меню!D265</f>
        <v>150</v>
      </c>
      <c r="I6" s="120" t="str">
        <f>Меню!A351</f>
        <v>Каша молочная рисовая </v>
      </c>
      <c r="J6" s="117" t="str">
        <f>Меню!D351</f>
        <v>190</v>
      </c>
      <c r="K6" s="120" t="str">
        <f>Меню!A429</f>
        <v>Каша  молочная манная </v>
      </c>
      <c r="L6" s="117" t="str">
        <f>Меню!D429</f>
        <v>150</v>
      </c>
      <c r="M6" s="119" t="str">
        <f>Меню!A513</f>
        <v>Каша молочная пшеничная </v>
      </c>
      <c r="N6" s="117" t="str">
        <f>Меню!D513</f>
        <v>150</v>
      </c>
      <c r="O6" s="127" t="str">
        <f>Меню!A602</f>
        <v>Каша молочная жидкая пшенная </v>
      </c>
      <c r="P6" s="117" t="str">
        <f>Меню!D602</f>
        <v>180</v>
      </c>
      <c r="Q6" s="120" t="str">
        <f>Меню!A678</f>
        <v>Каша молочная рисовая </v>
      </c>
      <c r="R6" s="117" t="str">
        <f>Меню!D678</f>
        <v>190</v>
      </c>
      <c r="S6" s="119" t="str">
        <f>Меню!A773</f>
        <v>Печенье сахарное</v>
      </c>
      <c r="T6" s="121">
        <f>Меню!D773</f>
        <v>50</v>
      </c>
      <c r="U6" s="119" t="str">
        <f>Меню!A846</f>
        <v>Каша  молочная манная </v>
      </c>
      <c r="V6" s="117" t="str">
        <f>Меню!D846</f>
        <v>160</v>
      </c>
      <c r="W6" s="119" t="str">
        <f>Меню!A929</f>
        <v>Каша молочная жидкая пшенная </v>
      </c>
      <c r="X6" s="117" t="str">
        <f>Меню!D929</f>
        <v>200</v>
      </c>
      <c r="Y6" s="119" t="str">
        <f>Меню!A1011</f>
        <v>Каша молочная жидкая овсяная</v>
      </c>
      <c r="Z6" s="117" t="str">
        <f>Меню!D1011</f>
        <v>200</v>
      </c>
      <c r="AA6" s="119" t="str">
        <f>Меню!A1095</f>
        <v>Каша молочная ячневая</v>
      </c>
      <c r="AB6" s="117" t="str">
        <f>Меню!D1095</f>
        <v>170</v>
      </c>
      <c r="AC6" s="119" t="str">
        <f>Меню!A1177</f>
        <v>Каша молочная рисовая </v>
      </c>
      <c r="AD6" s="117" t="str">
        <f>Меню!D1177</f>
        <v>180</v>
      </c>
    </row>
    <row r="7" s="104" customFormat="1" ht="15.75" customHeight="1" spans="1:30">
      <c r="A7" s="116" t="str">
        <f>Меню!A21</f>
        <v>Чай с молоком и сахаром  </v>
      </c>
      <c r="B7" s="117">
        <f>Меню!D21</f>
        <v>200</v>
      </c>
      <c r="C7" s="116" t="str">
        <f>Меню!A102</f>
        <v>Кофейный напиток </v>
      </c>
      <c r="D7" s="118" t="str">
        <f>Меню!D102</f>
        <v>180</v>
      </c>
      <c r="E7" s="126" t="str">
        <f>Меню!A188</f>
        <v>Какао с молоком</v>
      </c>
      <c r="F7" s="125">
        <f>Меню!D188</f>
        <v>200</v>
      </c>
      <c r="G7" s="120" t="str">
        <f>Меню!A272</f>
        <v>Чай с сахаром и лимоном </v>
      </c>
      <c r="H7" s="125">
        <f>Меню!D272</f>
        <v>200</v>
      </c>
      <c r="I7" s="142" t="str">
        <f>Меню!A358</f>
        <v>Чай с молоком и сахаром  </v>
      </c>
      <c r="J7" s="121">
        <f>Меню!D358</f>
        <v>200</v>
      </c>
      <c r="K7" s="120" t="str">
        <f>Меню!A436</f>
        <v>Кофейный напиток</v>
      </c>
      <c r="L7" s="117" t="str">
        <f>Меню!D436</f>
        <v>200</v>
      </c>
      <c r="M7" s="126" t="str">
        <f>Меню!A520</f>
        <v>Какао с молоком </v>
      </c>
      <c r="N7" s="121">
        <f>Меню!D520</f>
        <v>200</v>
      </c>
      <c r="O7" s="123" t="str">
        <f>Меню!A609</f>
        <v>Чай с молоком и сахаром </v>
      </c>
      <c r="P7" s="117">
        <f>Меню!D609</f>
        <v>200</v>
      </c>
      <c r="Q7" s="143" t="str">
        <f>Меню!A685</f>
        <v>Кофейный напиток </v>
      </c>
      <c r="R7" s="117">
        <f>Меню!D685</f>
        <v>200</v>
      </c>
      <c r="S7" s="119" t="str">
        <f>Меню!A774</f>
        <v>Фрукт </v>
      </c>
      <c r="T7" s="125" t="str">
        <f>Меню!D774</f>
        <v>100</v>
      </c>
      <c r="U7" s="143" t="str">
        <f>Меню!A853</f>
        <v>Чай с сахаром </v>
      </c>
      <c r="V7" s="117">
        <f>Меню!D853</f>
        <v>200</v>
      </c>
      <c r="W7" s="120" t="str">
        <f>Меню!A936</f>
        <v>Чай с молоком и сахаром </v>
      </c>
      <c r="X7" s="117">
        <f>Меню!D936</f>
        <v>200</v>
      </c>
      <c r="Y7" s="131" t="str">
        <f>Меню!A1018</f>
        <v>Какао с молоком </v>
      </c>
      <c r="Z7" s="121">
        <f>Меню!D1018</f>
        <v>200</v>
      </c>
      <c r="AA7" s="143" t="str">
        <f>Меню!A1102</f>
        <v>Кофейный напиток</v>
      </c>
      <c r="AB7" s="117" t="str">
        <f>Меню!D1102</f>
        <v>200</v>
      </c>
      <c r="AC7" s="131" t="str">
        <f>Меню!A1184</f>
        <v>Чай с сахаром </v>
      </c>
      <c r="AD7" s="121">
        <f>Меню!D1184</f>
        <v>200</v>
      </c>
    </row>
    <row r="8" s="104" customFormat="1" ht="38.25" spans="1:30">
      <c r="A8" s="124" t="str">
        <f>Меню!A26</f>
        <v>Хлеб ржаной</v>
      </c>
      <c r="B8" s="117" t="str">
        <f>Меню!D26</f>
        <v>40</v>
      </c>
      <c r="C8" s="116" t="str">
        <f>Меню!A108</f>
        <v>Хлеб ржаной</v>
      </c>
      <c r="D8" s="122">
        <f>Меню!D108</f>
        <v>20</v>
      </c>
      <c r="E8" s="127" t="str">
        <f>Меню!A193</f>
        <v>Фрукт </v>
      </c>
      <c r="F8" s="125">
        <f>Меню!D193</f>
        <v>130</v>
      </c>
      <c r="G8" s="120" t="str">
        <f>Меню!A278</f>
        <v>Хлеб пшеничный или хлеб пшеничный витаминизированный</v>
      </c>
      <c r="H8" s="125">
        <f>Меню!D278</f>
        <v>20</v>
      </c>
      <c r="I8" s="120" t="str">
        <f>Меню!A363</f>
        <v>Хлеб пшеничный или хлеб пшеничный витаминизированный</v>
      </c>
      <c r="J8" s="125">
        <f>Меню!D363</f>
        <v>40</v>
      </c>
      <c r="K8" s="120" t="str">
        <f>Меню!A441</f>
        <v>Хлеб пшеничный или хлеб пшеничный витаминизированный</v>
      </c>
      <c r="L8" s="125">
        <f>Меню!D441</f>
        <v>20</v>
      </c>
      <c r="M8" s="119" t="str">
        <f>Меню!A525</f>
        <v>Йогурт 2,5% 125 гр стак. в инд. упак.</v>
      </c>
      <c r="N8" s="125">
        <f>Меню!D525</f>
        <v>125</v>
      </c>
      <c r="O8" s="127" t="str">
        <f>Меню!A614</f>
        <v>Фрукт </v>
      </c>
      <c r="P8" s="125">
        <f>Меню!D614</f>
        <v>100</v>
      </c>
      <c r="Q8" s="120" t="str">
        <f>Меню!A692</f>
        <v>Хлеб ржаной</v>
      </c>
      <c r="R8" s="125">
        <f>Меню!D692</f>
        <v>40</v>
      </c>
      <c r="S8" s="119" t="str">
        <f>Меню!A775</f>
        <v>Хлеб ржаной</v>
      </c>
      <c r="T8" s="125">
        <f>Меню!D775</f>
        <v>20</v>
      </c>
      <c r="U8" s="119" t="str">
        <f>Меню!A857</f>
        <v>Хлеб ржаной</v>
      </c>
      <c r="V8" s="125">
        <f>Меню!D857</f>
        <v>30</v>
      </c>
      <c r="W8" s="119" t="str">
        <f>Меню!A941</f>
        <v>Фрукт </v>
      </c>
      <c r="X8" s="125">
        <f>Меню!D941</f>
        <v>100</v>
      </c>
      <c r="Y8" s="119" t="str">
        <f>Меню!A1025</f>
        <v>Хлеб ржаной</v>
      </c>
      <c r="Z8" s="125">
        <f>Меню!D1025</f>
        <v>30</v>
      </c>
      <c r="AA8" s="119" t="str">
        <f>Меню!A1107</f>
        <v>Десерт творожный</v>
      </c>
      <c r="AB8" s="125" t="str">
        <f>Меню!D1107</f>
        <v>100</v>
      </c>
      <c r="AC8" s="119"/>
      <c r="AD8" s="125"/>
    </row>
    <row r="9" s="104" customFormat="1" ht="12.75" customHeight="1" spans="1:30">
      <c r="A9" s="120"/>
      <c r="B9" s="117"/>
      <c r="C9" s="116" t="str">
        <f>Меню!A107</f>
        <v>Фрукт </v>
      </c>
      <c r="D9" s="125" t="str">
        <f>Меню!D107</f>
        <v>100</v>
      </c>
      <c r="E9" s="128"/>
      <c r="F9" s="123"/>
      <c r="G9" s="120" t="str">
        <f>Меню!A277</f>
        <v>Йогурт 2,5% 125 гр стак. в инд. упак.</v>
      </c>
      <c r="H9" s="125">
        <f>Меню!D277</f>
        <v>125</v>
      </c>
      <c r="I9" s="120"/>
      <c r="J9" s="125"/>
      <c r="K9" s="143" t="str">
        <f>Меню!A442</f>
        <v>Десерт творожный</v>
      </c>
      <c r="L9" s="125" t="str">
        <f>Меню!D442</f>
        <v>100</v>
      </c>
      <c r="M9" s="120"/>
      <c r="N9" s="125"/>
      <c r="O9" s="127" t="str">
        <f>Меню!A615</f>
        <v>Хлеб пшеничный или хлеб пшеничный витаминизированный</v>
      </c>
      <c r="P9" s="125">
        <f>Меню!D615</f>
        <v>20</v>
      </c>
      <c r="Q9" s="143" t="str">
        <f>Меню!A690</f>
        <v>Яйцо отварное</v>
      </c>
      <c r="R9" s="125">
        <f>Меню!D690</f>
        <v>40</v>
      </c>
      <c r="S9" s="120"/>
      <c r="T9" s="125"/>
      <c r="U9" s="143" t="str">
        <f>Меню!A858</f>
        <v>Фрукт </v>
      </c>
      <c r="V9" s="125" t="str">
        <f>Меню!D858</f>
        <v>100</v>
      </c>
      <c r="W9" s="120"/>
      <c r="X9" s="125"/>
      <c r="Y9" s="143"/>
      <c r="Z9" s="125"/>
      <c r="AA9" s="119" t="str">
        <f>Меню!A1108</f>
        <v>Хлеб пшеничный или хлеб пшеничный витаминизированный</v>
      </c>
      <c r="AB9" s="125">
        <f>Меню!D1108</f>
        <v>20</v>
      </c>
      <c r="AC9" s="143" t="str">
        <f>Меню!A1188</f>
        <v>Фрукт </v>
      </c>
      <c r="AD9" s="125">
        <f>Меню!D1188</f>
        <v>100</v>
      </c>
    </row>
    <row r="10" s="104" customFormat="1" ht="12.75" spans="1:30">
      <c r="A10" s="120"/>
      <c r="B10" s="117"/>
      <c r="C10" s="120"/>
      <c r="D10" s="125"/>
      <c r="E10" s="129"/>
      <c r="F10" s="123"/>
      <c r="G10" s="120"/>
      <c r="H10" s="125"/>
      <c r="I10" s="120"/>
      <c r="J10" s="125"/>
      <c r="K10" s="120"/>
      <c r="L10" s="125"/>
      <c r="M10" s="120"/>
      <c r="N10" s="125"/>
      <c r="O10" s="123"/>
      <c r="P10" s="121"/>
      <c r="Q10" s="120"/>
      <c r="R10" s="125"/>
      <c r="S10" s="120"/>
      <c r="T10" s="125"/>
      <c r="U10" s="120"/>
      <c r="V10" s="125"/>
      <c r="W10" s="120"/>
      <c r="X10" s="125"/>
      <c r="Y10" s="128"/>
      <c r="Z10" s="125"/>
      <c r="AA10" s="123"/>
      <c r="AB10" s="121"/>
      <c r="AC10" s="120"/>
      <c r="AD10" s="125"/>
    </row>
    <row r="11" s="104" customFormat="1" ht="12.75" spans="1:30">
      <c r="A11" s="119"/>
      <c r="B11" s="121"/>
      <c r="C11" s="119"/>
      <c r="D11" s="121"/>
      <c r="E11" s="130"/>
      <c r="F11" s="123"/>
      <c r="G11" s="131"/>
      <c r="H11" s="121"/>
      <c r="I11" s="130"/>
      <c r="J11" s="121"/>
      <c r="K11" s="130"/>
      <c r="L11" s="117"/>
      <c r="M11" s="130"/>
      <c r="N11" s="117"/>
      <c r="O11" s="123"/>
      <c r="P11" s="117"/>
      <c r="Q11" s="130"/>
      <c r="R11" s="117"/>
      <c r="S11" s="130"/>
      <c r="T11" s="130"/>
      <c r="U11" s="130"/>
      <c r="V11" s="117"/>
      <c r="W11" s="130"/>
      <c r="X11" s="130"/>
      <c r="Y11" s="123"/>
      <c r="Z11" s="121"/>
      <c r="AA11" s="130"/>
      <c r="AB11" s="117"/>
      <c r="AC11" s="130"/>
      <c r="AD11" s="117"/>
    </row>
    <row r="12" s="105" customFormat="1" ht="15.75" spans="1:30">
      <c r="A12" s="132" t="s">
        <v>32</v>
      </c>
      <c r="B12" s="133"/>
      <c r="C12" s="132" t="s">
        <v>32</v>
      </c>
      <c r="D12" s="133"/>
      <c r="E12" s="132" t="s">
        <v>32</v>
      </c>
      <c r="F12" s="133"/>
      <c r="G12" s="132" t="s">
        <v>32</v>
      </c>
      <c r="H12" s="133"/>
      <c r="I12" s="132" t="s">
        <v>32</v>
      </c>
      <c r="J12" s="133"/>
      <c r="K12" s="132" t="s">
        <v>32</v>
      </c>
      <c r="L12" s="133"/>
      <c r="M12" s="132" t="s">
        <v>32</v>
      </c>
      <c r="N12" s="144">
        <f>N14+N15+N16+N17+N18</f>
        <v>680</v>
      </c>
      <c r="O12" s="132" t="s">
        <v>32</v>
      </c>
      <c r="P12" s="133"/>
      <c r="Q12" s="132" t="s">
        <v>32</v>
      </c>
      <c r="R12" s="149"/>
      <c r="S12" s="132" t="s">
        <v>32</v>
      </c>
      <c r="T12" s="132"/>
      <c r="U12" s="132" t="s">
        <v>32</v>
      </c>
      <c r="V12" s="132"/>
      <c r="W12" s="132" t="s">
        <v>32</v>
      </c>
      <c r="X12" s="150"/>
      <c r="Y12" s="132" t="s">
        <v>32</v>
      </c>
      <c r="Z12" s="132"/>
      <c r="AA12" s="132" t="s">
        <v>32</v>
      </c>
      <c r="AB12" s="132"/>
      <c r="AC12" s="132" t="s">
        <v>32</v>
      </c>
      <c r="AD12" s="132"/>
    </row>
    <row r="13" s="104" customFormat="1" ht="28.5" customHeight="1" spans="1:30">
      <c r="A13" s="134"/>
      <c r="B13" s="125"/>
      <c r="C13" s="120"/>
      <c r="D13" s="125"/>
      <c r="E13" s="135" t="str">
        <f>Меню!A196</f>
        <v>Овощи свежие ( на подгарнировку)</v>
      </c>
      <c r="F13" s="125">
        <f>Меню!D196</f>
        <v>60</v>
      </c>
      <c r="G13" s="116"/>
      <c r="H13" s="125"/>
      <c r="I13" s="120"/>
      <c r="J13" s="125"/>
      <c r="K13" s="120" t="str">
        <f>Меню!A444</f>
        <v>Огурцы соленые</v>
      </c>
      <c r="L13" s="125">
        <f>Меню!D444</f>
        <v>60</v>
      </c>
      <c r="M13" s="135"/>
      <c r="N13" s="125"/>
      <c r="O13" s="120"/>
      <c r="P13" s="125"/>
      <c r="Q13" s="120" t="str">
        <f>Меню!A694</f>
        <v>Овощи свежие ( на подгарнировку)</v>
      </c>
      <c r="R13" s="125">
        <f>Меню!D694</f>
        <v>60</v>
      </c>
      <c r="S13" s="120" t="str">
        <f>Меню!A777</f>
        <v>Помидоры свежие на подгарнировку</v>
      </c>
      <c r="T13" s="125">
        <f>Меню!D777</f>
        <v>60</v>
      </c>
      <c r="U13" s="135"/>
      <c r="V13" s="125"/>
      <c r="W13" s="120" t="str">
        <f>Меню!A944</f>
        <v>Овощи соленые(огурцы)</v>
      </c>
      <c r="X13" s="125">
        <f>Меню!D944</f>
        <v>60</v>
      </c>
      <c r="Y13" s="120"/>
      <c r="Z13" s="125"/>
      <c r="AA13" s="135"/>
      <c r="AB13" s="125"/>
      <c r="AC13" s="135" t="str">
        <f>Меню!A1191</f>
        <v>Овощи свежие ( на подгарнировку)</v>
      </c>
      <c r="AD13" s="125">
        <f>Меню!D1191</f>
        <v>60</v>
      </c>
    </row>
    <row r="14" s="104" customFormat="1" ht="24.75" customHeight="1" spans="1:30">
      <c r="A14" s="136" t="str">
        <f>Меню!A29</f>
        <v>Суп с птицей, крупой и овощами  </v>
      </c>
      <c r="B14" s="125">
        <f>Меню!D29</f>
        <v>220</v>
      </c>
      <c r="C14" s="120" t="str">
        <f>Меню!A110</f>
        <v>Рассольник Ленинградский с птицей,сметаной  и зеленью                                                                      </v>
      </c>
      <c r="D14" s="125" t="str">
        <f>Меню!D110</f>
        <v>200</v>
      </c>
      <c r="E14" s="135" t="str">
        <f>Меню!A201</f>
        <v> Борщ с птицей и сметаной  </v>
      </c>
      <c r="F14" s="125">
        <f>Меню!D201</f>
        <v>200</v>
      </c>
      <c r="G14" s="120" t="str">
        <f>Меню!A280</f>
        <v>Суп - пюре с  птицей и гренками</v>
      </c>
      <c r="H14" s="125" t="str">
        <f>Меню!D280</f>
        <v>220/10</v>
      </c>
      <c r="I14" s="120" t="str">
        <f>Меню!A365</f>
        <v>Солянка рыбная</v>
      </c>
      <c r="J14" s="125">
        <f>Меню!D365</f>
        <v>220</v>
      </c>
      <c r="K14" s="120" t="str">
        <f>Меню!A446</f>
        <v>Суп Лагман с курицей  </v>
      </c>
      <c r="L14" s="125" t="str">
        <f>Меню!D446</f>
        <v>220</v>
      </c>
      <c r="M14" s="135" t="str">
        <f>Меню!A528</f>
        <v>Суп гороховый  с  птицей и зеленью</v>
      </c>
      <c r="N14" s="121">
        <f>Меню!D528</f>
        <v>220</v>
      </c>
      <c r="O14" s="120" t="str">
        <f>Меню!A617</f>
        <v>Крем-суп сырный</v>
      </c>
      <c r="P14" s="125">
        <f>Меню!D617</f>
        <v>200</v>
      </c>
      <c r="Q14" s="120" t="str">
        <f>Меню!A698</f>
        <v>Щи из свежей капусты с птицей, сметаной и зеленью</v>
      </c>
      <c r="R14" s="125">
        <f>Меню!D698</f>
        <v>200</v>
      </c>
      <c r="S14" s="119" t="str">
        <f>Меню!A779</f>
        <v>Рассольник Ленинградский с птицей, сметаной   и зеленью                                                            </v>
      </c>
      <c r="T14" s="117" t="str">
        <f>Меню!D779</f>
        <v>220</v>
      </c>
      <c r="U14" s="135" t="str">
        <f>Меню!A860</f>
        <v>Свекольник с мясом  и сметаной </v>
      </c>
      <c r="V14" s="125">
        <f>Меню!D860</f>
        <v>220</v>
      </c>
      <c r="W14" s="131" t="str">
        <f>Меню!A946</f>
        <v>Суп гороховый с птицей и зеленью</v>
      </c>
      <c r="X14" s="130">
        <f>Меню!D946</f>
        <v>200</v>
      </c>
      <c r="Y14" s="120" t="str">
        <f>Меню!A1028</f>
        <v>Суп Лагман с курицей  </v>
      </c>
      <c r="Z14" s="125" t="str">
        <f>Меню!D1028</f>
        <v>220</v>
      </c>
      <c r="AA14" s="135" t="str">
        <f>Меню!A1110</f>
        <v>Суп - пюре с  птицей и гренками</v>
      </c>
      <c r="AB14" s="123" t="str">
        <f>Меню!D1110</f>
        <v>220/10</v>
      </c>
      <c r="AC14" s="120" t="str">
        <f>Меню!A1195</f>
        <v> Борщ с птицей и сметаной  </v>
      </c>
      <c r="AD14" s="130">
        <f>Меню!D1195</f>
        <v>200</v>
      </c>
    </row>
    <row r="15" s="104" customFormat="1" ht="35.25" customHeight="1" spans="1:30">
      <c r="A15" s="120" t="str">
        <f>Меню!A47</f>
        <v>Суфле из печени</v>
      </c>
      <c r="B15" s="125">
        <f>Меню!D47</f>
        <v>90</v>
      </c>
      <c r="C15" s="120" t="str">
        <f>Меню!A141</f>
        <v>Котлета Любительская</v>
      </c>
      <c r="D15" s="125">
        <f>Меню!D141</f>
        <v>90</v>
      </c>
      <c r="E15" s="120" t="str">
        <f>Меню!A220</f>
        <v>Гречка по купечески</v>
      </c>
      <c r="F15" s="125">
        <f>Меню!D220</f>
        <v>170</v>
      </c>
      <c r="G15" s="120" t="str">
        <f>Меню!A292</f>
        <v>Мясные шарики в сырном соусе</v>
      </c>
      <c r="H15" s="121" t="str">
        <f>Меню!D292</f>
        <v>90/20</v>
      </c>
      <c r="I15" s="120" t="str">
        <f>Меню!A379</f>
        <v>Болоньезе</v>
      </c>
      <c r="J15" s="125" t="str">
        <f>Меню!D379</f>
        <v>90</v>
      </c>
      <c r="K15" s="120" t="str">
        <f>Меню!A462</f>
        <v>Плов с мясом </v>
      </c>
      <c r="L15" s="125" t="str">
        <f>Меню!D462</f>
        <v>200</v>
      </c>
      <c r="M15" s="120" t="str">
        <f>Меню!A541</f>
        <v>Котлета мясная</v>
      </c>
      <c r="N15" s="121">
        <f>Меню!D541</f>
        <v>90</v>
      </c>
      <c r="O15" s="120" t="str">
        <f>Меню!A630</f>
        <v>Гуляш "По-венгерски"</v>
      </c>
      <c r="P15" s="125">
        <f>Меню!D630</f>
        <v>90</v>
      </c>
      <c r="Q15" s="120" t="str">
        <f>Меню!A714</f>
        <v>Тефтель рыбный</v>
      </c>
      <c r="R15" s="125">
        <f>Меню!D726</f>
        <v>90</v>
      </c>
      <c r="S15" s="120" t="str">
        <f>Меню!A795</f>
        <v>Жаркое по-домашнему  </v>
      </c>
      <c r="T15" s="117" t="str">
        <f>Меню!D795</f>
        <v>200</v>
      </c>
      <c r="U15" s="120" t="str">
        <f>Меню!A876</f>
        <v>Суфле из печени</v>
      </c>
      <c r="V15" s="130">
        <f>Меню!D876</f>
        <v>90</v>
      </c>
      <c r="W15" s="120" t="str">
        <f>Меню!A959</f>
        <v>Котлета Любительская</v>
      </c>
      <c r="X15" s="125">
        <f>Меню!D959</f>
        <v>90</v>
      </c>
      <c r="Y15" s="120" t="str">
        <f>Меню!A1045</f>
        <v>Кура запеченная </v>
      </c>
      <c r="Z15" s="130">
        <f>Меню!D1045</f>
        <v>90</v>
      </c>
      <c r="AA15" s="120" t="str">
        <f>Меню!A1122</f>
        <v>Азу </v>
      </c>
      <c r="AB15" s="123">
        <f>Меню!D1122</f>
        <v>90</v>
      </c>
      <c r="AC15" s="143" t="str">
        <f>Меню!A1214</f>
        <v>Тефтель мясной </v>
      </c>
      <c r="AD15" s="152">
        <f>Меню!D1214</f>
        <v>90</v>
      </c>
    </row>
    <row r="16" s="104" customFormat="1" ht="17.25" customHeight="1" spans="1:30">
      <c r="A16" s="120" t="str">
        <f>Меню!A58</f>
        <v>Макароны отварные </v>
      </c>
      <c r="B16" s="125">
        <f>Меню!D58</f>
        <v>150</v>
      </c>
      <c r="C16" s="120" t="str">
        <f>Меню!A145</f>
        <v>Пюре картофельное </v>
      </c>
      <c r="D16" s="117">
        <f>Меню!D145</f>
        <v>150</v>
      </c>
      <c r="E16" s="120"/>
      <c r="F16" s="125"/>
      <c r="G16" s="120" t="str">
        <f>Меню!A312</f>
        <v>Рис отварной с овощами</v>
      </c>
      <c r="H16" s="121">
        <f>Меню!D312</f>
        <v>150</v>
      </c>
      <c r="I16" s="120" t="str">
        <f>Меню!A394</f>
        <v>Макароны отварные </v>
      </c>
      <c r="J16" s="125">
        <f>Меню!D394</f>
        <v>150</v>
      </c>
      <c r="K16" s="120"/>
      <c r="L16" s="125"/>
      <c r="M16" s="120" t="str">
        <f>Меню!A553</f>
        <v>Овощное рагу</v>
      </c>
      <c r="N16" s="125">
        <f>Меню!D553</f>
        <v>150</v>
      </c>
      <c r="O16" s="120" t="str">
        <f>Меню!A645</f>
        <v>Гречка рассыпчатая </v>
      </c>
      <c r="P16" s="125">
        <f>Меню!D645</f>
        <v>150</v>
      </c>
      <c r="Q16" s="143" t="str">
        <f>Меню!A730</f>
        <v>Пюре картофельное </v>
      </c>
      <c r="R16" s="125">
        <f>Меню!D730</f>
        <v>150</v>
      </c>
      <c r="S16" s="120"/>
      <c r="T16" s="125"/>
      <c r="U16" s="120" t="str">
        <f>Меню!A888</f>
        <v>Макароны отварные </v>
      </c>
      <c r="V16" s="125">
        <f>Меню!D888</f>
        <v>150</v>
      </c>
      <c r="W16" s="120" t="str">
        <f>Меню!A977</f>
        <v>Пюре картофельное </v>
      </c>
      <c r="X16" s="117">
        <f>Меню!D977</f>
        <v>150</v>
      </c>
      <c r="Y16" s="120" t="str">
        <f>Меню!A1051</f>
        <v>Овощное рагу</v>
      </c>
      <c r="Z16" s="130">
        <f>Меню!D1051</f>
        <v>150</v>
      </c>
      <c r="AA16" s="119" t="str">
        <f>Меню!A1132</f>
        <v>Рис отварной</v>
      </c>
      <c r="AB16" s="130">
        <f>Меню!D1132</f>
        <v>150</v>
      </c>
      <c r="AC16" s="143" t="str">
        <f>Меню!A1227</f>
        <v>Пюре картофельное </v>
      </c>
      <c r="AD16" s="125">
        <f>Меню!D1227</f>
        <v>150</v>
      </c>
    </row>
    <row r="17" s="104" customFormat="1" ht="28.5" customHeight="1" spans="1:30">
      <c r="A17" s="120" t="str">
        <f>Меню!A63</f>
        <v>Напиток из сухофруктов</v>
      </c>
      <c r="B17" s="125">
        <f>Меню!D81</f>
        <v>180</v>
      </c>
      <c r="C17" s="120" t="str">
        <f>Меню!A151</f>
        <v>Компот из  смородины                                                                                 </v>
      </c>
      <c r="D17" s="125">
        <f>Меню!D151</f>
        <v>200</v>
      </c>
      <c r="E17" s="120" t="str">
        <f>Меню!A231</f>
        <v>Компот из кураги </v>
      </c>
      <c r="F17" s="125">
        <f>Меню!D231</f>
        <v>200</v>
      </c>
      <c r="G17" s="120" t="str">
        <f>Меню!A320</f>
        <v>Компот из сухофруктов</v>
      </c>
      <c r="H17" s="125">
        <f>Меню!D320</f>
        <v>180</v>
      </c>
      <c r="I17" s="120" t="str">
        <f>Меню!A399</f>
        <v>Компот из яблок и лимона                                                                                    </v>
      </c>
      <c r="J17" s="125">
        <f>Меню!D399</f>
        <v>200</v>
      </c>
      <c r="K17" s="119" t="str">
        <f>Меню!A474</f>
        <v>Отвар из шиповника</v>
      </c>
      <c r="L17" s="125">
        <f>Меню!D474</f>
        <v>180</v>
      </c>
      <c r="M17" s="120" t="str">
        <f>Меню!A567</f>
        <v>Компот из брусники и яблок                                                                                </v>
      </c>
      <c r="N17" s="125">
        <f>Меню!D567</f>
        <v>200</v>
      </c>
      <c r="O17" s="120" t="str">
        <f>Меню!A650</f>
        <v>Компот из изюма                                                                                </v>
      </c>
      <c r="P17" s="125">
        <f>Меню!D650</f>
        <v>180</v>
      </c>
      <c r="Q17" s="120" t="str">
        <f>Меню!A736</f>
        <v>Компот из кураги </v>
      </c>
      <c r="R17" s="125">
        <f>Меню!D736</f>
        <v>180</v>
      </c>
      <c r="S17" s="120" t="str">
        <f>Меню!A810</f>
        <v>Напиток из ягодно-яблочной смеси</v>
      </c>
      <c r="T17" s="125">
        <f>Меню!D810</f>
        <v>180</v>
      </c>
      <c r="U17" s="143" t="str">
        <f>Меню!A893</f>
        <v>Компот из яблок и лимона                                                                                    </v>
      </c>
      <c r="V17" s="125">
        <f>Меню!D893</f>
        <v>200</v>
      </c>
      <c r="W17" s="143" t="str">
        <f>Меню!A983</f>
        <v>Компот из ягодной смеси </v>
      </c>
      <c r="X17" s="125">
        <f>Меню!D983</f>
        <v>180</v>
      </c>
      <c r="Y17" s="143" t="str">
        <f>Меню!A1061</f>
        <v>Компот из брусники и яблок                                                                                </v>
      </c>
      <c r="Z17" s="125">
        <f>Меню!D1061</f>
        <v>200</v>
      </c>
      <c r="AA17" s="120" t="str">
        <f>Меню!A1137</f>
        <v>Компот из сухофруктов </v>
      </c>
      <c r="AB17" s="125">
        <f>Меню!D1137</f>
        <v>200</v>
      </c>
      <c r="AC17" s="143" t="str">
        <f>Меню!A1233</f>
        <v>Компот из изюма                                                                                    </v>
      </c>
      <c r="AD17" s="125">
        <f>Меню!D1233</f>
        <v>200</v>
      </c>
    </row>
    <row r="18" s="104" customFormat="1" ht="16.5" customHeight="1" spans="1:30">
      <c r="A18" s="120" t="str">
        <f>Меню!A67</f>
        <v>Хлеб ржаной</v>
      </c>
      <c r="B18" s="125">
        <f>Меню!D67</f>
        <v>20</v>
      </c>
      <c r="C18" s="120" t="str">
        <f>Меню!A155</f>
        <v>Хлеб ржаной</v>
      </c>
      <c r="D18" s="125">
        <f>Меню!D155</f>
        <v>20</v>
      </c>
      <c r="E18" s="120" t="str">
        <f>Меню!A235</f>
        <v>Хлеб ржаной</v>
      </c>
      <c r="F18" s="125">
        <f>Меню!D235</f>
        <v>40</v>
      </c>
      <c r="G18" s="120" t="str">
        <f>Меню!A324</f>
        <v>Хлеб ржаной</v>
      </c>
      <c r="H18" s="125">
        <f>Меню!D324</f>
        <v>25</v>
      </c>
      <c r="I18" s="120" t="str">
        <f>Меню!A405</f>
        <v>Хлеб ржаной</v>
      </c>
      <c r="J18" s="125">
        <f>Меню!D405</f>
        <v>25</v>
      </c>
      <c r="K18" s="120" t="str">
        <f>Меню!A478</f>
        <v>Хлеб ржаной</v>
      </c>
      <c r="L18" s="125">
        <f>Меню!D478</f>
        <v>30</v>
      </c>
      <c r="M18" s="120" t="str">
        <f>Меню!A573</f>
        <v>Хлеб ржаной</v>
      </c>
      <c r="N18" s="125">
        <f>Меню!D573</f>
        <v>20</v>
      </c>
      <c r="O18" s="120" t="str">
        <f>Меню!A654</f>
        <v>Хлеб ржаной</v>
      </c>
      <c r="P18" s="125">
        <f>Меню!D654</f>
        <v>40</v>
      </c>
      <c r="Q18" s="120" t="str">
        <f>Меню!A740</f>
        <v>Хлеб ржаной</v>
      </c>
      <c r="R18" s="125">
        <f>Меню!D740</f>
        <v>20</v>
      </c>
      <c r="S18" s="120" t="str">
        <f>Меню!A814</f>
        <v>Хлеб ржаной</v>
      </c>
      <c r="T18" s="125">
        <f>Меню!D814</f>
        <v>20</v>
      </c>
      <c r="U18" s="120" t="str">
        <f>Меню!A899</f>
        <v>Хлеб ржаной</v>
      </c>
      <c r="V18" s="125">
        <f>Меню!D899</f>
        <v>20</v>
      </c>
      <c r="W18" s="119" t="str">
        <f>Меню!A988</f>
        <v>Хлеб ржаной</v>
      </c>
      <c r="X18" s="125">
        <f>Меню!D988</f>
        <v>20</v>
      </c>
      <c r="Y18" s="120" t="str">
        <f>Меню!A1066</f>
        <v>Хлеб ржаной</v>
      </c>
      <c r="Z18" s="125">
        <f>Меню!D1066</f>
        <v>20</v>
      </c>
      <c r="AA18" s="119" t="str">
        <f>Меню!A1142</f>
        <v>Хлеб ржаной</v>
      </c>
      <c r="AB18" s="125">
        <f>Меню!D1142</f>
        <v>20</v>
      </c>
      <c r="AC18" s="143"/>
      <c r="AD18" s="125"/>
    </row>
    <row r="19" s="104" customFormat="1" ht="39" customHeight="1" spans="1:30">
      <c r="A19" s="128" t="str">
        <f>Меню!A68</f>
        <v>Хлеб пшеничный или хлеб пшеничный витаминизированный</v>
      </c>
      <c r="B19" s="125">
        <f>Меню!D68</f>
        <v>40</v>
      </c>
      <c r="C19" s="120" t="str">
        <f>Меню!A156</f>
        <v>Хлеб пшеничный или хлеб пшеничный витаминизированный</v>
      </c>
      <c r="D19" s="125">
        <f>Меню!D156</f>
        <v>40</v>
      </c>
      <c r="E19" s="120" t="str">
        <f>Меню!A236</f>
        <v>Хлеб пшеничный или хлеб пшеничный витаминизированный</v>
      </c>
      <c r="F19" s="125">
        <f>Меню!D236</f>
        <v>40</v>
      </c>
      <c r="G19" s="120" t="str">
        <f>Меню!A325</f>
        <v>Хлеб пшеничный или хлеб пшеничный витаминизированный</v>
      </c>
      <c r="H19" s="125">
        <f>Меню!D325</f>
        <v>20</v>
      </c>
      <c r="I19" s="120" t="str">
        <f>Меню!A406</f>
        <v>Хлеб пшеничный или хлеб пшеничный витаминизированный</v>
      </c>
      <c r="J19" s="125">
        <f>Меню!D406</f>
        <v>25</v>
      </c>
      <c r="K19" s="120" t="str">
        <f>Меню!A479</f>
        <v>Хлеб пшеничный или хлеб пшеничный витаминизированный</v>
      </c>
      <c r="L19" s="125">
        <f>Меню!D479</f>
        <v>40</v>
      </c>
      <c r="M19" s="120" t="str">
        <f>Меню!A574</f>
        <v>Хлеб пшеничный или хлеб пшеничный витаминизированный</v>
      </c>
      <c r="N19" s="125">
        <f>Меню!D574</f>
        <v>20</v>
      </c>
      <c r="O19" s="120" t="str">
        <f>Меню!A655</f>
        <v>Хлеб пшеничный или хлеб пшеничный витаминизированный</v>
      </c>
      <c r="P19" s="125">
        <f>Меню!D655</f>
        <v>40</v>
      </c>
      <c r="Q19" s="120" t="str">
        <f>Меню!A741</f>
        <v>Хлеб пшеничный или хлеб пшеничный витаминизированный</v>
      </c>
      <c r="R19" s="125">
        <f>Меню!D741</f>
        <v>20</v>
      </c>
      <c r="S19" s="120" t="str">
        <f>Меню!A815</f>
        <v>Хлеб пшеничный или хлеб пшеничный витаминизированный</v>
      </c>
      <c r="T19" s="125">
        <f>Меню!D815</f>
        <v>40</v>
      </c>
      <c r="U19" s="120" t="str">
        <f>Меню!A900</f>
        <v>Хлеб пшеничный или хлеб пшеничный витаминизированный</v>
      </c>
      <c r="V19" s="125">
        <f>Меню!D900</f>
        <v>20</v>
      </c>
      <c r="W19" s="120" t="str">
        <f>Меню!A989</f>
        <v>Хлеб пшеничный или хлеб пшеничный витаминизированный</v>
      </c>
      <c r="X19" s="125">
        <f>Меню!D989</f>
        <v>20</v>
      </c>
      <c r="Y19" s="120" t="str">
        <f>Меню!A1067</f>
        <v>Хлеб пшеничный или хлеб пшеничный витаминизированный</v>
      </c>
      <c r="Z19" s="125">
        <f>Меню!D1067</f>
        <v>40</v>
      </c>
      <c r="AA19" s="120" t="str">
        <f>Меню!A1143</f>
        <v>Хлеб пшеничный или хлеб пшеничный витаминизированный</v>
      </c>
      <c r="AB19" s="125">
        <f>Меню!D1143</f>
        <v>40</v>
      </c>
      <c r="AC19" s="120" t="str">
        <f>Меню!A1238</f>
        <v>Хлеб пшеничный или хлеб пшеничный витаминизированный</v>
      </c>
      <c r="AD19" s="125">
        <f>Меню!D1238</f>
        <v>20</v>
      </c>
    </row>
    <row r="20" s="104" customFormat="1" ht="13.5" customHeight="1" spans="1:30">
      <c r="A20" s="120"/>
      <c r="B20" s="125"/>
      <c r="C20" s="120"/>
      <c r="D20" s="125"/>
      <c r="E20" s="120">
        <f>Меню!A237</f>
        <v>0</v>
      </c>
      <c r="F20" s="125">
        <f>Меню!D237</f>
        <v>0</v>
      </c>
      <c r="G20" s="120"/>
      <c r="H20" s="125"/>
      <c r="I20" s="120"/>
      <c r="J20" s="125"/>
      <c r="K20" s="120"/>
      <c r="L20" s="125"/>
      <c r="M20" s="120"/>
      <c r="N20" s="125"/>
      <c r="O20" s="120"/>
      <c r="P20" s="125"/>
      <c r="Q20" s="120"/>
      <c r="R20" s="125"/>
      <c r="S20" s="120"/>
      <c r="T20" s="125"/>
      <c r="U20" s="120"/>
      <c r="V20" s="125"/>
      <c r="W20" s="120"/>
      <c r="X20" s="125"/>
      <c r="Y20" s="120"/>
      <c r="Z20" s="125"/>
      <c r="AA20" s="120"/>
      <c r="AB20" s="125"/>
      <c r="AC20" s="120"/>
      <c r="AD20" s="125"/>
    </row>
    <row r="21" s="105" customFormat="1" ht="19.5" customHeight="1" spans="1:30">
      <c r="A21" s="137" t="str">
        <f>Меню!A69</f>
        <v>Полдник</v>
      </c>
      <c r="B21" s="138"/>
      <c r="C21" s="137" t="s">
        <v>60</v>
      </c>
      <c r="D21" s="138"/>
      <c r="E21" s="137" t="s">
        <v>60</v>
      </c>
      <c r="F21" s="138"/>
      <c r="G21" s="137" t="s">
        <v>60</v>
      </c>
      <c r="H21" s="138"/>
      <c r="I21" s="137" t="s">
        <v>60</v>
      </c>
      <c r="J21" s="138"/>
      <c r="K21" s="137" t="s">
        <v>60</v>
      </c>
      <c r="L21" s="138"/>
      <c r="M21" s="137" t="s">
        <v>60</v>
      </c>
      <c r="N21" s="138"/>
      <c r="O21" s="137" t="s">
        <v>60</v>
      </c>
      <c r="P21" s="138"/>
      <c r="Q21" s="137" t="s">
        <v>60</v>
      </c>
      <c r="R21" s="137"/>
      <c r="S21" s="137" t="s">
        <v>60</v>
      </c>
      <c r="T21" s="137"/>
      <c r="U21" s="137" t="s">
        <v>60</v>
      </c>
      <c r="V21" s="137"/>
      <c r="W21" s="137" t="s">
        <v>60</v>
      </c>
      <c r="X21" s="137"/>
      <c r="Y21" s="137" t="s">
        <v>60</v>
      </c>
      <c r="Z21" s="137"/>
      <c r="AA21" s="137" t="s">
        <v>60</v>
      </c>
      <c r="AB21" s="137"/>
      <c r="AC21" s="137" t="s">
        <v>60</v>
      </c>
      <c r="AD21" s="137"/>
    </row>
    <row r="22" s="104" customFormat="1" ht="26.25" customHeight="1" spans="1:30">
      <c r="A22" s="131" t="str">
        <f>Меню!A70</f>
        <v>Конвертик творожный</v>
      </c>
      <c r="B22" s="121">
        <f>Меню!D70</f>
        <v>50</v>
      </c>
      <c r="C22" s="120" t="str">
        <f>Меню!A158</f>
        <v>Пирог "Зебра" </v>
      </c>
      <c r="D22" s="125">
        <f>Меню!D158</f>
        <v>50</v>
      </c>
      <c r="E22" s="131" t="str">
        <f>Меню!A239</f>
        <v>Улитка с корицей</v>
      </c>
      <c r="F22" s="125">
        <f>Меню!D239</f>
        <v>50</v>
      </c>
      <c r="G22" s="120" t="str">
        <f>Меню!A327</f>
        <v>Булочка ванильная </v>
      </c>
      <c r="H22" s="117" t="str">
        <f>Меню!D327</f>
        <v>70</v>
      </c>
      <c r="I22" s="143" t="str">
        <f>Меню!A408</f>
        <v>Язычок слоеный с сахаром</v>
      </c>
      <c r="J22" s="125">
        <f>Меню!D408</f>
        <v>60</v>
      </c>
      <c r="K22" s="143" t="str">
        <f>Меню!A481</f>
        <v>Пицца "Маргарита"</v>
      </c>
      <c r="L22" s="125">
        <f>Меню!D481</f>
        <v>70</v>
      </c>
      <c r="M22" s="120" t="str">
        <f>Меню!A576</f>
        <v>Творожный кекс</v>
      </c>
      <c r="N22" s="125">
        <f>Меню!D576</f>
        <v>100</v>
      </c>
      <c r="O22" s="143" t="str">
        <f>Меню!A657</f>
        <v>Слойка с повидлом</v>
      </c>
      <c r="P22" s="125">
        <f>Меню!D657</f>
        <v>50</v>
      </c>
      <c r="Q22" s="131" t="str">
        <f>Меню!A743</f>
        <v>Палочка слоеная с сыром</v>
      </c>
      <c r="R22" s="125">
        <f>Меню!D743</f>
        <v>50</v>
      </c>
      <c r="S22" s="120" t="str">
        <f>Меню!A817</f>
        <v>Булочка "Ярославская"</v>
      </c>
      <c r="T22" s="125" t="str">
        <f>Меню!D817</f>
        <v>50</v>
      </c>
      <c r="U22" s="143" t="str">
        <f>Меню!A902</f>
        <v>Хачапури</v>
      </c>
      <c r="V22" s="125">
        <f>Меню!D902</f>
        <v>75</v>
      </c>
      <c r="W22" s="143" t="str">
        <f>Меню!A991</f>
        <v>Слойка с повидлом</v>
      </c>
      <c r="X22" s="125">
        <f>Меню!D991</f>
        <v>50</v>
      </c>
      <c r="Y22" s="120" t="str">
        <f>Меню!A1070</f>
        <v>Конвертик творожный</v>
      </c>
      <c r="Z22" s="125">
        <f>Меню!D1070</f>
        <v>50</v>
      </c>
      <c r="AA22" s="131" t="str">
        <f>Меню!A1145</f>
        <v>Шанежка с картофелем</v>
      </c>
      <c r="AB22" s="125">
        <f>Меню!D1145</f>
        <v>70</v>
      </c>
      <c r="AC22" s="131" t="str">
        <f>Меню!A1240</f>
        <v>Язычок с сахаром</v>
      </c>
      <c r="AD22" s="125">
        <f>Меню!D1240</f>
        <v>100</v>
      </c>
    </row>
    <row r="23" s="104" customFormat="1" ht="25.5" spans="1:30">
      <c r="A23" s="120" t="str">
        <f>Меню!A81</f>
        <v>Напиток из ягодно-яблочной смеси</v>
      </c>
      <c r="B23" s="121">
        <f>Меню!D63</f>
        <v>180</v>
      </c>
      <c r="C23" s="120" t="str">
        <f>Меню!A168</f>
        <v>Чай с сахаром</v>
      </c>
      <c r="D23" s="125">
        <f>Меню!D168</f>
        <v>200</v>
      </c>
      <c r="E23" s="120" t="str">
        <f>Меню!A249</f>
        <v>Чай с сахаром и брусникой</v>
      </c>
      <c r="F23" s="125">
        <f>Меню!D249</f>
        <v>200</v>
      </c>
      <c r="G23" s="120" t="str">
        <f>Меню!A338</f>
        <v>Молоко питьевое в инд. упак.</v>
      </c>
      <c r="H23" s="125">
        <f>Меню!D338</f>
        <v>200</v>
      </c>
      <c r="I23" s="120" t="str">
        <f>Меню!A415</f>
        <v>Чай с сахаром </v>
      </c>
      <c r="J23" s="125">
        <f>Меню!D415</f>
        <v>200</v>
      </c>
      <c r="K23" s="119" t="str">
        <f>Меню!A499</f>
        <v>Напиток из свежих ягод </v>
      </c>
      <c r="L23" s="125">
        <f>Меню!D499</f>
        <v>180</v>
      </c>
      <c r="M23" s="120" t="str">
        <f>Меню!A589</f>
        <v>Чай "Витаминный" </v>
      </c>
      <c r="N23" s="125">
        <f>Меню!D589</f>
        <v>200</v>
      </c>
      <c r="O23" s="120" t="str">
        <f>Меню!A664</f>
        <v>Компот из  смородины                                                                                 </v>
      </c>
      <c r="P23" s="125">
        <f>Меню!D664</f>
        <v>180</v>
      </c>
      <c r="Q23" s="131" t="str">
        <f>Меню!A750</f>
        <v>Кисель из свежих ягод </v>
      </c>
      <c r="R23" s="125">
        <f>Меню!D750</f>
        <v>180</v>
      </c>
      <c r="S23" s="120" t="str">
        <f>Меню!A831</f>
        <v>Чай с сахаром и лимоном</v>
      </c>
      <c r="T23" s="117" t="str">
        <f>Меню!D831</f>
        <v>200</v>
      </c>
      <c r="U23" s="143" t="str">
        <f>Меню!A914</f>
        <v>Чай с сахаром и брусникой</v>
      </c>
      <c r="V23" s="125">
        <f>Меню!D914</f>
        <v>200</v>
      </c>
      <c r="W23" s="143" t="str">
        <f>Меню!A998</f>
        <v>Компот из сухофруктов</v>
      </c>
      <c r="X23" s="125">
        <f>Меню!D998</f>
        <v>180</v>
      </c>
      <c r="Y23" s="120" t="str">
        <f>Меню!A1081</f>
        <v>Чай "Витаминый" </v>
      </c>
      <c r="Z23" s="125">
        <f>Меню!D1081</f>
        <v>200</v>
      </c>
      <c r="AA23" s="143" t="str">
        <f>Меню!A1165</f>
        <v>Молоко питьевое в инд. упак.</v>
      </c>
      <c r="AB23" s="125">
        <f>Меню!D1165</f>
        <v>200</v>
      </c>
      <c r="AC23" s="143" t="str">
        <f>Меню!A1247</f>
        <v>Компот из ягодной смеси </v>
      </c>
      <c r="AD23" s="125">
        <f>Меню!D1247</f>
        <v>200</v>
      </c>
    </row>
    <row r="24" s="104" customFormat="1" ht="26.25" customHeight="1" spans="1:30">
      <c r="A24" s="139" t="str">
        <f>Меню!A85</f>
        <v>Йогурт 2,5% 125 гр стак. в инд. упак.</v>
      </c>
      <c r="B24" s="140">
        <f>Меню!D85</f>
        <v>125</v>
      </c>
      <c r="C24" s="119" t="str">
        <f>Меню!A172</f>
        <v>Фрукт </v>
      </c>
      <c r="D24" s="125">
        <f>Меню!D172</f>
        <v>100</v>
      </c>
      <c r="E24" s="119" t="str">
        <f>Меню!A254</f>
        <v>Фрукт </v>
      </c>
      <c r="F24" s="125" t="str">
        <f>Меню!D254</f>
        <v>100</v>
      </c>
      <c r="G24" s="120" t="str">
        <f>Меню!A340</f>
        <v>Фрукт </v>
      </c>
      <c r="H24" s="125">
        <f>Меню!D340</f>
        <v>100</v>
      </c>
      <c r="I24" s="131" t="str">
        <f>Меню!A419</f>
        <v>Йогурт 2,5% 125 гр стак. в инд. упак.</v>
      </c>
      <c r="J24" s="125">
        <f>Меню!D419</f>
        <v>125</v>
      </c>
      <c r="K24" s="131" t="str">
        <f>Меню!A503</f>
        <v>Фрукт </v>
      </c>
      <c r="L24" s="125">
        <f>Меню!D503</f>
        <v>100</v>
      </c>
      <c r="M24" s="119"/>
      <c r="N24" s="125"/>
      <c r="O24" s="131" t="str">
        <f>Меню!A668</f>
        <v>Десерт творожный</v>
      </c>
      <c r="P24" s="117" t="str">
        <f>Меню!D668</f>
        <v>100</v>
      </c>
      <c r="Q24" s="131" t="str">
        <f>Меню!A755</f>
        <v>Фрукт </v>
      </c>
      <c r="R24" s="125">
        <f>Меню!D755</f>
        <v>100</v>
      </c>
      <c r="S24" s="130" t="str">
        <f>Меню!A836</f>
        <v>Фрукт </v>
      </c>
      <c r="T24" s="125">
        <f>Меню!D836</f>
        <v>100</v>
      </c>
      <c r="U24" s="131" t="str">
        <f>Меню!A919</f>
        <v>Фрукт </v>
      </c>
      <c r="V24" s="125">
        <f>Меню!D919</f>
        <v>100</v>
      </c>
      <c r="W24" s="131" t="str">
        <f>Меню!A1002</f>
        <v>Йогурт 2,5% 125 гр стак. в инд. упак.</v>
      </c>
      <c r="X24" s="125">
        <f>Меню!D1002</f>
        <v>125</v>
      </c>
      <c r="Y24" s="131" t="str">
        <f>Меню!A1086</f>
        <v>Фрукт </v>
      </c>
      <c r="Z24" s="117" t="str">
        <f>Меню!D1086</f>
        <v>100</v>
      </c>
      <c r="AA24" s="131" t="str">
        <f>Меню!A1167</f>
        <v>Фрукт </v>
      </c>
      <c r="AB24" s="125">
        <f>Меню!D1167</f>
        <v>100</v>
      </c>
      <c r="AC24" s="153"/>
      <c r="AD24" s="130"/>
    </row>
    <row r="25" spans="15:15">
      <c r="O25" s="108"/>
    </row>
  </sheetData>
  <mergeCells count="11"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</mergeCells>
  <pageMargins left="0" right="0" top="0" bottom="0" header="0.31496062992126" footer="0.31496062992126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285714285714" defaultRowHeight="15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AB364"/>
  <sheetViews>
    <sheetView topLeftCell="B1" workbookViewId="0">
      <selection activeCell="O15" sqref="O15"/>
    </sheetView>
  </sheetViews>
  <sheetFormatPr defaultColWidth="9" defaultRowHeight="12.75"/>
  <cols>
    <col min="1" max="1" width="9.14285714285714" style="3"/>
    <col min="2" max="2" width="3.85714285714286" style="3" customWidth="1"/>
    <col min="3" max="3" width="20.2857142857143" style="3" customWidth="1"/>
    <col min="4" max="4" width="6.28571428571429" style="3" customWidth="1"/>
    <col min="5" max="5" width="4.57142857142857" style="3" customWidth="1"/>
    <col min="6" max="6" width="6.14285714285714" style="3" customWidth="1"/>
    <col min="7" max="8" width="6.71428571428571" style="1" customWidth="1"/>
    <col min="9" max="9" width="6" style="1" customWidth="1"/>
    <col min="10" max="10" width="6.28571428571429" style="1" customWidth="1"/>
    <col min="11" max="11" width="5.71428571428571" style="1" customWidth="1"/>
    <col min="12" max="12" width="7.28571428571429" style="1" customWidth="1"/>
    <col min="13" max="13" width="6.85714285714286" style="1" customWidth="1"/>
    <col min="14" max="14" width="6.57142857142857" style="2" customWidth="1"/>
    <col min="15" max="20" width="6.28571428571429" style="1" customWidth="1"/>
    <col min="21" max="21" width="5.57142857142857" style="1" customWidth="1"/>
    <col min="22" max="22" width="5.14285714285714" style="3" customWidth="1"/>
    <col min="23" max="23" width="5.85714285714286" style="3" customWidth="1"/>
    <col min="24" max="24" width="6.14285714285714" style="3" customWidth="1"/>
    <col min="25" max="26" width="8" style="3" customWidth="1"/>
    <col min="27" max="27" width="7.85714285714286" style="3" customWidth="1"/>
    <col min="28" max="28" width="7.28571428571429" style="3" customWidth="1"/>
    <col min="29" max="16384" width="9.14285714285714" style="3"/>
  </cols>
  <sheetData>
    <row r="1" ht="15.75" spans="2:2">
      <c r="B1" s="4" t="s">
        <v>328</v>
      </c>
    </row>
    <row r="2" ht="10.5" customHeight="1" spans="2:28">
      <c r="B2" s="5" t="s">
        <v>329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ht="17.25" customHeight="1" spans="2:28">
      <c r="B3" s="5" t="s">
        <v>330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2:28">
      <c r="B4" s="6" t="s">
        <v>331</v>
      </c>
      <c r="C4" s="7" t="s">
        <v>332</v>
      </c>
      <c r="D4" s="7" t="s">
        <v>333</v>
      </c>
      <c r="E4" s="8" t="s">
        <v>334</v>
      </c>
      <c r="F4" s="7" t="s">
        <v>335</v>
      </c>
      <c r="G4" s="7" t="s">
        <v>336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8" t="s">
        <v>337</v>
      </c>
      <c r="W4" s="7" t="s">
        <v>338</v>
      </c>
      <c r="X4" s="69" t="s">
        <v>339</v>
      </c>
      <c r="Y4" s="7" t="s">
        <v>340</v>
      </c>
      <c r="Z4" s="7"/>
      <c r="AA4" s="7"/>
      <c r="AB4" s="75"/>
    </row>
    <row r="5" spans="2:28">
      <c r="B5" s="9"/>
      <c r="C5" s="10"/>
      <c r="D5" s="10"/>
      <c r="E5" s="11"/>
      <c r="F5" s="10"/>
      <c r="G5" s="12" t="s">
        <v>341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70"/>
      <c r="W5" s="10"/>
      <c r="X5" s="71"/>
      <c r="Y5" s="10" t="s">
        <v>342</v>
      </c>
      <c r="Z5" s="10" t="s">
        <v>343</v>
      </c>
      <c r="AA5" s="10" t="s">
        <v>344</v>
      </c>
      <c r="AB5" s="76" t="s">
        <v>345</v>
      </c>
    </row>
    <row r="6" ht="21.75" customHeight="1" spans="2:28">
      <c r="B6" s="9"/>
      <c r="C6" s="10"/>
      <c r="D6" s="10"/>
      <c r="E6" s="13"/>
      <c r="F6" s="10"/>
      <c r="G6" s="14">
        <v>1</v>
      </c>
      <c r="H6" s="14">
        <v>2</v>
      </c>
      <c r="I6" s="14">
        <v>3</v>
      </c>
      <c r="J6" s="62">
        <v>4</v>
      </c>
      <c r="K6" s="14">
        <v>5</v>
      </c>
      <c r="L6" s="14">
        <v>6</v>
      </c>
      <c r="M6" s="14">
        <v>7</v>
      </c>
      <c r="N6" s="12">
        <v>8</v>
      </c>
      <c r="O6" s="14">
        <v>9</v>
      </c>
      <c r="P6" s="14">
        <v>10</v>
      </c>
      <c r="Q6" s="14">
        <v>11</v>
      </c>
      <c r="R6" s="14">
        <v>12</v>
      </c>
      <c r="S6" s="14">
        <v>13</v>
      </c>
      <c r="T6" s="14">
        <v>14</v>
      </c>
      <c r="U6" s="14">
        <v>15</v>
      </c>
      <c r="V6" s="70"/>
      <c r="W6" s="10"/>
      <c r="X6" s="71"/>
      <c r="Y6" s="10"/>
      <c r="Z6" s="10"/>
      <c r="AA6" s="10"/>
      <c r="AB6" s="76"/>
    </row>
    <row r="7" ht="15" spans="2:28">
      <c r="B7" s="15">
        <v>1</v>
      </c>
      <c r="C7" s="16" t="s">
        <v>346</v>
      </c>
      <c r="D7" s="17">
        <v>80</v>
      </c>
      <c r="E7" s="17">
        <v>75</v>
      </c>
      <c r="F7" s="17">
        <f>D7*E7/100</f>
        <v>60</v>
      </c>
      <c r="G7" s="18" t="e">
        <f>Меню!#REF!+18.5</f>
        <v>#REF!</v>
      </c>
      <c r="H7" s="18" t="e">
        <f>Меню!#REF!</f>
        <v>#REF!</v>
      </c>
      <c r="I7" s="18" t="e">
        <f>Меню!#REF!+Меню!#REF!+Меню!#REF!</f>
        <v>#REF!</v>
      </c>
      <c r="J7" s="18" t="e">
        <f>Меню!#REF!+Меню!#REF!+49.8</f>
        <v>#REF!</v>
      </c>
      <c r="K7" s="18" t="e">
        <f>Меню!#REF!+Меню!#REF!</f>
        <v>#REF!</v>
      </c>
      <c r="L7" s="18" t="e">
        <f>Меню!#REF!+Меню!#REF!</f>
        <v>#REF!</v>
      </c>
      <c r="M7" s="18" t="e">
        <f>Меню!#REF!</f>
        <v>#REF!</v>
      </c>
      <c r="N7" s="63" t="e">
        <f>Меню!#REF!+Меню!#REF!+30</f>
        <v>#REF!</v>
      </c>
      <c r="O7" s="18" t="e">
        <f>Меню!#REF!</f>
        <v>#REF!</v>
      </c>
      <c r="P7" s="18" t="e">
        <f>Меню!#REF!+Меню!#REF!</f>
        <v>#REF!</v>
      </c>
      <c r="Q7" s="18" t="e">
        <f>Меню!#REF!+18.5</f>
        <v>#REF!</v>
      </c>
      <c r="R7" s="18" t="e">
        <f>Меню!#REF!</f>
        <v>#REF!</v>
      </c>
      <c r="S7" s="18" t="e">
        <f>Меню!#REF!+Меню!#REF!+34.2</f>
        <v>#REF!</v>
      </c>
      <c r="T7" s="18" t="e">
        <f>Меню!#REF!</f>
        <v>#REF!</v>
      </c>
      <c r="U7" s="18" t="e">
        <f>Меню!#REF!</f>
        <v>#REF!</v>
      </c>
      <c r="V7" s="17" t="e">
        <f>SUM(G7:U7)</f>
        <v>#REF!</v>
      </c>
      <c r="W7" s="17" t="e">
        <f>V7/15</f>
        <v>#REF!</v>
      </c>
      <c r="X7" s="72" t="e">
        <f>W7*100/F7</f>
        <v>#REF!</v>
      </c>
      <c r="Y7" s="77" t="e">
        <f>W7*6.6/100</f>
        <v>#REF!</v>
      </c>
      <c r="Z7" s="77" t="e">
        <f>W7*1.2/100</f>
        <v>#REF!</v>
      </c>
      <c r="AA7" s="78" t="e">
        <f>W7*34.2/100</f>
        <v>#REF!</v>
      </c>
      <c r="AB7" s="79" t="e">
        <f t="shared" ref="AB7:AB20" si="0">Y7*4+Z7*9+AA7*4</f>
        <v>#REF!</v>
      </c>
    </row>
    <row r="8" ht="15" spans="2:28">
      <c r="B8" s="15">
        <v>2</v>
      </c>
      <c r="C8" s="16" t="s">
        <v>347</v>
      </c>
      <c r="D8" s="17">
        <v>150</v>
      </c>
      <c r="E8" s="17">
        <v>75</v>
      </c>
      <c r="F8" s="19">
        <f t="shared" ref="F8:F32" si="1">D8*E8/100</f>
        <v>112.5</v>
      </c>
      <c r="G8" s="20" t="e">
        <f>Меню!C22+Меню!#REF!+Меню!C57+Меню!#REF!+Меню!C71</f>
        <v>#REF!</v>
      </c>
      <c r="H8" s="20" t="e">
        <f>Меню!#REF!+Меню!#REF!+Меню!#REF!+Меню!#REF!</f>
        <v>#REF!</v>
      </c>
      <c r="I8" s="20" t="e">
        <f>Меню!#REF!+Меню!#REF!+Меню!#REF!+Меню!#REF!</f>
        <v>#REF!</v>
      </c>
      <c r="J8" s="20" t="e">
        <f>Меню!#REF!+Меню!#REF!</f>
        <v>#REF!</v>
      </c>
      <c r="K8" s="20" t="e">
        <f>Меню!#REF!+Меню!#REF!</f>
        <v>#REF!</v>
      </c>
      <c r="L8" s="20" t="e">
        <f>Меню!#REF!+Меню!#REF!+Меню!#REF!</f>
        <v>#REF!</v>
      </c>
      <c r="M8" s="20" t="e">
        <f>Меню!#REF!+Меню!#REF!+Меню!#REF!</f>
        <v>#REF!</v>
      </c>
      <c r="N8" s="43" t="e">
        <f>Меню!#REF!+Меню!#REF!+Меню!#REF!+Меню!#REF!</f>
        <v>#REF!</v>
      </c>
      <c r="O8" s="20" t="e">
        <f>Меню!#REF!+Меню!#REF!+Меню!#REF!+Меню!#REF!</f>
        <v>#REF!</v>
      </c>
      <c r="P8" s="20" t="e">
        <f>Меню!#REF!+Меню!#REF!</f>
        <v>#REF!</v>
      </c>
      <c r="Q8" s="20" t="e">
        <f>Меню!#REF!+Меню!#REF!+Меню!#REF!+Меню!#REF!</f>
        <v>#REF!</v>
      </c>
      <c r="R8" s="20" t="e">
        <f>Меню!#REF!+Меню!#REF!+Меню!#REF!+Меню!#REF!+Меню!#REF!</f>
        <v>#REF!</v>
      </c>
      <c r="S8" s="20" t="e">
        <f>Меню!#REF!+Меню!#REF!</f>
        <v>#REF!</v>
      </c>
      <c r="T8" s="20" t="e">
        <f>Меню!#REF!+Меню!#REF!+Меню!#REF!+Меню!#REF!+Меню!#REF!</f>
        <v>#REF!</v>
      </c>
      <c r="U8" s="20" t="e">
        <f>Меню!#REF!+Меню!#REF!+Меню!#REF!+Меню!#REF!</f>
        <v>#REF!</v>
      </c>
      <c r="V8" s="17" t="e">
        <f t="shared" ref="V8:V32" si="2">SUM(G8:U8)</f>
        <v>#REF!</v>
      </c>
      <c r="W8" s="17" t="e">
        <f t="shared" ref="W8:W32" si="3">V8/15</f>
        <v>#REF!</v>
      </c>
      <c r="X8" s="72" t="e">
        <f t="shared" ref="X8:X32" si="4">W8*100/F8</f>
        <v>#REF!</v>
      </c>
      <c r="Y8" s="78" t="e">
        <f>W8*8.7/100</f>
        <v>#REF!</v>
      </c>
      <c r="Z8" s="78" t="e">
        <f>W8*1.5/100</f>
        <v>#REF!</v>
      </c>
      <c r="AA8" s="78" t="e">
        <f>W8*47.1/100</f>
        <v>#REF!</v>
      </c>
      <c r="AB8" s="79" t="e">
        <f t="shared" si="0"/>
        <v>#REF!</v>
      </c>
    </row>
    <row r="9" ht="15" spans="2:28">
      <c r="B9" s="15">
        <v>3</v>
      </c>
      <c r="C9" s="16" t="s">
        <v>348</v>
      </c>
      <c r="D9" s="17">
        <v>15</v>
      </c>
      <c r="E9" s="17">
        <v>75</v>
      </c>
      <c r="F9" s="19">
        <f t="shared" si="1"/>
        <v>11.25</v>
      </c>
      <c r="G9" s="20"/>
      <c r="H9" s="20" t="e">
        <f>Меню!#REF!+Меню!#REF!+Меню!#REF!</f>
        <v>#REF!</v>
      </c>
      <c r="I9" s="20" t="e">
        <f>Меню!#REF!+Меню!#REF!</f>
        <v>#REF!</v>
      </c>
      <c r="J9" s="64"/>
      <c r="K9" s="20" t="e">
        <f>Меню!#REF!</f>
        <v>#REF!</v>
      </c>
      <c r="L9" s="20" t="e">
        <f>Меню!#REF!</f>
        <v>#REF!</v>
      </c>
      <c r="M9" s="20" t="e">
        <f>Меню!#REF!+Меню!#REF!+Меню!#REF!</f>
        <v>#REF!</v>
      </c>
      <c r="N9" s="43"/>
      <c r="O9" s="20" t="e">
        <f>Меню!#REF!+Меню!#REF!+Меню!#REF!</f>
        <v>#REF!</v>
      </c>
      <c r="P9" s="20" t="e">
        <f>Меню!#REF!+Меню!#REF!</f>
        <v>#REF!</v>
      </c>
      <c r="Q9" s="20"/>
      <c r="R9" s="20" t="e">
        <f>Меню!#REF!+Меню!#REF!</f>
        <v>#REF!</v>
      </c>
      <c r="S9" s="20"/>
      <c r="T9" s="20" t="e">
        <f>Меню!#REF!</f>
        <v>#REF!</v>
      </c>
      <c r="U9" s="20" t="e">
        <f>Меню!#REF!+Меню!#REF!</f>
        <v>#REF!</v>
      </c>
      <c r="V9" s="17" t="e">
        <f t="shared" si="2"/>
        <v>#REF!</v>
      </c>
      <c r="W9" s="17" t="e">
        <f t="shared" si="3"/>
        <v>#REF!</v>
      </c>
      <c r="X9" s="72" t="e">
        <f t="shared" si="4"/>
        <v>#REF!</v>
      </c>
      <c r="Y9" s="77" t="e">
        <f>W9*10.6/100</f>
        <v>#REF!</v>
      </c>
      <c r="Z9" s="77" t="e">
        <f>W9*1.3/100</f>
        <v>#REF!</v>
      </c>
      <c r="AA9" s="78" t="e">
        <f>W9*68.9/100</f>
        <v>#REF!</v>
      </c>
      <c r="AB9" s="79" t="e">
        <f t="shared" si="0"/>
        <v>#REF!</v>
      </c>
    </row>
    <row r="10" ht="13.5" customHeight="1" spans="2:28">
      <c r="B10" s="15">
        <v>4</v>
      </c>
      <c r="C10" s="21" t="s">
        <v>349</v>
      </c>
      <c r="D10" s="17">
        <v>45.4</v>
      </c>
      <c r="E10" s="17">
        <v>75</v>
      </c>
      <c r="F10" s="19">
        <f t="shared" si="1"/>
        <v>34.05</v>
      </c>
      <c r="G10" s="20" t="e">
        <f>Меню!C24+Меню!#REF!</f>
        <v>#REF!</v>
      </c>
      <c r="H10" s="20" t="e">
        <f>Меню!#REF!+Меню!#REF!</f>
        <v>#REF!</v>
      </c>
      <c r="I10" s="20">
        <v>0</v>
      </c>
      <c r="J10" s="64" t="e">
        <f>Меню!#REF!</f>
        <v>#REF!</v>
      </c>
      <c r="K10" s="20" t="e">
        <f>Меню!#REF!</f>
        <v>#REF!</v>
      </c>
      <c r="L10" s="20" t="e">
        <f>Меню!#REF!+Меню!#REF!</f>
        <v>#REF!</v>
      </c>
      <c r="M10" s="20" t="e">
        <f>Меню!#REF!+Меню!#REF!</f>
        <v>#REF!</v>
      </c>
      <c r="N10" s="43" t="e">
        <f>Меню!#REF!</f>
        <v>#REF!</v>
      </c>
      <c r="O10" s="20" t="e">
        <f>Меню!#REF!</f>
        <v>#REF!</v>
      </c>
      <c r="P10" s="20" t="e">
        <f>Меню!#REF!+Меню!#REF!</f>
        <v>#REF!</v>
      </c>
      <c r="Q10" s="20">
        <v>80</v>
      </c>
      <c r="R10" s="20" t="e">
        <f>Меню!#REF!</f>
        <v>#REF!</v>
      </c>
      <c r="S10" s="20" t="e">
        <f>Меню!#REF!</f>
        <v>#REF!</v>
      </c>
      <c r="T10" s="20">
        <v>0</v>
      </c>
      <c r="U10" s="20" t="e">
        <f>Меню!#REF!+Меню!#REF!</f>
        <v>#REF!</v>
      </c>
      <c r="V10" s="17" t="e">
        <f t="shared" si="2"/>
        <v>#REF!</v>
      </c>
      <c r="W10" s="17" t="e">
        <f t="shared" si="3"/>
        <v>#REF!</v>
      </c>
      <c r="X10" s="72" t="e">
        <f t="shared" si="4"/>
        <v>#REF!</v>
      </c>
      <c r="Y10" s="77" t="e">
        <f>W10*3.2/100</f>
        <v>#REF!</v>
      </c>
      <c r="Z10" s="77" t="e">
        <f>W10*1.5/100</f>
        <v>#REF!</v>
      </c>
      <c r="AA10" s="78" t="e">
        <f>W10*48.72/100</f>
        <v>#REF!</v>
      </c>
      <c r="AB10" s="79" t="e">
        <f t="shared" si="0"/>
        <v>#REF!</v>
      </c>
    </row>
    <row r="11" ht="15" customHeight="1" spans="2:28">
      <c r="B11" s="15">
        <v>5</v>
      </c>
      <c r="C11" s="21" t="s">
        <v>350</v>
      </c>
      <c r="D11" s="17">
        <v>15</v>
      </c>
      <c r="E11" s="17">
        <v>75</v>
      </c>
      <c r="F11" s="19">
        <v>11.5</v>
      </c>
      <c r="G11" s="20" t="e">
        <f>Меню!#REF!</f>
        <v>#REF!</v>
      </c>
      <c r="H11" s="20"/>
      <c r="I11" s="18"/>
      <c r="J11" s="64" t="e">
        <f>Меню!#REF!</f>
        <v>#REF!</v>
      </c>
      <c r="K11" s="18"/>
      <c r="L11" s="18"/>
      <c r="M11" s="18"/>
      <c r="N11" s="63"/>
      <c r="O11" s="18"/>
      <c r="P11" s="18"/>
      <c r="Q11" s="18"/>
      <c r="R11" s="18" t="e">
        <f>Меню!#REF!</f>
        <v>#REF!</v>
      </c>
      <c r="S11" s="18"/>
      <c r="T11" s="18"/>
      <c r="U11" s="18"/>
      <c r="V11" s="17" t="e">
        <f t="shared" si="2"/>
        <v>#REF!</v>
      </c>
      <c r="W11" s="17" t="e">
        <f t="shared" si="3"/>
        <v>#REF!</v>
      </c>
      <c r="X11" s="72" t="e">
        <f t="shared" si="4"/>
        <v>#REF!</v>
      </c>
      <c r="Y11" s="77" t="e">
        <f>W11*10.4/100</f>
        <v>#REF!</v>
      </c>
      <c r="Z11" s="77" t="e">
        <f>W11*1.3/100</f>
        <v>#REF!</v>
      </c>
      <c r="AA11" s="78" t="e">
        <f>W11*68.4/100</f>
        <v>#REF!</v>
      </c>
      <c r="AB11" s="79" t="e">
        <f t="shared" si="0"/>
        <v>#REF!</v>
      </c>
    </row>
    <row r="12" s="1" customFormat="1" ht="15" spans="2:28">
      <c r="B12" s="22">
        <v>6</v>
      </c>
      <c r="C12" s="23" t="s">
        <v>351</v>
      </c>
      <c r="D12" s="24">
        <v>188</v>
      </c>
      <c r="E12" s="24">
        <v>75</v>
      </c>
      <c r="F12" s="25">
        <f t="shared" si="1"/>
        <v>141</v>
      </c>
      <c r="G12" s="20" t="e">
        <f>Меню!#REF!</f>
        <v>#REF!</v>
      </c>
      <c r="H12" s="20" t="e">
        <f>Меню!#REF!+Меню!#REF!</f>
        <v>#REF!</v>
      </c>
      <c r="I12" s="20" t="e">
        <f>Меню!#REF!</f>
        <v>#REF!</v>
      </c>
      <c r="J12" s="64" t="e">
        <f>Меню!#REF!</f>
        <v>#REF!</v>
      </c>
      <c r="K12" s="20" t="e">
        <f>Меню!#REF!+Меню!#REF!</f>
        <v>#REF!</v>
      </c>
      <c r="L12" s="20" t="e">
        <f>Меню!#REF!+Меню!#REF!</f>
        <v>#REF!</v>
      </c>
      <c r="M12" s="20" t="e">
        <f>Меню!#REF!</f>
        <v>#REF!</v>
      </c>
      <c r="N12" s="20" t="e">
        <f>Меню!#REF!+Меню!#REF!</f>
        <v>#REF!</v>
      </c>
      <c r="O12" s="20" t="e">
        <f>Меню!#REF!+Меню!#REF!</f>
        <v>#REF!</v>
      </c>
      <c r="P12" s="20"/>
      <c r="Q12" s="20" t="e">
        <f>Меню!#REF!</f>
        <v>#REF!</v>
      </c>
      <c r="R12" s="20" t="e">
        <f>Меню!#REF!</f>
        <v>#REF!</v>
      </c>
      <c r="S12" s="20" t="e">
        <f>Меню!#REF!</f>
        <v>#REF!</v>
      </c>
      <c r="T12" s="20" t="e">
        <f>Меню!#REF!+Меню!#REF!</f>
        <v>#REF!</v>
      </c>
      <c r="U12" s="20" t="e">
        <f>Меню!#REF!+Меню!#REF!</f>
        <v>#REF!</v>
      </c>
      <c r="V12" s="24" t="e">
        <f t="shared" si="2"/>
        <v>#REF!</v>
      </c>
      <c r="W12" s="24" t="e">
        <f t="shared" si="3"/>
        <v>#REF!</v>
      </c>
      <c r="X12" s="72" t="e">
        <f t="shared" si="4"/>
        <v>#REF!</v>
      </c>
      <c r="Y12" s="80" t="e">
        <f>W12*2/100</f>
        <v>#REF!</v>
      </c>
      <c r="Z12" s="80" t="e">
        <f>W12*0.4/100</f>
        <v>#REF!</v>
      </c>
      <c r="AA12" s="20" t="e">
        <f>W12*16.3/100</f>
        <v>#REF!</v>
      </c>
      <c r="AB12" s="81" t="e">
        <f t="shared" si="0"/>
        <v>#REF!</v>
      </c>
    </row>
    <row r="13" ht="15" spans="2:28">
      <c r="B13" s="26">
        <v>7</v>
      </c>
      <c r="C13" s="27" t="s">
        <v>352</v>
      </c>
      <c r="D13" s="28">
        <v>280</v>
      </c>
      <c r="E13" s="17">
        <v>75</v>
      </c>
      <c r="F13" s="17">
        <f t="shared" si="1"/>
        <v>210</v>
      </c>
      <c r="G13" s="20" t="e">
        <f>Меню!#REF!+Меню!#REF!+Меню!#REF!+Меню!#REF!+Меню!#REF!+Меню!#REF!+Меню!#REF!+Меню!#REF!+Меню!B68+Меню!#REF!</f>
        <v>#REF!</v>
      </c>
      <c r="H13" s="20" t="e">
        <f>Меню!#REF!+Меню!#REF!+Меню!#REF!+Меню!#REF!+Меню!#REF!+Меню!#REF!+Меню!#REF!+Меню!#REF!+Меню!#REF!+Меню!#REF!</f>
        <v>#REF!</v>
      </c>
      <c r="I13" s="20" t="e">
        <f>Меню!#REF!+Меню!#REF!+Меню!#REF!+Меню!#REF!+Меню!#REF!+Меню!#REF!+Меню!#REF!</f>
        <v>#REF!</v>
      </c>
      <c r="J13" s="64" t="e">
        <f>Меню!#REF!+Меню!#REF!+Меню!#REF!+Меню!#REF!+Меню!#REF!+Меню!#REF!</f>
        <v>#REF!</v>
      </c>
      <c r="K13" s="20" t="e">
        <f>Меню!#REF!+Меню!#REF!+Меню!#REF!+Меню!#REF!</f>
        <v>#REF!</v>
      </c>
      <c r="L13" s="20" t="e">
        <f>Меню!#REF!+Меню!#REF!+Меню!#REF!+Меню!#REF!+Меню!#REF!+Меню!#REF!+Меню!#REF!+Меню!#REF!+Меню!#REF!+Меню!#REF!+Меню!#REF!</f>
        <v>#REF!</v>
      </c>
      <c r="M13" s="20" t="e">
        <f>Меню!#REF!+Меню!#REF!+Меню!#REF!+Меню!#REF!+Меню!#REF!+Меню!#REF!+Меню!#REF!+Меню!#REF!</f>
        <v>#REF!</v>
      </c>
      <c r="N13" s="43" t="e">
        <f>Меню!#REF!+Меню!#REF!+Меню!#REF!+Меню!#REF!+Меню!#REF!+Меню!#REF!+Меню!#REF!</f>
        <v>#REF!</v>
      </c>
      <c r="O13" s="20" t="e">
        <f>Меню!#REF!+Меню!#REF!+Меню!#REF!+Меню!#REF!+Меню!#REF!+Меню!#REF!+Меню!#REF!+Меню!#REF!+Меню!#REF!</f>
        <v>#REF!</v>
      </c>
      <c r="P13" s="20" t="e">
        <f>Меню!#REF!+Меню!#REF!+Меню!#REF!+Меню!#REF!+Меню!#REF!</f>
        <v>#REF!</v>
      </c>
      <c r="Q13" s="20" t="e">
        <f>Меню!#REF!+Меню!#REF!+Меню!#REF!+Меню!#REF!+Меню!#REF!</f>
        <v>#REF!</v>
      </c>
      <c r="R13" s="20" t="e">
        <f>Меню!#REF!+Меню!#REF!+Меню!#REF!+Меню!#REF!+Меню!#REF!</f>
        <v>#REF!</v>
      </c>
      <c r="S13" s="20" t="e">
        <f>Меню!#REF!+Меню!#REF!+Меню!#REF!+Меню!#REF!+Меню!#REF!</f>
        <v>#REF!</v>
      </c>
      <c r="T13" s="20" t="e">
        <f>Меню!#REF!+Меню!#REF!+Меню!#REF!+Меню!#REF!+Меню!#REF!+Меню!#REF!+Меню!#REF!+Меню!#REF!</f>
        <v>#REF!</v>
      </c>
      <c r="U13" s="20" t="e">
        <f>Меню!#REF!+Меню!#REF!+Меню!#REF!+Меню!#REF!+Меню!#REF!+Меню!#REF!</f>
        <v>#REF!</v>
      </c>
      <c r="V13" s="17" t="e">
        <f t="shared" si="2"/>
        <v>#REF!</v>
      </c>
      <c r="W13" s="17" t="e">
        <f t="shared" si="3"/>
        <v>#REF!</v>
      </c>
      <c r="X13" s="72" t="e">
        <f t="shared" si="4"/>
        <v>#REF!</v>
      </c>
      <c r="Y13" s="82" t="e">
        <f>W13*0.4/100</f>
        <v>#REF!</v>
      </c>
      <c r="Z13" s="82" t="e">
        <f>W13*0/100</f>
        <v>#REF!</v>
      </c>
      <c r="AA13" s="83" t="e">
        <f>W13*5.7/100</f>
        <v>#REF!</v>
      </c>
      <c r="AB13" s="84" t="e">
        <f t="shared" si="0"/>
        <v>#REF!</v>
      </c>
    </row>
    <row r="14" ht="15" spans="2:28">
      <c r="B14" s="15">
        <v>8</v>
      </c>
      <c r="C14" s="16" t="s">
        <v>353</v>
      </c>
      <c r="D14" s="17">
        <v>184.5</v>
      </c>
      <c r="E14" s="17">
        <v>75</v>
      </c>
      <c r="F14" s="17">
        <f t="shared" si="1"/>
        <v>138.375</v>
      </c>
      <c r="G14" s="20" t="e">
        <f>Меню!#REF!</f>
        <v>#REF!</v>
      </c>
      <c r="H14" s="20" t="e">
        <f>Меню!#REF!+Меню!#REF!</f>
        <v>#REF!</v>
      </c>
      <c r="I14" s="20" t="e">
        <f>Меню!#REF!+Меню!#REF!</f>
        <v>#REF!</v>
      </c>
      <c r="J14" s="64" t="e">
        <f>Меню!#REF!</f>
        <v>#REF!</v>
      </c>
      <c r="K14" s="20" t="e">
        <f>Меню!#REF!+Меню!#REF!+100</f>
        <v>#REF!</v>
      </c>
      <c r="L14" s="18" t="e">
        <f>Меню!#REF!</f>
        <v>#REF!</v>
      </c>
      <c r="M14" s="20" t="e">
        <f>Меню!#REF!+100</f>
        <v>#REF!</v>
      </c>
      <c r="N14" s="43" t="e">
        <f>Меню!#REF!+Меню!#REF!</f>
        <v>#REF!</v>
      </c>
      <c r="O14" s="20" t="e">
        <f>Меню!#REF!+Меню!#REF!</f>
        <v>#REF!</v>
      </c>
      <c r="P14" s="20" t="e">
        <f>Меню!#REF!</f>
        <v>#REF!</v>
      </c>
      <c r="Q14" s="20" t="e">
        <f>Меню!#REF!+Меню!#REF!</f>
        <v>#REF!</v>
      </c>
      <c r="R14" s="20" t="e">
        <f>Меню!#REF!</f>
        <v>#REF!</v>
      </c>
      <c r="S14" s="20" t="e">
        <f>Меню!#REF!</f>
        <v>#REF!</v>
      </c>
      <c r="T14" s="20" t="e">
        <f>Меню!#REF!+Меню!#REF!</f>
        <v>#REF!</v>
      </c>
      <c r="U14" s="20"/>
      <c r="V14" s="17" t="e">
        <f t="shared" si="2"/>
        <v>#REF!</v>
      </c>
      <c r="W14" s="17" t="e">
        <f t="shared" si="3"/>
        <v>#REF!</v>
      </c>
      <c r="X14" s="73" t="e">
        <f t="shared" si="4"/>
        <v>#REF!</v>
      </c>
      <c r="Y14" s="77" t="e">
        <f>W14*0.4/100</f>
        <v>#REF!</v>
      </c>
      <c r="Z14" s="77" t="e">
        <f>W14*0.4/100</f>
        <v>#REF!</v>
      </c>
      <c r="AA14" s="78" t="e">
        <f>W14*14.2/100</f>
        <v>#REF!</v>
      </c>
      <c r="AB14" s="79" t="e">
        <f t="shared" si="0"/>
        <v>#REF!</v>
      </c>
    </row>
    <row r="15" ht="15" spans="2:28">
      <c r="B15" s="15">
        <v>9</v>
      </c>
      <c r="C15" s="27" t="s">
        <v>354</v>
      </c>
      <c r="D15" s="28">
        <v>15</v>
      </c>
      <c r="E15" s="17">
        <v>75</v>
      </c>
      <c r="F15" s="17">
        <f t="shared" si="1"/>
        <v>11.25</v>
      </c>
      <c r="G15" s="20" t="e">
        <f>Меню!#REF!</f>
        <v>#REF!</v>
      </c>
      <c r="H15" s="18"/>
      <c r="I15" s="18"/>
      <c r="J15" s="64">
        <v>17</v>
      </c>
      <c r="K15" s="20"/>
      <c r="L15" s="20" t="e">
        <f>Меню!#REF!</f>
        <v>#REF!</v>
      </c>
      <c r="M15" s="18"/>
      <c r="N15" s="63"/>
      <c r="O15" s="20" t="e">
        <f>Меню!#REF!</f>
        <v>#REF!</v>
      </c>
      <c r="P15" s="20">
        <v>17</v>
      </c>
      <c r="Q15" s="20"/>
      <c r="R15" s="20" t="e">
        <f>Меню!#REF!</f>
        <v>#REF!</v>
      </c>
      <c r="S15" s="20" t="e">
        <f>Меню!#REF!</f>
        <v>#REF!</v>
      </c>
      <c r="T15" s="20"/>
      <c r="U15" s="18" t="e">
        <f>Меню!#REF!+Меню!#REF!</f>
        <v>#REF!</v>
      </c>
      <c r="V15" s="17" t="e">
        <f t="shared" si="2"/>
        <v>#REF!</v>
      </c>
      <c r="W15" s="17" t="e">
        <f t="shared" si="3"/>
        <v>#REF!</v>
      </c>
      <c r="X15" s="72" t="e">
        <f t="shared" si="4"/>
        <v>#REF!</v>
      </c>
      <c r="Y15" s="82" t="e">
        <f>W15*1.8/100</f>
        <v>#REF!</v>
      </c>
      <c r="Z15" s="82">
        <v>0</v>
      </c>
      <c r="AA15" s="83" t="e">
        <f>W15*69.1/100</f>
        <v>#REF!</v>
      </c>
      <c r="AB15" s="84" t="e">
        <f t="shared" si="0"/>
        <v>#REF!</v>
      </c>
    </row>
    <row r="16" s="2" customFormat="1" ht="15" spans="2:28">
      <c r="B16" s="29">
        <v>10</v>
      </c>
      <c r="C16" s="30" t="s">
        <v>355</v>
      </c>
      <c r="D16" s="31">
        <v>40</v>
      </c>
      <c r="E16" s="31">
        <v>75</v>
      </c>
      <c r="F16" s="31">
        <f t="shared" si="1"/>
        <v>30</v>
      </c>
      <c r="G16" s="32" t="e">
        <f>Меню!#REF!+Меню!#REF!+Меню!#REF!+Меню!#REF!+Меню!#REF!</f>
        <v>#REF!</v>
      </c>
      <c r="H16" s="32" t="e">
        <f>Меню!#REF!+Меню!#REF!+Меню!#REF!+Меню!#REF!</f>
        <v>#REF!</v>
      </c>
      <c r="I16" s="32" t="e">
        <f>Меню!#REF!+Меню!#REF!+Меню!#REF!+Меню!#REF!+Меню!#REF!</f>
        <v>#REF!</v>
      </c>
      <c r="J16" s="65" t="e">
        <f>Меню!#REF!+Меню!#REF!+Меню!#REF!+Меню!#REF!+Меню!#REF!</f>
        <v>#REF!</v>
      </c>
      <c r="K16" s="32" t="e">
        <f>Меню!#REF!+Меню!#REF!+Меню!#REF!+Меню!#REF!+Меню!#REF!</f>
        <v>#REF!</v>
      </c>
      <c r="L16" s="32" t="e">
        <f>Меню!#REF!+Меню!#REF!+Меню!#REF!+Меню!#REF!</f>
        <v>#REF!</v>
      </c>
      <c r="M16" s="32" t="e">
        <f>Меню!#REF!+Меню!#REF!+Меню!#REF!+Меню!#REF!+Меню!#REF!</f>
        <v>#REF!</v>
      </c>
      <c r="N16" s="32" t="e">
        <f>Меню!#REF!+Меню!#REF!+Меню!#REF!+Меню!#REF!+Меню!#REF!+Меню!#REF!</f>
        <v>#REF!</v>
      </c>
      <c r="O16" s="32" t="e">
        <f>Меню!#REF!+Меню!#REF!+Меню!#REF!</f>
        <v>#REF!</v>
      </c>
      <c r="P16" s="32" t="e">
        <f>Меню!#REF!+Меню!#REF!+Меню!#REF!+Меню!#REF!</f>
        <v>#REF!</v>
      </c>
      <c r="Q16" s="32" t="e">
        <f>Меню!#REF!+Меню!#REF!+Меню!#REF!+Меню!#REF!+Меню!#REF!</f>
        <v>#REF!</v>
      </c>
      <c r="R16" s="32" t="e">
        <f>Меню!#REF!+Меню!#REF!+Меню!#REF!+Меню!#REF!+Меню!#REF!+Меню!#REF!</f>
        <v>#REF!</v>
      </c>
      <c r="S16" s="32" t="e">
        <f>Меню!#REF!+Меню!#REF!+Меню!#REF!+Меню!#REF!</f>
        <v>#REF!</v>
      </c>
      <c r="T16" s="32" t="e">
        <f>Меню!#REF!+Меню!#REF!+Меню!#REF!+Меню!#REF!+Меню!#REF!</f>
        <v>#REF!</v>
      </c>
      <c r="U16" s="32" t="e">
        <f>Меню!#REF!+Меню!#REF!+Меню!#REF!+Меню!#REF!+Меню!#REF!+Меню!#REF!</f>
        <v>#REF!</v>
      </c>
      <c r="V16" s="31" t="e">
        <f t="shared" si="2"/>
        <v>#REF!</v>
      </c>
      <c r="W16" s="31" t="e">
        <f t="shared" si="3"/>
        <v>#REF!</v>
      </c>
      <c r="X16" s="31" t="e">
        <f t="shared" si="4"/>
        <v>#REF!</v>
      </c>
      <c r="Y16" s="85">
        <v>0</v>
      </c>
      <c r="Z16" s="85">
        <v>0</v>
      </c>
      <c r="AA16" s="32" t="e">
        <f>W16*59.8/100</f>
        <v>#REF!</v>
      </c>
      <c r="AB16" s="86" t="e">
        <f t="shared" si="0"/>
        <v>#REF!</v>
      </c>
    </row>
    <row r="17" s="2" customFormat="1" ht="15" customHeight="1" spans="2:28">
      <c r="B17" s="29">
        <f t="shared" ref="B17:B32" si="5">B16+1</f>
        <v>11</v>
      </c>
      <c r="C17" s="30" t="s">
        <v>356</v>
      </c>
      <c r="D17" s="31">
        <v>10</v>
      </c>
      <c r="E17" s="31">
        <v>75</v>
      </c>
      <c r="F17" s="33">
        <f t="shared" si="1"/>
        <v>7.5</v>
      </c>
      <c r="G17" s="32"/>
      <c r="H17" s="32"/>
      <c r="I17" s="32"/>
      <c r="J17" s="65" t="e">
        <f>Меню!#REF!</f>
        <v>#REF!</v>
      </c>
      <c r="K17" s="32"/>
      <c r="L17" s="32"/>
      <c r="M17" s="32"/>
      <c r="N17" s="32"/>
      <c r="O17" s="32" t="e">
        <f>Меню!#REF!</f>
        <v>#REF!</v>
      </c>
      <c r="P17" s="32"/>
      <c r="Q17" s="32"/>
      <c r="R17" s="32" t="e">
        <f>Меню!#REF!</f>
        <v>#REF!</v>
      </c>
      <c r="S17" s="32"/>
      <c r="T17" s="32"/>
      <c r="U17" s="32" t="e">
        <f>Меню!#REF!</f>
        <v>#REF!</v>
      </c>
      <c r="V17" s="31" t="e">
        <f t="shared" si="2"/>
        <v>#REF!</v>
      </c>
      <c r="W17" s="31" t="e">
        <f t="shared" si="3"/>
        <v>#REF!</v>
      </c>
      <c r="X17" s="31" t="e">
        <f t="shared" si="4"/>
        <v>#REF!</v>
      </c>
      <c r="Y17" s="87" t="e">
        <f>W17*3.7/100</f>
        <v>#REF!</v>
      </c>
      <c r="Z17" s="87" t="e">
        <f>W17*1.2/100</f>
        <v>#REF!</v>
      </c>
      <c r="AA17" s="87" t="e">
        <f>W17*47/100</f>
        <v>#REF!</v>
      </c>
      <c r="AB17" s="88" t="e">
        <f t="shared" si="0"/>
        <v>#REF!</v>
      </c>
    </row>
    <row r="18" ht="15" spans="2:28">
      <c r="B18" s="15">
        <f t="shared" si="5"/>
        <v>12</v>
      </c>
      <c r="C18" s="27" t="s">
        <v>357</v>
      </c>
      <c r="D18" s="34">
        <v>0.4</v>
      </c>
      <c r="E18" s="17">
        <v>75</v>
      </c>
      <c r="F18" s="19">
        <v>0.25</v>
      </c>
      <c r="G18" s="20"/>
      <c r="H18" s="20" t="e">
        <f>Меню!#REF!+Меню!#REF!</f>
        <v>#REF!</v>
      </c>
      <c r="I18" s="20">
        <v>0.6</v>
      </c>
      <c r="J18" s="64"/>
      <c r="K18" s="20" t="e">
        <f>Меню!#REF!</f>
        <v>#REF!</v>
      </c>
      <c r="L18" s="20"/>
      <c r="M18" s="20"/>
      <c r="N18" s="43" t="e">
        <f>Меню!#REF!</f>
        <v>#REF!</v>
      </c>
      <c r="O18" s="20"/>
      <c r="P18" s="20"/>
      <c r="Q18" s="20"/>
      <c r="R18" s="20"/>
      <c r="S18" s="20" t="e">
        <f>Меню!#REF!</f>
        <v>#REF!</v>
      </c>
      <c r="T18" s="20"/>
      <c r="U18" s="20" t="e">
        <f>Меню!#REF!</f>
        <v>#REF!</v>
      </c>
      <c r="V18" s="17" t="e">
        <f t="shared" si="2"/>
        <v>#REF!</v>
      </c>
      <c r="W18" s="74" t="e">
        <f t="shared" si="3"/>
        <v>#REF!</v>
      </c>
      <c r="X18" s="72" t="e">
        <f t="shared" si="4"/>
        <v>#REF!</v>
      </c>
      <c r="Y18" s="82" t="e">
        <f>W18*20/100</f>
        <v>#REF!</v>
      </c>
      <c r="Z18" s="82" t="e">
        <f>W18*5.1/100</f>
        <v>#REF!</v>
      </c>
      <c r="AA18" s="83" t="e">
        <f>W18*4/100</f>
        <v>#REF!</v>
      </c>
      <c r="AB18" s="84" t="e">
        <f t="shared" si="0"/>
        <v>#REF!</v>
      </c>
    </row>
    <row r="19" s="1" customFormat="1" ht="12" customHeight="1" spans="2:28">
      <c r="B19" s="22">
        <f t="shared" si="5"/>
        <v>13</v>
      </c>
      <c r="C19" s="35" t="s">
        <v>358</v>
      </c>
      <c r="D19" s="36">
        <v>69.5</v>
      </c>
      <c r="E19" s="24">
        <v>75</v>
      </c>
      <c r="F19" s="25">
        <v>51</v>
      </c>
      <c r="G19" s="18" t="e">
        <f>Меню!#REF!+Меню!#REF!</f>
        <v>#REF!</v>
      </c>
      <c r="H19" s="20" t="e">
        <f>Меню!#REF!</f>
        <v>#REF!</v>
      </c>
      <c r="I19" s="20" t="e">
        <f>Меню!#REF!</f>
        <v>#REF!</v>
      </c>
      <c r="J19" s="66" t="e">
        <f>Меню!#REF!</f>
        <v>#REF!</v>
      </c>
      <c r="K19" s="20" t="e">
        <f>Меню!#REF!</f>
        <v>#REF!</v>
      </c>
      <c r="L19" s="20" t="e">
        <f>Меню!#REF!</f>
        <v>#REF!</v>
      </c>
      <c r="M19" s="20" t="e">
        <f>Меню!#REF!</f>
        <v>#REF!</v>
      </c>
      <c r="N19" s="63" t="e">
        <f>Меню!#REF!+Меню!#REF!</f>
        <v>#REF!</v>
      </c>
      <c r="O19" s="20" t="e">
        <f>Меню!#REF!+Меню!#REF!</f>
        <v>#REF!</v>
      </c>
      <c r="P19" s="20"/>
      <c r="Q19" s="20" t="e">
        <f>Меню!#REF!</f>
        <v>#REF!</v>
      </c>
      <c r="R19" s="20"/>
      <c r="S19" s="20" t="e">
        <f>Меню!#REF!</f>
        <v>#REF!</v>
      </c>
      <c r="T19" s="20" t="e">
        <f>Меню!#REF!</f>
        <v>#REF!</v>
      </c>
      <c r="U19" s="20" t="e">
        <f>Меню!#REF!</f>
        <v>#REF!</v>
      </c>
      <c r="V19" s="24" t="e">
        <f t="shared" si="2"/>
        <v>#REF!</v>
      </c>
      <c r="W19" s="17" t="e">
        <f t="shared" si="3"/>
        <v>#REF!</v>
      </c>
      <c r="X19" s="72" t="e">
        <f t="shared" si="4"/>
        <v>#REF!</v>
      </c>
      <c r="Y19" s="89" t="e">
        <f>W19*12.4/100</f>
        <v>#REF!</v>
      </c>
      <c r="Z19" s="89" t="e">
        <f>W19*15.2/100</f>
        <v>#REF!</v>
      </c>
      <c r="AA19" s="90">
        <v>0</v>
      </c>
      <c r="AB19" s="91" t="e">
        <f t="shared" si="0"/>
        <v>#REF!</v>
      </c>
    </row>
    <row r="20" s="1" customFormat="1" ht="28.5" customHeight="1" spans="2:28">
      <c r="B20" s="22">
        <f t="shared" si="5"/>
        <v>14</v>
      </c>
      <c r="C20" s="35" t="s">
        <v>359</v>
      </c>
      <c r="D20" s="36">
        <v>35</v>
      </c>
      <c r="E20" s="24">
        <v>75</v>
      </c>
      <c r="F20" s="25">
        <v>25.5</v>
      </c>
      <c r="G20" s="20"/>
      <c r="H20" s="20" t="e">
        <f>Меню!#REF!</f>
        <v>#REF!</v>
      </c>
      <c r="I20" s="20"/>
      <c r="J20" s="64" t="e">
        <f>Меню!#REF!</f>
        <v>#REF!</v>
      </c>
      <c r="K20" s="20"/>
      <c r="L20" s="20" t="e">
        <f>Меню!#REF!</f>
        <v>#REF!</v>
      </c>
      <c r="M20" s="20" t="e">
        <f>Меню!#REF!</f>
        <v>#REF!</v>
      </c>
      <c r="N20" s="43" t="e">
        <f>Меню!#REF!</f>
        <v>#REF!</v>
      </c>
      <c r="O20" s="20">
        <v>0</v>
      </c>
      <c r="P20" s="20" t="e">
        <f>Меню!#REF!</f>
        <v>#REF!</v>
      </c>
      <c r="Q20" s="20"/>
      <c r="R20" s="20" t="e">
        <f>Меню!#REF!</f>
        <v>#REF!</v>
      </c>
      <c r="S20" s="20"/>
      <c r="T20" s="20"/>
      <c r="U20" s="20" t="e">
        <f>Меню!#REF!</f>
        <v>#REF!</v>
      </c>
      <c r="V20" s="24" t="e">
        <f t="shared" si="2"/>
        <v>#REF!</v>
      </c>
      <c r="W20" s="17" t="e">
        <f t="shared" si="3"/>
        <v>#REF!</v>
      </c>
      <c r="X20" s="72" t="e">
        <f t="shared" si="4"/>
        <v>#REF!</v>
      </c>
      <c r="Y20" s="89" t="e">
        <f>W20*16.7/100</f>
        <v>#REF!</v>
      </c>
      <c r="Z20" s="89" t="e">
        <f>W20*16.1/100</f>
        <v>#REF!</v>
      </c>
      <c r="AA20" s="89" t="e">
        <f>W20*0.5/100</f>
        <v>#REF!</v>
      </c>
      <c r="AB20" s="91" t="e">
        <f t="shared" si="0"/>
        <v>#REF!</v>
      </c>
    </row>
    <row r="21" s="1" customFormat="1" ht="15" spans="2:28">
      <c r="B21" s="22">
        <f t="shared" si="5"/>
        <v>15</v>
      </c>
      <c r="C21" s="37" t="s">
        <v>360</v>
      </c>
      <c r="D21" s="38">
        <v>14.7</v>
      </c>
      <c r="E21" s="24">
        <v>75</v>
      </c>
      <c r="F21" s="25">
        <f t="shared" si="1"/>
        <v>11.025</v>
      </c>
      <c r="G21" s="20"/>
      <c r="H21" s="20"/>
      <c r="I21" s="20"/>
      <c r="J21" s="64"/>
      <c r="K21" s="20"/>
      <c r="L21" s="20"/>
      <c r="M21" s="20"/>
      <c r="N21" s="43"/>
      <c r="O21" s="20"/>
      <c r="P21" s="20"/>
      <c r="Q21" s="20"/>
      <c r="R21" s="20"/>
      <c r="S21" s="20"/>
      <c r="T21" s="20"/>
      <c r="U21" s="20"/>
      <c r="V21" s="24">
        <f t="shared" si="2"/>
        <v>0</v>
      </c>
      <c r="W21" s="17">
        <f t="shared" si="3"/>
        <v>0</v>
      </c>
      <c r="X21" s="72">
        <f t="shared" si="4"/>
        <v>0</v>
      </c>
      <c r="Y21" s="89">
        <f>W21*16.4/100</f>
        <v>0</v>
      </c>
      <c r="Z21" s="89">
        <f>W21*15.2/100</f>
        <v>0</v>
      </c>
      <c r="AA21" s="90">
        <v>0</v>
      </c>
      <c r="AB21" s="91">
        <f>SUM(Y21*4+Z21*9+AA21*4)</f>
        <v>0</v>
      </c>
    </row>
    <row r="22" s="1" customFormat="1" ht="15" spans="2:28">
      <c r="B22" s="22">
        <f t="shared" si="5"/>
        <v>16</v>
      </c>
      <c r="C22" s="37" t="s">
        <v>361</v>
      </c>
      <c r="D22" s="36">
        <v>57.5</v>
      </c>
      <c r="E22" s="24">
        <v>75</v>
      </c>
      <c r="F22" s="25">
        <f t="shared" si="1"/>
        <v>43.125</v>
      </c>
      <c r="G22" s="20"/>
      <c r="H22" s="18"/>
      <c r="I22" s="18" t="e">
        <f>Меню!#REF!</f>
        <v>#REF!</v>
      </c>
      <c r="J22" s="64"/>
      <c r="K22" s="18" t="e">
        <f>Меню!#REF!+Меню!#REF!</f>
        <v>#REF!</v>
      </c>
      <c r="L22" s="18"/>
      <c r="M22" s="18"/>
      <c r="N22" s="43"/>
      <c r="O22" s="20"/>
      <c r="P22" s="20"/>
      <c r="Q22" s="20" t="e">
        <f>Меню!#REF!</f>
        <v>#REF!</v>
      </c>
      <c r="R22" s="20"/>
      <c r="S22" s="20" t="e">
        <f>Меню!#REF!</f>
        <v>#REF!</v>
      </c>
      <c r="T22" s="20"/>
      <c r="U22" s="18" t="e">
        <f>Меню!#REF!</f>
        <v>#REF!</v>
      </c>
      <c r="V22" s="24" t="e">
        <f t="shared" si="2"/>
        <v>#REF!</v>
      </c>
      <c r="W22" s="17" t="e">
        <f t="shared" si="3"/>
        <v>#REF!</v>
      </c>
      <c r="X22" s="72" t="e">
        <f t="shared" si="4"/>
        <v>#REF!</v>
      </c>
      <c r="Y22" s="89" t="e">
        <f>W22*13.1/100</f>
        <v>#REF!</v>
      </c>
      <c r="Z22" s="89" t="e">
        <f>W22*2.9/100</f>
        <v>#REF!</v>
      </c>
      <c r="AA22" s="90">
        <v>0</v>
      </c>
      <c r="AB22" s="91" t="e">
        <f>Y22*4+Z22*9+AA22*4</f>
        <v>#REF!</v>
      </c>
    </row>
    <row r="23" s="1" customFormat="1" ht="15.75" customHeight="1" spans="2:28">
      <c r="B23" s="22">
        <f t="shared" si="5"/>
        <v>17</v>
      </c>
      <c r="C23" s="35" t="s">
        <v>362</v>
      </c>
      <c r="D23" s="36">
        <v>300</v>
      </c>
      <c r="E23" s="24">
        <v>75</v>
      </c>
      <c r="F23" s="24">
        <f t="shared" si="1"/>
        <v>225</v>
      </c>
      <c r="G23" s="20" t="e">
        <f>Меню!C26+Меню!#REF!+Меню!C71+Меню!#REF!</f>
        <v>#REF!</v>
      </c>
      <c r="H23" s="20" t="e">
        <f>Меню!#REF!+Меню!#REF!+Меню!#REF!</f>
        <v>#REF!</v>
      </c>
      <c r="I23" s="20" t="e">
        <f>Меню!#REF!+Меню!#REF!+Меню!#REF!</f>
        <v>#REF!</v>
      </c>
      <c r="J23" s="64" t="e">
        <f>Меню!#REF!+Меню!#REF!</f>
        <v>#REF!</v>
      </c>
      <c r="K23" s="20" t="e">
        <f>Меню!#REF!</f>
        <v>#REF!</v>
      </c>
      <c r="L23" s="20" t="e">
        <f>Меню!#REF!+Меню!#REF!</f>
        <v>#REF!</v>
      </c>
      <c r="M23" s="20" t="e">
        <f>Меню!#REF!+Меню!#REF!+Меню!#REF!+Меню!#REF!</f>
        <v>#REF!</v>
      </c>
      <c r="N23" s="43" t="e">
        <f>Меню!#REF!+Меню!#REF!</f>
        <v>#REF!</v>
      </c>
      <c r="O23" s="20" t="e">
        <f>Меню!#REF!+Меню!#REF!+Меню!#REF!</f>
        <v>#REF!</v>
      </c>
      <c r="P23" s="20" t="e">
        <f>Меню!#REF!+Меню!#REF!+Меню!#REF!+Меню!#REF!</f>
        <v>#REF!</v>
      </c>
      <c r="Q23" s="20" t="e">
        <f>Меню!#REF!+Меню!#REF!+Меню!#REF!+Меню!#REF!</f>
        <v>#REF!</v>
      </c>
      <c r="R23" s="20" t="e">
        <f>Меню!#REF!+Меню!#REF!</f>
        <v>#REF!</v>
      </c>
      <c r="S23" s="20" t="e">
        <f>Меню!#REF!+Меню!#REF!+Меню!#REF!</f>
        <v>#REF!</v>
      </c>
      <c r="T23" s="20" t="e">
        <f>Меню!#REF!+Меню!#REF!</f>
        <v>#REF!</v>
      </c>
      <c r="U23" s="20" t="e">
        <f>Меню!#REF!+Меню!#REF!+Меню!#REF!</f>
        <v>#REF!</v>
      </c>
      <c r="V23" s="24" t="e">
        <f t="shared" si="2"/>
        <v>#REF!</v>
      </c>
      <c r="W23" s="17" t="e">
        <f t="shared" si="3"/>
        <v>#REF!</v>
      </c>
      <c r="X23" s="72" t="e">
        <f t="shared" si="4"/>
        <v>#REF!</v>
      </c>
      <c r="Y23" s="89" t="e">
        <f>W23*2/100</f>
        <v>#REF!</v>
      </c>
      <c r="Z23" s="89" t="e">
        <f>W23*3.2/100</f>
        <v>#REF!</v>
      </c>
      <c r="AA23" s="90" t="e">
        <f>W23*4.7/100</f>
        <v>#REF!</v>
      </c>
      <c r="AB23" s="91" t="e">
        <f>Y23*4+Z23*9+AA23*4</f>
        <v>#REF!</v>
      </c>
    </row>
    <row r="24" s="1" customFormat="1" customHeight="1" spans="2:28">
      <c r="B24" s="22">
        <v>18</v>
      </c>
      <c r="C24" s="37" t="s">
        <v>363</v>
      </c>
      <c r="D24" s="36">
        <v>49.5</v>
      </c>
      <c r="E24" s="24">
        <v>75</v>
      </c>
      <c r="F24" s="25">
        <f t="shared" si="1"/>
        <v>37.125</v>
      </c>
      <c r="G24" s="18"/>
      <c r="H24" s="20" t="e">
        <f>Меню!#REF!</f>
        <v>#REF!</v>
      </c>
      <c r="I24" s="18"/>
      <c r="J24" s="66"/>
      <c r="K24" s="20" t="e">
        <f>Меню!#REF!</f>
        <v>#REF!</v>
      </c>
      <c r="L24" s="20"/>
      <c r="M24" s="20" t="e">
        <f>Меню!#REF!</f>
        <v>#REF!</v>
      </c>
      <c r="N24" s="43"/>
      <c r="O24" s="20"/>
      <c r="P24" s="20" t="e">
        <f>Меню!#REF!</f>
        <v>#REF!</v>
      </c>
      <c r="Q24" s="20"/>
      <c r="R24" s="20" t="e">
        <f>Меню!#REF!</f>
        <v>#REF!</v>
      </c>
      <c r="S24" s="20"/>
      <c r="T24" s="20"/>
      <c r="U24" s="20" t="e">
        <f>Меню!#REF!</f>
        <v>#REF!</v>
      </c>
      <c r="V24" s="24" t="e">
        <f t="shared" si="2"/>
        <v>#REF!</v>
      </c>
      <c r="W24" s="17" t="e">
        <f t="shared" si="3"/>
        <v>#REF!</v>
      </c>
      <c r="X24" s="72" t="e">
        <f t="shared" si="4"/>
        <v>#REF!</v>
      </c>
      <c r="Y24" s="89" t="e">
        <f>W24*12.7/100</f>
        <v>#REF!</v>
      </c>
      <c r="Z24" s="89" t="e">
        <f>W24*9/100</f>
        <v>#REF!</v>
      </c>
      <c r="AA24" s="90" t="e">
        <f>W24*2/100</f>
        <v>#REF!</v>
      </c>
      <c r="AB24" s="91" t="e">
        <f>Y24*4+Z24*9+AA24*4</f>
        <v>#REF!</v>
      </c>
    </row>
    <row r="25" s="1" customFormat="1" ht="15" spans="2:28">
      <c r="B25" s="22">
        <f t="shared" si="5"/>
        <v>19</v>
      </c>
      <c r="C25" s="37" t="s">
        <v>364</v>
      </c>
      <c r="D25" s="36">
        <v>10</v>
      </c>
      <c r="E25" s="24">
        <v>75</v>
      </c>
      <c r="F25" s="25">
        <f t="shared" si="1"/>
        <v>7.5</v>
      </c>
      <c r="G25" s="20" t="e">
        <f>Меню!#REF!+Меню!C42</f>
        <v>#REF!</v>
      </c>
      <c r="H25" s="20"/>
      <c r="I25" s="20" t="e">
        <f>Меню!#REF!+Меню!#REF!</f>
        <v>#REF!</v>
      </c>
      <c r="J25" s="66" t="e">
        <f>Меню!#REF!</f>
        <v>#REF!</v>
      </c>
      <c r="K25" s="18"/>
      <c r="L25" s="20" t="e">
        <f>Меню!#REF!</f>
        <v>#REF!</v>
      </c>
      <c r="M25" s="20"/>
      <c r="N25" s="43" t="e">
        <f>Меню!#REF!+Меню!#REF!</f>
        <v>#REF!</v>
      </c>
      <c r="O25" s="20" t="e">
        <f>Меню!#REF!+Меню!#REF!</f>
        <v>#REF!</v>
      </c>
      <c r="P25" s="20"/>
      <c r="Q25" s="20" t="e">
        <f>Меню!#REF!+Меню!#REF!</f>
        <v>#REF!</v>
      </c>
      <c r="R25" s="20" t="e">
        <f>Меню!#REF!</f>
        <v>#REF!</v>
      </c>
      <c r="S25" s="20" t="e">
        <f>Меню!#REF!</f>
        <v>#REF!</v>
      </c>
      <c r="T25" s="20"/>
      <c r="U25" s="20" t="e">
        <f>Меню!#REF!</f>
        <v>#REF!</v>
      </c>
      <c r="V25" s="24" t="e">
        <f t="shared" si="2"/>
        <v>#REF!</v>
      </c>
      <c r="W25" s="17" t="e">
        <f t="shared" si="3"/>
        <v>#REF!</v>
      </c>
      <c r="X25" s="72" t="e">
        <f t="shared" si="4"/>
        <v>#REF!</v>
      </c>
      <c r="Y25" s="89" t="e">
        <f>W25*2.6/100</f>
        <v>#REF!</v>
      </c>
      <c r="Z25" s="89" t="e">
        <f>W25*25/100</f>
        <v>#REF!</v>
      </c>
      <c r="AA25" s="90" t="e">
        <f>W25*2.7/100</f>
        <v>#REF!</v>
      </c>
      <c r="AB25" s="91" t="e">
        <f>Y25*4+Z25*9+AA25*4</f>
        <v>#REF!</v>
      </c>
    </row>
    <row r="26" s="1" customFormat="1" ht="13.5" customHeight="1" spans="2:28">
      <c r="B26" s="22">
        <f t="shared" si="5"/>
        <v>20</v>
      </c>
      <c r="C26" s="35" t="s">
        <v>365</v>
      </c>
      <c r="D26" s="38">
        <v>9.8</v>
      </c>
      <c r="E26" s="24">
        <v>75</v>
      </c>
      <c r="F26" s="25">
        <f t="shared" si="1"/>
        <v>7.35</v>
      </c>
      <c r="G26" s="20">
        <f>Меню!C10</f>
        <v>5</v>
      </c>
      <c r="H26" s="20" t="e">
        <f>Меню!#REF!</f>
        <v>#REF!</v>
      </c>
      <c r="I26" s="20" t="e">
        <f>Меню!#REF!</f>
        <v>#REF!</v>
      </c>
      <c r="J26" s="64"/>
      <c r="K26" s="20" t="e">
        <f>Меню!#REF!+Меню!#REF!</f>
        <v>#REF!</v>
      </c>
      <c r="L26" s="20" t="e">
        <f>Меню!#REF!</f>
        <v>#REF!</v>
      </c>
      <c r="M26" s="20"/>
      <c r="N26" s="43"/>
      <c r="O26" s="20"/>
      <c r="P26" s="20" t="e">
        <f>Меню!#REF!</f>
        <v>#REF!</v>
      </c>
      <c r="Q26" s="20"/>
      <c r="R26" s="20"/>
      <c r="S26" s="20" t="e">
        <f>Меню!#REF!</f>
        <v>#REF!</v>
      </c>
      <c r="T26" s="20"/>
      <c r="U26" s="20"/>
      <c r="V26" s="24" t="e">
        <f t="shared" si="2"/>
        <v>#REF!</v>
      </c>
      <c r="W26" s="17" t="e">
        <f t="shared" si="3"/>
        <v>#REF!</v>
      </c>
      <c r="X26" s="72" t="e">
        <f t="shared" si="4"/>
        <v>#REF!</v>
      </c>
      <c r="Y26" s="92" t="e">
        <f>W26*25/100</f>
        <v>#REF!</v>
      </c>
      <c r="Z26" s="92" t="e">
        <f>W26*15/100</f>
        <v>#REF!</v>
      </c>
      <c r="AA26" s="93">
        <v>0</v>
      </c>
      <c r="AB26" s="94" t="e">
        <f>Y26*4+Z26*9+AA26*4</f>
        <v>#REF!</v>
      </c>
    </row>
    <row r="27" s="1" customFormat="1" ht="12" customHeight="1" spans="2:28">
      <c r="B27" s="22">
        <f t="shared" si="5"/>
        <v>21</v>
      </c>
      <c r="C27" s="37" t="s">
        <v>366</v>
      </c>
      <c r="D27" s="36">
        <v>30</v>
      </c>
      <c r="E27" s="24">
        <v>75</v>
      </c>
      <c r="F27" s="25">
        <v>22</v>
      </c>
      <c r="G27" s="20" t="e">
        <f>Меню!#REF!+Меню!#REF!+Меню!C38</f>
        <v>#REF!</v>
      </c>
      <c r="H27" s="20" t="e">
        <f>Меню!#REF!+Меню!#REF!+Меню!#REF!+Меню!#REF!</f>
        <v>#REF!</v>
      </c>
      <c r="I27" s="20" t="e">
        <f>Меню!#REF!+Меню!#REF!+Меню!#REF!</f>
        <v>#REF!</v>
      </c>
      <c r="J27" s="64" t="e">
        <f>Меню!#REF!+Меню!#REF!+Меню!#REF!+Меню!#REF!+Меню!#REF!</f>
        <v>#REF!</v>
      </c>
      <c r="K27" s="20" t="e">
        <f>Меню!#REF!+Меню!#REF!+Меню!#REF!</f>
        <v>#REF!</v>
      </c>
      <c r="L27" s="20" t="e">
        <f>Меню!#REF!+Меню!#REF!</f>
        <v>#REF!</v>
      </c>
      <c r="M27" s="20" t="e">
        <f>Меню!#REF!+Меню!#REF!+Меню!#REF!</f>
        <v>#REF!</v>
      </c>
      <c r="N27" s="43" t="e">
        <f>Меню!#REF!+Меню!#REF!+Меню!#REF!</f>
        <v>#REF!</v>
      </c>
      <c r="O27" s="20" t="e">
        <f>Меню!#REF!+Меню!#REF!</f>
        <v>#REF!</v>
      </c>
      <c r="P27" s="20" t="e">
        <f>Меню!#REF!+Меню!#REF!</f>
        <v>#REF!</v>
      </c>
      <c r="Q27" s="20" t="e">
        <f>Меню!#REF!+Меню!#REF!+Меню!#REF!+Меню!#REF!</f>
        <v>#REF!</v>
      </c>
      <c r="R27" s="20" t="e">
        <f>Меню!#REF!+Меню!#REF!+Меню!#REF!+Меню!#REF!</f>
        <v>#REF!</v>
      </c>
      <c r="S27" s="20" t="e">
        <f>Меню!#REF!</f>
        <v>#REF!</v>
      </c>
      <c r="T27" s="20" t="e">
        <f>Меню!#REF!+Меню!#REF!</f>
        <v>#REF!</v>
      </c>
      <c r="U27" s="20" t="e">
        <f>Меню!#REF!+Меню!#REF!+Меню!#REF!+Меню!#REF!</f>
        <v>#REF!</v>
      </c>
      <c r="V27" s="24" t="e">
        <f t="shared" si="2"/>
        <v>#REF!</v>
      </c>
      <c r="W27" s="17" t="e">
        <f t="shared" si="3"/>
        <v>#REF!</v>
      </c>
      <c r="X27" s="72" t="e">
        <f t="shared" si="4"/>
        <v>#REF!</v>
      </c>
      <c r="Y27" s="89" t="e">
        <f>W27*0.8/100</f>
        <v>#REF!</v>
      </c>
      <c r="Z27" s="90" t="e">
        <f>W27*72.5/100</f>
        <v>#REF!</v>
      </c>
      <c r="AA27" s="90" t="e">
        <f>W27*1.3/100</f>
        <v>#REF!</v>
      </c>
      <c r="AB27" s="91" t="e">
        <f>SUM(Y27*4+Z27*9+AA27*4)</f>
        <v>#REF!</v>
      </c>
    </row>
    <row r="28" s="1" customFormat="1" ht="12" customHeight="1" spans="2:28">
      <c r="B28" s="22">
        <f t="shared" si="5"/>
        <v>22</v>
      </c>
      <c r="C28" s="37" t="s">
        <v>367</v>
      </c>
      <c r="D28" s="36">
        <v>15</v>
      </c>
      <c r="E28" s="24">
        <v>75</v>
      </c>
      <c r="F28" s="25">
        <f t="shared" si="1"/>
        <v>11.25</v>
      </c>
      <c r="G28" s="20" t="e">
        <f>Меню!#REF!+Меню!#REF!+8</f>
        <v>#REF!</v>
      </c>
      <c r="H28" s="20" t="e">
        <f>Меню!#REF!+Меню!#REF!+Меню!#REF!+8</f>
        <v>#REF!</v>
      </c>
      <c r="I28" s="20" t="e">
        <f>Меню!#REF!+Меню!#REF!+10</f>
        <v>#REF!</v>
      </c>
      <c r="J28" s="64" t="e">
        <f>Меню!#REF!+Меню!#REF!+10</f>
        <v>#REF!</v>
      </c>
      <c r="K28" s="20" t="e">
        <f>Меню!#REF!+Меню!#REF!+Меню!#REF!+8</f>
        <v>#REF!</v>
      </c>
      <c r="L28" s="20" t="e">
        <f>Меню!#REF!+Меню!#REF!+10</f>
        <v>#REF!</v>
      </c>
      <c r="M28" s="20" t="e">
        <f>Меню!#REF!+Меню!#REF!+10</f>
        <v>#REF!</v>
      </c>
      <c r="N28" s="43" t="e">
        <f>Меню!#REF!+Меню!#REF!+Меню!#REF!+Меню!#REF!</f>
        <v>#REF!</v>
      </c>
      <c r="O28" s="20" t="e">
        <f>Меню!#REF!+Меню!#REF!+Меню!#REF!+Меню!#REF!+Меню!#REF!</f>
        <v>#REF!</v>
      </c>
      <c r="P28" s="20" t="e">
        <f>Меню!#REF!+Меню!#REF!+Меню!#REF!+Меню!#REF!+8</f>
        <v>#REF!</v>
      </c>
      <c r="Q28" s="20" t="e">
        <f>Меню!#REF!+Меню!#REF!+Меню!#REF!+10</f>
        <v>#REF!</v>
      </c>
      <c r="R28" s="20" t="e">
        <f>Меню!#REF!+Меню!#REF!+Меню!#REF!+8</f>
        <v>#REF!</v>
      </c>
      <c r="S28" s="20" t="e">
        <f>Меню!#REF!+Меню!#REF!+Меню!#REF!+Меню!#REF!</f>
        <v>#REF!</v>
      </c>
      <c r="T28" s="20" t="e">
        <f>Меню!#REF!+Меню!#REF!+Меню!#REF!</f>
        <v>#REF!</v>
      </c>
      <c r="U28" s="20" t="e">
        <f>Меню!#REF!+Меню!#REF!+Меню!#REF!</f>
        <v>#REF!</v>
      </c>
      <c r="V28" s="24" t="e">
        <f t="shared" si="2"/>
        <v>#REF!</v>
      </c>
      <c r="W28" s="17" t="e">
        <f t="shared" si="3"/>
        <v>#REF!</v>
      </c>
      <c r="X28" s="72" t="e">
        <f t="shared" si="4"/>
        <v>#REF!</v>
      </c>
      <c r="Y28" s="89">
        <v>0</v>
      </c>
      <c r="Z28" s="89" t="e">
        <f>W28*99.9/100</f>
        <v>#REF!</v>
      </c>
      <c r="AA28" s="90">
        <v>0</v>
      </c>
      <c r="AB28" s="91" t="e">
        <f>SUM(Y28*4+Z28*9+AA28*4)</f>
        <v>#REF!</v>
      </c>
    </row>
    <row r="29" ht="15" spans="2:28">
      <c r="B29" s="15">
        <f t="shared" si="5"/>
        <v>23</v>
      </c>
      <c r="C29" s="27" t="s">
        <v>368</v>
      </c>
      <c r="D29" s="28">
        <v>40</v>
      </c>
      <c r="E29" s="17">
        <v>75</v>
      </c>
      <c r="F29" s="17">
        <f t="shared" si="1"/>
        <v>30</v>
      </c>
      <c r="G29" s="20" t="e">
        <f>Меню!C58+Меню!#REF!</f>
        <v>#REF!</v>
      </c>
      <c r="H29" s="20" t="e">
        <f>Меню!#REF!</f>
        <v>#REF!</v>
      </c>
      <c r="I29" s="20" t="e">
        <f>Меню!#REF!+Меню!#REF!</f>
        <v>#REF!</v>
      </c>
      <c r="J29" s="64" t="e">
        <f>Меню!#REF!</f>
        <v>#REF!</v>
      </c>
      <c r="K29" s="20" t="e">
        <f>Меню!#REF!+Меню!#REF!</f>
        <v>#REF!</v>
      </c>
      <c r="L29" s="20" t="e">
        <f>Меню!#REF!</f>
        <v>#REF!</v>
      </c>
      <c r="M29" s="20" t="e">
        <f>Меню!#REF!+Меню!#REF!+Меню!#REF!</f>
        <v>#REF!</v>
      </c>
      <c r="N29" s="43" t="e">
        <f>Меню!#REF!+Меню!#REF!</f>
        <v>#REF!</v>
      </c>
      <c r="O29" s="20" t="e">
        <f>Меню!#REF!+Меню!#REF!+Меню!#REF!</f>
        <v>#REF!</v>
      </c>
      <c r="P29" s="20" t="e">
        <f>Меню!#REF!</f>
        <v>#REF!</v>
      </c>
      <c r="Q29" s="20" t="e">
        <f>Меню!#REF!+Меню!#REF!</f>
        <v>#REF!</v>
      </c>
      <c r="R29" s="20" t="e">
        <f>Меню!#REF!</f>
        <v>#REF!</v>
      </c>
      <c r="S29" s="20" t="e">
        <f>Меню!#REF!+Меню!#REF!+Меню!#REF!</f>
        <v>#REF!</v>
      </c>
      <c r="T29" s="20" t="e">
        <f>Меню!#REF!</f>
        <v>#REF!</v>
      </c>
      <c r="U29" s="20" t="e">
        <f>Меню!#REF!+Меню!#REF!</f>
        <v>#REF!</v>
      </c>
      <c r="V29" s="17" t="e">
        <f t="shared" si="2"/>
        <v>#REF!</v>
      </c>
      <c r="W29" s="17" t="e">
        <f t="shared" si="3"/>
        <v>#REF!</v>
      </c>
      <c r="X29" s="72" t="e">
        <f t="shared" si="4"/>
        <v>#REF!</v>
      </c>
      <c r="Y29" s="82" t="e">
        <f>W29*12.7/100</f>
        <v>#REF!</v>
      </c>
      <c r="Z29" s="82" t="e">
        <f>W29*11.5/100</f>
        <v>#REF!</v>
      </c>
      <c r="AA29" s="83" t="e">
        <f>W29*0.7/100</f>
        <v>#REF!</v>
      </c>
      <c r="AB29" s="84" t="e">
        <f>Y29*4+Z29*9+AA29*4</f>
        <v>#REF!</v>
      </c>
    </row>
    <row r="30" s="1" customFormat="1" customHeight="1" spans="2:28">
      <c r="B30" s="22">
        <f t="shared" si="5"/>
        <v>24</v>
      </c>
      <c r="C30" s="37" t="s">
        <v>369</v>
      </c>
      <c r="D30" s="38">
        <v>1</v>
      </c>
      <c r="E30" s="24">
        <v>75</v>
      </c>
      <c r="F30" s="25">
        <f t="shared" si="1"/>
        <v>0.75</v>
      </c>
      <c r="G30" s="20"/>
      <c r="H30" s="20"/>
      <c r="I30" s="20"/>
      <c r="J30" s="20"/>
      <c r="K30" s="20"/>
      <c r="L30" s="20"/>
      <c r="M30" s="20"/>
      <c r="N30" s="43"/>
      <c r="O30" s="20"/>
      <c r="P30" s="20"/>
      <c r="Q30" s="20"/>
      <c r="R30" s="20"/>
      <c r="S30" s="20"/>
      <c r="T30" s="20"/>
      <c r="U30" s="20"/>
      <c r="V30" s="24">
        <f t="shared" si="2"/>
        <v>0</v>
      </c>
      <c r="W30" s="17">
        <f t="shared" si="3"/>
        <v>0</v>
      </c>
      <c r="X30" s="72">
        <f t="shared" si="4"/>
        <v>0</v>
      </c>
      <c r="Y30" s="89">
        <f>W30*12.2/100</f>
        <v>0</v>
      </c>
      <c r="Z30" s="89">
        <f>W30*1.2/100</f>
        <v>0</v>
      </c>
      <c r="AA30" s="90">
        <f>W30*64.3/100</f>
        <v>0</v>
      </c>
      <c r="AB30" s="91">
        <f>Y30*4+Z30*9+AA30*4</f>
        <v>0</v>
      </c>
    </row>
    <row r="31" s="1" customFormat="1" ht="12" customHeight="1" spans="2:28">
      <c r="B31" s="22">
        <f t="shared" si="5"/>
        <v>25</v>
      </c>
      <c r="C31" s="37" t="s">
        <v>370</v>
      </c>
      <c r="D31" s="38">
        <v>1.2</v>
      </c>
      <c r="E31" s="24">
        <v>75</v>
      </c>
      <c r="F31" s="25">
        <f t="shared" si="1"/>
        <v>0.9</v>
      </c>
      <c r="G31" s="20" t="e">
        <f>Меню!#REF!</f>
        <v>#REF!</v>
      </c>
      <c r="H31" s="20"/>
      <c r="I31" s="20"/>
      <c r="J31" s="64" t="e">
        <f>Меню!#REF!</f>
        <v>#REF!</v>
      </c>
      <c r="K31" s="66"/>
      <c r="L31" s="20" t="e">
        <f>Меню!#REF!</f>
        <v>#REF!</v>
      </c>
      <c r="M31" s="18" t="e">
        <f>Меню!#REF!</f>
        <v>#REF!</v>
      </c>
      <c r="N31" s="43"/>
      <c r="O31" s="18" t="e">
        <f>Меню!#REF!</f>
        <v>#REF!</v>
      </c>
      <c r="P31" s="18"/>
      <c r="Q31" s="18" t="e">
        <f>Меню!#REF!</f>
        <v>#REF!</v>
      </c>
      <c r="R31" s="18"/>
      <c r="S31" s="18"/>
      <c r="T31" s="18" t="e">
        <f>Меню!#REF!</f>
        <v>#REF!</v>
      </c>
      <c r="U31" s="18"/>
      <c r="V31" s="24" t="e">
        <f t="shared" si="2"/>
        <v>#REF!</v>
      </c>
      <c r="W31" s="17" t="e">
        <f t="shared" si="3"/>
        <v>#REF!</v>
      </c>
      <c r="X31" s="72" t="e">
        <f t="shared" si="4"/>
        <v>#REF!</v>
      </c>
      <c r="Y31" s="89" t="e">
        <f>W31*24.2/100</f>
        <v>#REF!</v>
      </c>
      <c r="Z31" s="89" t="e">
        <f>W31*17.2/100</f>
        <v>#REF!</v>
      </c>
      <c r="AA31" s="90" t="e">
        <f>W31*27.9/100</f>
        <v>#REF!</v>
      </c>
      <c r="AB31" s="91" t="e">
        <f>Y31*4+Z31*9+AA31*4</f>
        <v>#REF!</v>
      </c>
    </row>
    <row r="32" customHeight="1" spans="2:28">
      <c r="B32" s="15">
        <f t="shared" si="5"/>
        <v>26</v>
      </c>
      <c r="C32" s="39" t="s">
        <v>371</v>
      </c>
      <c r="D32" s="40">
        <v>5</v>
      </c>
      <c r="E32" s="41">
        <v>75</v>
      </c>
      <c r="F32" s="42">
        <f t="shared" si="1"/>
        <v>3.75</v>
      </c>
      <c r="G32" s="43" t="e">
        <f>Меню!#REF!+Меню!#REF!+Меню!C37+Меню!#REF!+Меню!#REF!+Меню!#REF!</f>
        <v>#REF!</v>
      </c>
      <c r="H32" s="43" t="e">
        <f>Меню!#REF!+Меню!#REF!+Меню!#REF!+Меню!#REF!+Меню!#REF!+Меню!#REF!</f>
        <v>#REF!</v>
      </c>
      <c r="I32" s="43" t="e">
        <f>Меню!#REF!+Меню!#REF!+Меню!#REF!+Меню!#REF!+Меню!#REF!+Меню!#REF!</f>
        <v>#REF!</v>
      </c>
      <c r="J32" s="43" t="e">
        <f>Меню!#REF!+Меню!#REF!+Меню!#REF!+Меню!#REF!</f>
        <v>#REF!</v>
      </c>
      <c r="K32" s="43" t="e">
        <f>Меню!#REF!+Меню!#REF!+Меню!#REF!+Меню!#REF!</f>
        <v>#REF!</v>
      </c>
      <c r="L32" s="43" t="e">
        <f>Меню!#REF!+Меню!#REF!+Меню!#REF!+Меню!#REF!+Меню!#REF!</f>
        <v>#REF!</v>
      </c>
      <c r="M32" s="43" t="e">
        <f>Меню!#REF!+Меню!#REF!+Меню!#REF!+Меню!#REF!+Меню!#REF!</f>
        <v>#REF!</v>
      </c>
      <c r="N32" s="43" t="e">
        <f>Меню!#REF!+Меню!#REF!+Меню!#REF!+Меню!#REF!+Меню!#REF!</f>
        <v>#REF!</v>
      </c>
      <c r="O32" s="43" t="e">
        <f>Меню!#REF!+Меню!#REF!+Меню!#REF!+Меню!#REF!+Меню!#REF!+Меню!#REF!</f>
        <v>#REF!</v>
      </c>
      <c r="P32" s="43" t="e">
        <f>Меню!#REF!+Меню!#REF!+Меню!#REF!+Меню!#REF!+Меню!#REF!+Меню!#REF!</f>
        <v>#REF!</v>
      </c>
      <c r="Q32" s="43" t="e">
        <f>Меню!#REF!+Меню!#REF!+Меню!#REF!+Меню!#REF!+Меню!#REF!</f>
        <v>#REF!</v>
      </c>
      <c r="R32" s="43" t="e">
        <f>Меню!#REF!+Меню!#REF!+Меню!#REF!+Меню!#REF!+Меню!#REF!</f>
        <v>#REF!</v>
      </c>
      <c r="S32" s="43" t="e">
        <f>Меню!#REF!+Меню!#REF!+Меню!#REF!+Меню!#REF!+Меню!#REF!</f>
        <v>#REF!</v>
      </c>
      <c r="T32" s="43" t="e">
        <f>Меню!#REF!+Меню!#REF!+Меню!#REF!+Меню!#REF!</f>
        <v>#REF!</v>
      </c>
      <c r="U32" s="43" t="e">
        <f>Меню!#REF!+Меню!#REF!+Меню!#REF!+Меню!#REF!+Меню!#REF!+Меню!#REF!</f>
        <v>#REF!</v>
      </c>
      <c r="V32" s="41" t="e">
        <f t="shared" si="2"/>
        <v>#REF!</v>
      </c>
      <c r="W32" s="41" t="e">
        <f t="shared" si="3"/>
        <v>#REF!</v>
      </c>
      <c r="X32" s="41" t="e">
        <f t="shared" si="4"/>
        <v>#REF!</v>
      </c>
      <c r="Y32" s="95" t="e">
        <f>W32*24.2/100</f>
        <v>#REF!</v>
      </c>
      <c r="Z32" s="82" t="e">
        <f>W32*17.2/100</f>
        <v>#REF!</v>
      </c>
      <c r="AA32" s="83" t="e">
        <f>W32*27.9/100</f>
        <v>#REF!</v>
      </c>
      <c r="AB32" s="84">
        <v>0</v>
      </c>
    </row>
    <row r="33" spans="2:28">
      <c r="B33" s="44"/>
      <c r="C33" s="45" t="s">
        <v>372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4"/>
      <c r="AA33" s="44"/>
      <c r="AB33" s="44"/>
    </row>
    <row r="34" spans="3:25">
      <c r="C34" s="46" t="s">
        <v>373</v>
      </c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</row>
    <row r="35" spans="3:25">
      <c r="C35" s="46" t="s">
        <v>374</v>
      </c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</row>
    <row r="36" spans="1:25">
      <c r="A36" s="48"/>
      <c r="B36" s="48"/>
      <c r="C36" s="49"/>
      <c r="D36" s="50"/>
      <c r="E36" s="50"/>
      <c r="F36" s="50"/>
      <c r="G36" s="50"/>
      <c r="H36" s="50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</row>
    <row r="37" spans="1:25">
      <c r="A37" s="51"/>
      <c r="B37" s="51"/>
      <c r="C37" s="46"/>
      <c r="D37" s="46"/>
      <c r="E37" s="46"/>
      <c r="F37" s="46"/>
      <c r="G37" s="46"/>
      <c r="H37" s="46"/>
      <c r="I37" s="67"/>
      <c r="J37" s="6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</row>
    <row r="38" spans="1:25">
      <c r="A38" s="51"/>
      <c r="B38" s="51"/>
      <c r="C38" s="46"/>
      <c r="D38" s="46"/>
      <c r="E38" s="46"/>
      <c r="F38" s="46"/>
      <c r="G38" s="46"/>
      <c r="H38" s="46"/>
      <c r="I38" s="67"/>
      <c r="J38" s="6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</row>
    <row r="39" spans="1:25">
      <c r="A39" s="51"/>
      <c r="B39" s="51"/>
      <c r="C39" s="46"/>
      <c r="D39" s="46"/>
      <c r="E39" s="46"/>
      <c r="F39" s="46"/>
      <c r="G39" s="46"/>
      <c r="H39" s="46"/>
      <c r="I39" s="67"/>
      <c r="J39" s="6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</row>
    <row r="40" spans="1:25">
      <c r="A40" s="51"/>
      <c r="B40" s="51"/>
      <c r="C40" s="46"/>
      <c r="D40" s="46"/>
      <c r="E40" s="46"/>
      <c r="F40" s="46"/>
      <c r="G40" s="46"/>
      <c r="H40" s="46"/>
      <c r="I40" s="67"/>
      <c r="J40" s="6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</row>
    <row r="41" spans="1:25">
      <c r="A41" s="51"/>
      <c r="B41" s="52"/>
      <c r="C41" s="46"/>
      <c r="D41" s="46"/>
      <c r="E41" s="46"/>
      <c r="F41" s="46"/>
      <c r="G41" s="46"/>
      <c r="H41" s="46"/>
      <c r="I41" s="67"/>
      <c r="J41" s="6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</row>
    <row r="42" spans="1:25">
      <c r="A42" s="51"/>
      <c r="B42" s="51"/>
      <c r="C42" s="53"/>
      <c r="D42" s="53"/>
      <c r="E42" s="53"/>
      <c r="F42" s="53"/>
      <c r="G42" s="53"/>
      <c r="H42" s="46"/>
      <c r="I42" s="67"/>
      <c r="J42" s="6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</row>
    <row r="43" spans="1:25">
      <c r="A43" s="54"/>
      <c r="B43" s="55"/>
      <c r="C43" s="56"/>
      <c r="D43" s="56"/>
      <c r="E43" s="56"/>
      <c r="F43" s="56"/>
      <c r="G43" s="56"/>
      <c r="H43" s="56"/>
      <c r="I43" s="67"/>
      <c r="J43" s="6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</row>
    <row r="44" spans="1:25">
      <c r="A44" s="55"/>
      <c r="B44" s="55"/>
      <c r="C44" s="56"/>
      <c r="D44" s="56"/>
      <c r="E44" s="56"/>
      <c r="F44" s="56"/>
      <c r="G44" s="56"/>
      <c r="H44" s="56"/>
      <c r="I44" s="67"/>
      <c r="J44" s="6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</row>
    <row r="45" spans="1:25">
      <c r="A45" s="55"/>
      <c r="B45" s="55"/>
      <c r="C45" s="56"/>
      <c r="D45" s="56"/>
      <c r="E45" s="56"/>
      <c r="F45" s="56"/>
      <c r="G45" s="56"/>
      <c r="H45" s="56"/>
      <c r="I45" s="67"/>
      <c r="J45" s="6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</row>
    <row r="46" spans="1:25">
      <c r="A46" s="55"/>
      <c r="B46" s="55"/>
      <c r="C46" s="56"/>
      <c r="D46" s="56"/>
      <c r="E46" s="56"/>
      <c r="F46" s="56"/>
      <c r="G46" s="56"/>
      <c r="H46" s="56"/>
      <c r="I46" s="67"/>
      <c r="J46" s="6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</row>
    <row r="47" spans="1:25">
      <c r="A47" s="55"/>
      <c r="B47" s="57"/>
      <c r="C47" s="58"/>
      <c r="D47" s="58"/>
      <c r="E47" s="58"/>
      <c r="F47" s="58"/>
      <c r="G47" s="58"/>
      <c r="H47" s="58"/>
      <c r="I47" s="67"/>
      <c r="J47" s="6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</row>
    <row r="48" spans="1:25">
      <c r="A48" s="51"/>
      <c r="B48" s="57"/>
      <c r="C48" s="58"/>
      <c r="D48" s="58"/>
      <c r="E48" s="58"/>
      <c r="F48" s="58"/>
      <c r="G48" s="58"/>
      <c r="H48" s="58"/>
      <c r="I48" s="67"/>
      <c r="J48" s="6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</row>
    <row r="49" spans="1:25">
      <c r="A49" s="51"/>
      <c r="B49" s="57"/>
      <c r="C49" s="58"/>
      <c r="D49" s="58"/>
      <c r="E49" s="58"/>
      <c r="F49" s="58"/>
      <c r="G49" s="58"/>
      <c r="H49" s="58"/>
      <c r="I49" s="67"/>
      <c r="J49" s="6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</row>
    <row r="50" spans="1:25">
      <c r="A50" s="51"/>
      <c r="B50" s="57"/>
      <c r="C50" s="58"/>
      <c r="D50" s="58"/>
      <c r="E50" s="58"/>
      <c r="F50" s="58"/>
      <c r="G50" s="58"/>
      <c r="H50" s="58"/>
      <c r="I50" s="67"/>
      <c r="J50" s="6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</row>
    <row r="51" spans="1:25">
      <c r="A51" s="51"/>
      <c r="B51" s="57"/>
      <c r="C51" s="58"/>
      <c r="D51" s="58"/>
      <c r="E51" s="58"/>
      <c r="F51" s="58"/>
      <c r="G51" s="58"/>
      <c r="H51" s="58"/>
      <c r="I51" s="67"/>
      <c r="J51" s="6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</row>
    <row r="52" spans="1:25">
      <c r="A52" s="51"/>
      <c r="B52" s="59"/>
      <c r="C52" s="58"/>
      <c r="D52" s="58"/>
      <c r="E52" s="58"/>
      <c r="F52" s="58"/>
      <c r="G52" s="58"/>
      <c r="H52" s="58"/>
      <c r="I52" s="67"/>
      <c r="J52" s="6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</row>
    <row r="53" spans="1:25">
      <c r="A53" s="51"/>
      <c r="B53" s="60"/>
      <c r="C53" s="61"/>
      <c r="D53" s="61"/>
      <c r="E53" s="61"/>
      <c r="F53" s="61"/>
      <c r="G53" s="61"/>
      <c r="H53" s="61"/>
      <c r="I53" s="67"/>
      <c r="J53" s="6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</row>
    <row r="54" spans="1:25">
      <c r="A54" s="54"/>
      <c r="B54" s="57"/>
      <c r="C54" s="58"/>
      <c r="D54" s="58"/>
      <c r="E54" s="58"/>
      <c r="F54" s="58"/>
      <c r="G54" s="58"/>
      <c r="H54" s="58"/>
      <c r="I54" s="67"/>
      <c r="J54" s="6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</row>
    <row r="55" spans="1:25">
      <c r="A55" s="51"/>
      <c r="B55" s="57"/>
      <c r="C55" s="58"/>
      <c r="D55" s="58"/>
      <c r="E55" s="58"/>
      <c r="F55" s="58"/>
      <c r="G55" s="58"/>
      <c r="H55" s="58"/>
      <c r="I55" s="67"/>
      <c r="J55" s="6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</row>
    <row r="56" spans="1:25">
      <c r="A56" s="51"/>
      <c r="B56" s="57"/>
      <c r="C56" s="58"/>
      <c r="D56" s="58"/>
      <c r="E56" s="58"/>
      <c r="F56" s="58"/>
      <c r="G56" s="58"/>
      <c r="H56" s="58"/>
      <c r="I56" s="67"/>
      <c r="J56" s="6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</row>
    <row r="57" spans="1:25">
      <c r="A57" s="51"/>
      <c r="B57" s="57"/>
      <c r="C57" s="58"/>
      <c r="D57" s="58"/>
      <c r="E57" s="58"/>
      <c r="F57" s="58"/>
      <c r="G57" s="58"/>
      <c r="H57" s="58"/>
      <c r="I57" s="67"/>
      <c r="J57" s="6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</row>
    <row r="58" spans="1:25">
      <c r="A58" s="51"/>
      <c r="B58" s="57"/>
      <c r="C58" s="58"/>
      <c r="D58" s="58"/>
      <c r="E58" s="58"/>
      <c r="F58" s="58"/>
      <c r="G58" s="58"/>
      <c r="H58" s="58"/>
      <c r="I58" s="67"/>
      <c r="J58" s="6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</row>
    <row r="59" spans="1:25">
      <c r="A59" s="51"/>
      <c r="B59" s="57"/>
      <c r="C59" s="58"/>
      <c r="D59" s="58"/>
      <c r="E59" s="58"/>
      <c r="F59" s="58"/>
      <c r="G59" s="58"/>
      <c r="H59" s="58"/>
      <c r="I59" s="67"/>
      <c r="J59" s="6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</row>
    <row r="60" spans="1:25">
      <c r="A60" s="51"/>
      <c r="B60" s="57"/>
      <c r="C60" s="58"/>
      <c r="D60" s="58"/>
      <c r="E60" s="58"/>
      <c r="F60" s="58"/>
      <c r="G60" s="58"/>
      <c r="H60" s="58"/>
      <c r="I60" s="67"/>
      <c r="J60" s="6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</row>
    <row r="61" spans="1:25">
      <c r="A61" s="51"/>
      <c r="B61" s="57"/>
      <c r="C61" s="58"/>
      <c r="D61" s="58"/>
      <c r="E61" s="58"/>
      <c r="F61" s="58"/>
      <c r="G61" s="58"/>
      <c r="H61" s="58"/>
      <c r="I61" s="67"/>
      <c r="J61" s="6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</row>
    <row r="62" spans="1:25">
      <c r="A62" s="51"/>
      <c r="B62" s="59"/>
      <c r="C62" s="58"/>
      <c r="D62" s="58"/>
      <c r="E62" s="58"/>
      <c r="F62" s="58"/>
      <c r="G62" s="58"/>
      <c r="H62" s="58"/>
      <c r="I62" s="67"/>
      <c r="J62" s="6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</row>
    <row r="63" spans="1:25">
      <c r="A63" s="51"/>
      <c r="B63" s="57"/>
      <c r="C63" s="58"/>
      <c r="D63" s="58"/>
      <c r="E63" s="58"/>
      <c r="F63" s="58"/>
      <c r="G63" s="58"/>
      <c r="H63" s="58"/>
      <c r="I63" s="67"/>
      <c r="J63" s="6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</row>
    <row r="64" spans="1:25">
      <c r="A64" s="51"/>
      <c r="B64" s="60"/>
      <c r="C64" s="61"/>
      <c r="D64" s="61"/>
      <c r="E64" s="61"/>
      <c r="F64" s="61"/>
      <c r="G64" s="61"/>
      <c r="H64" s="61"/>
      <c r="I64" s="67"/>
      <c r="J64" s="6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</row>
    <row r="65" spans="1:25">
      <c r="A65" s="54"/>
      <c r="B65" s="57"/>
      <c r="C65" s="58"/>
      <c r="D65" s="58"/>
      <c r="E65" s="58"/>
      <c r="F65" s="58"/>
      <c r="G65" s="58"/>
      <c r="H65" s="58"/>
      <c r="I65" s="67"/>
      <c r="J65" s="6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</row>
    <row r="66" spans="1:21">
      <c r="A66" s="51"/>
      <c r="B66" s="57"/>
      <c r="C66" s="96"/>
      <c r="D66" s="96"/>
      <c r="E66" s="96"/>
      <c r="F66" s="96"/>
      <c r="G66" s="97"/>
      <c r="H66" s="97"/>
      <c r="I66" s="101"/>
      <c r="J66" s="101"/>
      <c r="K66" s="47"/>
      <c r="L66" s="47"/>
      <c r="M66" s="47"/>
      <c r="N66" s="47"/>
      <c r="O66" s="47"/>
      <c r="P66" s="47"/>
      <c r="Q66" s="3"/>
      <c r="R66" s="3"/>
      <c r="S66" s="3"/>
      <c r="T66" s="3"/>
      <c r="U66" s="3"/>
    </row>
    <row r="67" spans="1:21">
      <c r="A67" s="51"/>
      <c r="B67" s="57"/>
      <c r="C67" s="96"/>
      <c r="D67" s="96"/>
      <c r="E67" s="96"/>
      <c r="F67" s="96"/>
      <c r="G67" s="97"/>
      <c r="H67" s="97"/>
      <c r="I67" s="101"/>
      <c r="J67" s="101"/>
      <c r="K67" s="47"/>
      <c r="L67" s="47"/>
      <c r="M67" s="47"/>
      <c r="N67" s="47"/>
      <c r="O67" s="47"/>
      <c r="P67" s="47"/>
      <c r="Q67" s="3"/>
      <c r="R67" s="3"/>
      <c r="S67" s="3"/>
      <c r="T67" s="3"/>
      <c r="U67" s="3"/>
    </row>
    <row r="68" spans="1:21">
      <c r="A68" s="51"/>
      <c r="B68" s="57"/>
      <c r="C68" s="96"/>
      <c r="D68" s="96"/>
      <c r="E68" s="96"/>
      <c r="F68" s="96"/>
      <c r="G68" s="97"/>
      <c r="H68" s="97"/>
      <c r="I68" s="101"/>
      <c r="J68" s="101"/>
      <c r="K68" s="47"/>
      <c r="L68" s="47"/>
      <c r="M68" s="47"/>
      <c r="N68" s="47"/>
      <c r="O68" s="47"/>
      <c r="P68" s="47"/>
      <c r="Q68" s="3"/>
      <c r="R68" s="3"/>
      <c r="S68" s="3"/>
      <c r="T68" s="3"/>
      <c r="U68" s="3"/>
    </row>
    <row r="69" spans="1:21">
      <c r="A69" s="51"/>
      <c r="B69" s="98"/>
      <c r="C69" s="98"/>
      <c r="D69" s="98"/>
      <c r="E69" s="98"/>
      <c r="F69" s="98"/>
      <c r="G69" s="99"/>
      <c r="H69" s="99"/>
      <c r="I69" s="101"/>
      <c r="J69" s="101"/>
      <c r="K69" s="47"/>
      <c r="L69" s="47"/>
      <c r="M69" s="47"/>
      <c r="N69" s="47"/>
      <c r="O69" s="47"/>
      <c r="P69" s="47"/>
      <c r="Q69" s="3"/>
      <c r="R69" s="3"/>
      <c r="S69" s="3"/>
      <c r="T69" s="3"/>
      <c r="U69" s="3"/>
    </row>
    <row r="70" spans="1:21">
      <c r="A70" s="54"/>
      <c r="B70" s="96"/>
      <c r="C70" s="96"/>
      <c r="D70" s="96"/>
      <c r="E70" s="96"/>
      <c r="F70" s="96"/>
      <c r="G70" s="97"/>
      <c r="H70" s="97"/>
      <c r="I70" s="101"/>
      <c r="J70" s="101"/>
      <c r="K70" s="47"/>
      <c r="L70" s="47"/>
      <c r="M70" s="47"/>
      <c r="N70" s="47"/>
      <c r="O70" s="47"/>
      <c r="P70" s="47"/>
      <c r="Q70" s="3"/>
      <c r="R70" s="3"/>
      <c r="S70" s="3"/>
      <c r="T70" s="3"/>
      <c r="U70" s="3"/>
    </row>
    <row r="71" spans="1:21">
      <c r="A71" s="51"/>
      <c r="B71" s="100"/>
      <c r="C71" s="100"/>
      <c r="D71" s="100"/>
      <c r="E71" s="100"/>
      <c r="F71" s="100"/>
      <c r="G71" s="101"/>
      <c r="H71" s="101"/>
      <c r="I71" s="101"/>
      <c r="J71" s="101"/>
      <c r="K71" s="47"/>
      <c r="L71" s="47"/>
      <c r="M71" s="47"/>
      <c r="N71" s="47"/>
      <c r="O71" s="47"/>
      <c r="P71" s="47"/>
      <c r="Q71" s="3"/>
      <c r="R71" s="3"/>
      <c r="S71" s="3"/>
      <c r="T71" s="3"/>
      <c r="U71" s="3"/>
    </row>
    <row r="72" spans="1:21">
      <c r="A72" s="100"/>
      <c r="B72" s="100"/>
      <c r="C72" s="100"/>
      <c r="D72" s="100"/>
      <c r="E72" s="100"/>
      <c r="F72" s="100"/>
      <c r="G72" s="101"/>
      <c r="H72" s="101"/>
      <c r="I72" s="101"/>
      <c r="J72" s="101"/>
      <c r="K72" s="47"/>
      <c r="L72" s="47"/>
      <c r="M72" s="47"/>
      <c r="N72" s="47"/>
      <c r="O72" s="47"/>
      <c r="P72" s="47"/>
      <c r="Q72" s="3"/>
      <c r="R72" s="3"/>
      <c r="S72" s="3"/>
      <c r="T72" s="3"/>
      <c r="U72" s="3"/>
    </row>
    <row r="73" spans="1:21">
      <c r="A73" s="100"/>
      <c r="B73" s="100"/>
      <c r="C73" s="100"/>
      <c r="D73" s="100"/>
      <c r="E73" s="100"/>
      <c r="F73" s="100"/>
      <c r="G73" s="101"/>
      <c r="H73" s="101"/>
      <c r="I73" s="101"/>
      <c r="J73" s="101"/>
      <c r="K73" s="47"/>
      <c r="L73" s="47"/>
      <c r="M73" s="47"/>
      <c r="N73" s="47"/>
      <c r="O73" s="47"/>
      <c r="P73" s="47"/>
      <c r="Q73" s="3"/>
      <c r="R73" s="3"/>
      <c r="S73" s="3"/>
      <c r="T73" s="3"/>
      <c r="U73" s="3"/>
    </row>
    <row r="74" spans="11:16">
      <c r="K74" s="47"/>
      <c r="L74" s="47"/>
      <c r="M74" s="47"/>
      <c r="N74" s="47"/>
      <c r="O74" s="47"/>
      <c r="P74" s="47"/>
    </row>
    <row r="75" spans="11:16">
      <c r="K75" s="47"/>
      <c r="L75" s="47"/>
      <c r="M75" s="47"/>
      <c r="N75" s="47"/>
      <c r="O75" s="47"/>
      <c r="P75" s="47"/>
    </row>
    <row r="76" spans="11:16">
      <c r="K76" s="47"/>
      <c r="L76" s="47"/>
      <c r="M76" s="47"/>
      <c r="N76" s="47"/>
      <c r="O76" s="47"/>
      <c r="P76" s="47"/>
    </row>
    <row r="77" spans="11:16">
      <c r="K77" s="47"/>
      <c r="L77" s="47"/>
      <c r="M77" s="47"/>
      <c r="N77" s="47"/>
      <c r="O77" s="47"/>
      <c r="P77" s="47"/>
    </row>
    <row r="78" spans="11:16">
      <c r="K78" s="47"/>
      <c r="L78" s="47"/>
      <c r="M78" s="47"/>
      <c r="N78" s="47"/>
      <c r="O78" s="47"/>
      <c r="P78" s="47"/>
    </row>
    <row r="79" spans="11:16">
      <c r="K79" s="47"/>
      <c r="L79" s="47"/>
      <c r="M79" s="47"/>
      <c r="N79" s="47"/>
      <c r="O79" s="47"/>
      <c r="P79" s="47"/>
    </row>
    <row r="80" spans="11:16">
      <c r="K80" s="47"/>
      <c r="L80" s="47"/>
      <c r="M80" s="47"/>
      <c r="N80" s="47"/>
      <c r="O80" s="47"/>
      <c r="P80" s="47"/>
    </row>
    <row r="81" spans="11:16">
      <c r="K81" s="47"/>
      <c r="L81" s="47"/>
      <c r="M81" s="47"/>
      <c r="N81" s="47"/>
      <c r="O81" s="47"/>
      <c r="P81" s="47"/>
    </row>
    <row r="82" spans="11:16">
      <c r="K82" s="47"/>
      <c r="L82" s="47"/>
      <c r="M82" s="47"/>
      <c r="N82" s="47"/>
      <c r="O82" s="47"/>
      <c r="P82" s="47"/>
    </row>
    <row r="83" spans="11:16">
      <c r="K83" s="47"/>
      <c r="L83" s="47"/>
      <c r="M83" s="47"/>
      <c r="N83" s="47"/>
      <c r="O83" s="47"/>
      <c r="P83" s="47"/>
    </row>
    <row r="84" spans="11:16">
      <c r="K84" s="47"/>
      <c r="L84" s="47"/>
      <c r="M84" s="47"/>
      <c r="N84" s="47"/>
      <c r="O84" s="47"/>
      <c r="P84" s="47"/>
    </row>
    <row r="85" spans="11:16">
      <c r="K85" s="47"/>
      <c r="L85" s="47"/>
      <c r="M85" s="47"/>
      <c r="N85" s="47"/>
      <c r="O85" s="47"/>
      <c r="P85" s="47"/>
    </row>
    <row r="86" spans="11:16">
      <c r="K86" s="47"/>
      <c r="L86" s="47"/>
      <c r="M86" s="47"/>
      <c r="N86" s="47"/>
      <c r="O86" s="47"/>
      <c r="P86" s="47"/>
    </row>
    <row r="87" spans="11:16">
      <c r="K87" s="47"/>
      <c r="L87" s="47"/>
      <c r="M87" s="47"/>
      <c r="N87" s="47"/>
      <c r="O87" s="47"/>
      <c r="P87" s="47"/>
    </row>
    <row r="88" spans="11:16">
      <c r="K88" s="47"/>
      <c r="L88" s="47"/>
      <c r="M88" s="47"/>
      <c r="N88" s="47"/>
      <c r="O88" s="47"/>
      <c r="P88" s="47"/>
    </row>
    <row r="89" spans="11:16">
      <c r="K89" s="47"/>
      <c r="L89" s="47"/>
      <c r="M89" s="47"/>
      <c r="N89" s="47"/>
      <c r="O89" s="47"/>
      <c r="P89" s="47"/>
    </row>
    <row r="90" spans="11:16">
      <c r="K90" s="47"/>
      <c r="L90" s="47"/>
      <c r="M90" s="47"/>
      <c r="N90" s="47"/>
      <c r="O90" s="47"/>
      <c r="P90" s="47"/>
    </row>
    <row r="91" spans="11:16">
      <c r="K91" s="47"/>
      <c r="L91" s="47"/>
      <c r="M91" s="47"/>
      <c r="N91" s="47"/>
      <c r="O91" s="47"/>
      <c r="P91" s="47"/>
    </row>
    <row r="92" spans="11:16">
      <c r="K92" s="47"/>
      <c r="L92" s="47"/>
      <c r="M92" s="47"/>
      <c r="N92" s="47"/>
      <c r="O92" s="47"/>
      <c r="P92" s="47"/>
    </row>
    <row r="93" spans="11:16">
      <c r="K93" s="47"/>
      <c r="L93" s="47"/>
      <c r="M93" s="47"/>
      <c r="N93" s="47"/>
      <c r="O93" s="47"/>
      <c r="P93" s="47"/>
    </row>
    <row r="94" spans="11:16">
      <c r="K94" s="47"/>
      <c r="L94" s="47"/>
      <c r="M94" s="47"/>
      <c r="N94" s="47"/>
      <c r="O94" s="47"/>
      <c r="P94" s="47"/>
    </row>
    <row r="95" spans="11:16">
      <c r="K95" s="47"/>
      <c r="L95" s="47"/>
      <c r="M95" s="47"/>
      <c r="N95" s="47"/>
      <c r="O95" s="47"/>
      <c r="P95" s="47"/>
    </row>
    <row r="96" spans="11:16">
      <c r="K96" s="47"/>
      <c r="L96" s="47"/>
      <c r="M96" s="47"/>
      <c r="N96" s="47"/>
      <c r="O96" s="47"/>
      <c r="P96" s="47"/>
    </row>
    <row r="97" spans="11:16">
      <c r="K97" s="47"/>
      <c r="L97" s="47"/>
      <c r="M97" s="47"/>
      <c r="N97" s="47"/>
      <c r="O97" s="47"/>
      <c r="P97" s="47"/>
    </row>
    <row r="98" spans="11:16">
      <c r="K98" s="47"/>
      <c r="L98" s="47"/>
      <c r="M98" s="47"/>
      <c r="N98" s="47"/>
      <c r="O98" s="47"/>
      <c r="P98" s="47"/>
    </row>
    <row r="99" spans="11:16">
      <c r="K99" s="47"/>
      <c r="L99" s="47"/>
      <c r="M99" s="47"/>
      <c r="N99" s="47"/>
      <c r="O99" s="47"/>
      <c r="P99" s="47"/>
    </row>
    <row r="100" spans="11:16">
      <c r="K100" s="47"/>
      <c r="L100" s="47"/>
      <c r="M100" s="47"/>
      <c r="N100" s="47"/>
      <c r="O100" s="47"/>
      <c r="P100" s="47"/>
    </row>
    <row r="101" spans="11:16">
      <c r="K101" s="47"/>
      <c r="L101" s="47"/>
      <c r="M101" s="47"/>
      <c r="N101" s="47"/>
      <c r="O101" s="47"/>
      <c r="P101" s="47"/>
    </row>
    <row r="102" spans="11:16">
      <c r="K102" s="47"/>
      <c r="L102" s="47"/>
      <c r="M102" s="47"/>
      <c r="N102" s="47"/>
      <c r="O102" s="47"/>
      <c r="P102" s="47"/>
    </row>
    <row r="103" spans="11:16">
      <c r="K103" s="47"/>
      <c r="L103" s="47"/>
      <c r="M103" s="47"/>
      <c r="N103" s="47"/>
      <c r="O103" s="47"/>
      <c r="P103" s="47"/>
    </row>
    <row r="104" spans="11:16">
      <c r="K104" s="47"/>
      <c r="L104" s="47"/>
      <c r="M104" s="47"/>
      <c r="N104" s="47"/>
      <c r="O104" s="47"/>
      <c r="P104" s="47"/>
    </row>
    <row r="105" spans="11:16">
      <c r="K105" s="47"/>
      <c r="L105" s="47"/>
      <c r="M105" s="47"/>
      <c r="N105" s="47"/>
      <c r="O105" s="47"/>
      <c r="P105" s="47"/>
    </row>
    <row r="106" spans="11:16">
      <c r="K106" s="47"/>
      <c r="L106" s="47"/>
      <c r="M106" s="47"/>
      <c r="N106" s="47"/>
      <c r="O106" s="47"/>
      <c r="P106" s="47"/>
    </row>
    <row r="107" spans="11:16">
      <c r="K107" s="47"/>
      <c r="L107" s="47"/>
      <c r="M107" s="47"/>
      <c r="N107" s="47"/>
      <c r="O107" s="47"/>
      <c r="P107" s="47"/>
    </row>
    <row r="108" spans="11:16">
      <c r="K108" s="47"/>
      <c r="L108" s="47"/>
      <c r="M108" s="47"/>
      <c r="N108" s="47"/>
      <c r="O108" s="47"/>
      <c r="P108" s="47"/>
    </row>
    <row r="109" spans="11:16">
      <c r="K109" s="47"/>
      <c r="L109" s="47"/>
      <c r="M109" s="47"/>
      <c r="N109" s="47"/>
      <c r="O109" s="47"/>
      <c r="P109" s="47"/>
    </row>
    <row r="110" spans="11:16">
      <c r="K110" s="47"/>
      <c r="L110" s="47"/>
      <c r="M110" s="47"/>
      <c r="N110" s="47"/>
      <c r="O110" s="47"/>
      <c r="P110" s="47"/>
    </row>
    <row r="111" spans="11:16">
      <c r="K111" s="47"/>
      <c r="L111" s="47"/>
      <c r="M111" s="47"/>
      <c r="N111" s="47"/>
      <c r="O111" s="47"/>
      <c r="P111" s="47"/>
    </row>
    <row r="112" spans="11:16">
      <c r="K112" s="47"/>
      <c r="L112" s="47"/>
      <c r="M112" s="47"/>
      <c r="N112" s="47"/>
      <c r="O112" s="47"/>
      <c r="P112" s="47"/>
    </row>
    <row r="113" spans="11:16">
      <c r="K113" s="47"/>
      <c r="L113" s="47"/>
      <c r="M113" s="47"/>
      <c r="N113" s="47"/>
      <c r="O113" s="47"/>
      <c r="P113" s="47"/>
    </row>
    <row r="114" spans="11:16">
      <c r="K114" s="47"/>
      <c r="L114" s="47"/>
      <c r="M114" s="47"/>
      <c r="N114" s="47"/>
      <c r="O114" s="47"/>
      <c r="P114" s="47"/>
    </row>
    <row r="115" spans="11:16">
      <c r="K115" s="47"/>
      <c r="L115" s="47"/>
      <c r="M115" s="47"/>
      <c r="N115" s="47"/>
      <c r="O115" s="47"/>
      <c r="P115" s="47"/>
    </row>
    <row r="116" spans="11:16">
      <c r="K116" s="47"/>
      <c r="L116" s="47"/>
      <c r="M116" s="47"/>
      <c r="N116" s="47"/>
      <c r="O116" s="47"/>
      <c r="P116" s="47"/>
    </row>
    <row r="117" spans="11:16">
      <c r="K117" s="47"/>
      <c r="L117" s="47"/>
      <c r="M117" s="47"/>
      <c r="N117" s="47"/>
      <c r="O117" s="47"/>
      <c r="P117" s="47"/>
    </row>
    <row r="118" spans="11:16">
      <c r="K118" s="47"/>
      <c r="L118" s="47"/>
      <c r="M118" s="47"/>
      <c r="N118" s="47"/>
      <c r="O118" s="47"/>
      <c r="P118" s="47"/>
    </row>
    <row r="119" spans="11:16">
      <c r="K119" s="47"/>
      <c r="L119" s="47"/>
      <c r="M119" s="47"/>
      <c r="N119" s="47"/>
      <c r="O119" s="47"/>
      <c r="P119" s="47"/>
    </row>
    <row r="120" spans="11:16">
      <c r="K120" s="47"/>
      <c r="L120" s="47"/>
      <c r="M120" s="47"/>
      <c r="N120" s="47"/>
      <c r="O120" s="47"/>
      <c r="P120" s="47"/>
    </row>
    <row r="121" spans="11:16">
      <c r="K121" s="47"/>
      <c r="L121" s="47"/>
      <c r="M121" s="47"/>
      <c r="N121" s="47"/>
      <c r="O121" s="47"/>
      <c r="P121" s="47"/>
    </row>
    <row r="122" spans="11:16">
      <c r="K122" s="47"/>
      <c r="L122" s="47"/>
      <c r="M122" s="47"/>
      <c r="N122" s="47"/>
      <c r="O122" s="47"/>
      <c r="P122" s="47"/>
    </row>
    <row r="123" spans="11:16">
      <c r="K123" s="47"/>
      <c r="L123" s="47"/>
      <c r="M123" s="47"/>
      <c r="N123" s="47"/>
      <c r="O123" s="47"/>
      <c r="P123" s="47"/>
    </row>
    <row r="124" spans="11:16">
      <c r="K124" s="47"/>
      <c r="L124" s="47"/>
      <c r="M124" s="47"/>
      <c r="N124" s="47"/>
      <c r="O124" s="47"/>
      <c r="P124" s="47"/>
    </row>
    <row r="125" spans="11:16">
      <c r="K125" s="47"/>
      <c r="L125" s="47"/>
      <c r="M125" s="47"/>
      <c r="N125" s="47"/>
      <c r="O125" s="47"/>
      <c r="P125" s="47"/>
    </row>
    <row r="126" spans="11:16">
      <c r="K126" s="47"/>
      <c r="L126" s="47"/>
      <c r="M126" s="47"/>
      <c r="N126" s="47"/>
      <c r="O126" s="47"/>
      <c r="P126" s="47"/>
    </row>
    <row r="127" spans="11:16">
      <c r="K127" s="47"/>
      <c r="L127" s="47"/>
      <c r="M127" s="47"/>
      <c r="N127" s="47"/>
      <c r="O127" s="47"/>
      <c r="P127" s="47"/>
    </row>
    <row r="128" spans="11:16">
      <c r="K128" s="47"/>
      <c r="L128" s="47"/>
      <c r="M128" s="47"/>
      <c r="N128" s="47"/>
      <c r="O128" s="47"/>
      <c r="P128" s="47"/>
    </row>
    <row r="129" spans="11:16">
      <c r="K129" s="47"/>
      <c r="L129" s="47"/>
      <c r="M129" s="47"/>
      <c r="N129" s="47"/>
      <c r="O129" s="47"/>
      <c r="P129" s="47"/>
    </row>
    <row r="130" spans="11:16">
      <c r="K130" s="47"/>
      <c r="L130" s="47"/>
      <c r="M130" s="47"/>
      <c r="N130" s="47"/>
      <c r="O130" s="47"/>
      <c r="P130" s="47"/>
    </row>
    <row r="131" spans="11:16">
      <c r="K131" s="47"/>
      <c r="L131" s="47"/>
      <c r="M131" s="47"/>
      <c r="N131" s="47"/>
      <c r="O131" s="47"/>
      <c r="P131" s="47"/>
    </row>
    <row r="132" spans="11:16">
      <c r="K132" s="47"/>
      <c r="L132" s="47"/>
      <c r="M132" s="47"/>
      <c r="N132" s="47"/>
      <c r="O132" s="47"/>
      <c r="P132" s="47"/>
    </row>
    <row r="133" spans="11:16">
      <c r="K133" s="47"/>
      <c r="L133" s="47"/>
      <c r="M133" s="47"/>
      <c r="N133" s="47"/>
      <c r="O133" s="47"/>
      <c r="P133" s="47"/>
    </row>
    <row r="134" spans="11:16">
      <c r="K134" s="47"/>
      <c r="L134" s="47"/>
      <c r="M134" s="47"/>
      <c r="N134" s="47"/>
      <c r="O134" s="47"/>
      <c r="P134" s="47"/>
    </row>
    <row r="135" spans="11:16">
      <c r="K135" s="47"/>
      <c r="L135" s="47"/>
      <c r="M135" s="47"/>
      <c r="N135" s="47"/>
      <c r="O135" s="47"/>
      <c r="P135" s="47"/>
    </row>
    <row r="136" spans="11:16">
      <c r="K136" s="47"/>
      <c r="L136" s="47"/>
      <c r="M136" s="47"/>
      <c r="N136" s="47"/>
      <c r="O136" s="47"/>
      <c r="P136" s="47"/>
    </row>
    <row r="137" spans="11:16">
      <c r="K137" s="47"/>
      <c r="L137" s="47"/>
      <c r="M137" s="47"/>
      <c r="N137" s="47"/>
      <c r="O137" s="47"/>
      <c r="P137" s="47"/>
    </row>
    <row r="138" spans="11:16">
      <c r="K138" s="47"/>
      <c r="L138" s="47"/>
      <c r="M138" s="47"/>
      <c r="N138" s="47"/>
      <c r="O138" s="47"/>
      <c r="P138" s="47"/>
    </row>
    <row r="139" spans="11:16">
      <c r="K139" s="47"/>
      <c r="L139" s="47"/>
      <c r="M139" s="47"/>
      <c r="N139" s="47"/>
      <c r="O139" s="47"/>
      <c r="P139" s="47"/>
    </row>
    <row r="140" spans="11:16">
      <c r="K140" s="47"/>
      <c r="L140" s="47"/>
      <c r="M140" s="47"/>
      <c r="N140" s="47"/>
      <c r="O140" s="47"/>
      <c r="P140" s="47"/>
    </row>
    <row r="141" spans="11:16">
      <c r="K141" s="47"/>
      <c r="L141" s="47"/>
      <c r="M141" s="47"/>
      <c r="N141" s="47"/>
      <c r="O141" s="47"/>
      <c r="P141" s="47"/>
    </row>
    <row r="142" spans="11:16">
      <c r="K142" s="47"/>
      <c r="L142" s="47"/>
      <c r="M142" s="47"/>
      <c r="N142" s="47"/>
      <c r="O142" s="47"/>
      <c r="P142" s="47"/>
    </row>
    <row r="143" spans="11:16">
      <c r="K143" s="47"/>
      <c r="L143" s="47"/>
      <c r="M143" s="47"/>
      <c r="N143" s="47"/>
      <c r="O143" s="47"/>
      <c r="P143" s="47"/>
    </row>
    <row r="144" spans="11:16">
      <c r="K144" s="47"/>
      <c r="L144" s="47"/>
      <c r="M144" s="47"/>
      <c r="N144" s="47"/>
      <c r="O144" s="47"/>
      <c r="P144" s="47"/>
    </row>
    <row r="145" spans="11:16">
      <c r="K145" s="47"/>
      <c r="L145" s="47"/>
      <c r="M145" s="47"/>
      <c r="N145" s="47"/>
      <c r="O145" s="47"/>
      <c r="P145" s="47"/>
    </row>
    <row r="146" spans="11:16">
      <c r="K146" s="47"/>
      <c r="L146" s="47"/>
      <c r="M146" s="47"/>
      <c r="N146" s="47"/>
      <c r="O146" s="47"/>
      <c r="P146" s="47"/>
    </row>
    <row r="147" spans="11:16">
      <c r="K147" s="47"/>
      <c r="L147" s="47"/>
      <c r="M147" s="47"/>
      <c r="N147" s="47"/>
      <c r="O147" s="47"/>
      <c r="P147" s="47"/>
    </row>
    <row r="148" spans="11:16">
      <c r="K148" s="47"/>
      <c r="L148" s="47"/>
      <c r="M148" s="47"/>
      <c r="N148" s="47"/>
      <c r="O148" s="47"/>
      <c r="P148" s="47"/>
    </row>
    <row r="149" spans="11:16">
      <c r="K149" s="47"/>
      <c r="L149" s="47"/>
      <c r="M149" s="47"/>
      <c r="N149" s="47"/>
      <c r="O149" s="47"/>
      <c r="P149" s="47"/>
    </row>
    <row r="150" spans="11:16">
      <c r="K150" s="47"/>
      <c r="L150" s="47"/>
      <c r="M150" s="47"/>
      <c r="N150" s="47"/>
      <c r="O150" s="47"/>
      <c r="P150" s="47"/>
    </row>
    <row r="151" spans="11:16">
      <c r="K151" s="47"/>
      <c r="L151" s="47"/>
      <c r="M151" s="47"/>
      <c r="N151" s="47"/>
      <c r="O151" s="47"/>
      <c r="P151" s="47"/>
    </row>
    <row r="152" spans="11:16">
      <c r="K152" s="47"/>
      <c r="L152" s="47"/>
      <c r="M152" s="47"/>
      <c r="N152" s="47"/>
      <c r="O152" s="47"/>
      <c r="P152" s="47"/>
    </row>
    <row r="153" spans="11:16">
      <c r="K153" s="47"/>
      <c r="L153" s="47"/>
      <c r="M153" s="47"/>
      <c r="N153" s="47"/>
      <c r="O153" s="47"/>
      <c r="P153" s="47"/>
    </row>
    <row r="154" spans="11:16">
      <c r="K154" s="47"/>
      <c r="L154" s="47"/>
      <c r="M154" s="47"/>
      <c r="N154" s="47"/>
      <c r="O154" s="47"/>
      <c r="P154" s="47"/>
    </row>
    <row r="155" spans="11:16">
      <c r="K155" s="47"/>
      <c r="L155" s="47"/>
      <c r="M155" s="47"/>
      <c r="N155" s="47"/>
      <c r="O155" s="47"/>
      <c r="P155" s="47"/>
    </row>
    <row r="156" spans="11:16">
      <c r="K156" s="47"/>
      <c r="L156" s="47"/>
      <c r="M156" s="47"/>
      <c r="N156" s="47"/>
      <c r="O156" s="47"/>
      <c r="P156" s="47"/>
    </row>
    <row r="157" spans="11:16">
      <c r="K157" s="47"/>
      <c r="L157" s="47"/>
      <c r="M157" s="47"/>
      <c r="N157" s="47"/>
      <c r="O157" s="47"/>
      <c r="P157" s="47"/>
    </row>
    <row r="158" spans="11:16">
      <c r="K158" s="47"/>
      <c r="L158" s="47"/>
      <c r="M158" s="47"/>
      <c r="N158" s="47"/>
      <c r="O158" s="47"/>
      <c r="P158" s="47"/>
    </row>
    <row r="159" spans="11:16">
      <c r="K159" s="47"/>
      <c r="L159" s="47"/>
      <c r="M159" s="47"/>
      <c r="N159" s="47"/>
      <c r="O159" s="47"/>
      <c r="P159" s="47"/>
    </row>
    <row r="160" spans="11:16">
      <c r="K160" s="47"/>
      <c r="L160" s="47"/>
      <c r="M160" s="47"/>
      <c r="N160" s="47"/>
      <c r="O160" s="47"/>
      <c r="P160" s="47"/>
    </row>
    <row r="161" spans="11:16">
      <c r="K161" s="47"/>
      <c r="L161" s="47"/>
      <c r="M161" s="47"/>
      <c r="N161" s="47"/>
      <c r="O161" s="47"/>
      <c r="P161" s="47"/>
    </row>
    <row r="162" spans="11:16">
      <c r="K162" s="47"/>
      <c r="L162" s="47"/>
      <c r="M162" s="47"/>
      <c r="N162" s="47"/>
      <c r="O162" s="47"/>
      <c r="P162" s="47"/>
    </row>
    <row r="163" spans="11:16">
      <c r="K163" s="47"/>
      <c r="L163" s="47"/>
      <c r="M163" s="47"/>
      <c r="N163" s="47"/>
      <c r="O163" s="47"/>
      <c r="P163" s="47"/>
    </row>
    <row r="164" spans="11:16">
      <c r="K164" s="47"/>
      <c r="L164" s="47"/>
      <c r="M164" s="47"/>
      <c r="N164" s="47"/>
      <c r="O164" s="47"/>
      <c r="P164" s="47"/>
    </row>
    <row r="165" spans="11:16">
      <c r="K165" s="47"/>
      <c r="L165" s="47"/>
      <c r="M165" s="47"/>
      <c r="N165" s="47"/>
      <c r="O165" s="47"/>
      <c r="P165" s="47"/>
    </row>
    <row r="166" spans="11:16">
      <c r="K166" s="47"/>
      <c r="L166" s="47"/>
      <c r="M166" s="47"/>
      <c r="N166" s="47"/>
      <c r="O166" s="47"/>
      <c r="P166" s="47"/>
    </row>
    <row r="167" spans="11:16">
      <c r="K167" s="47"/>
      <c r="L167" s="47"/>
      <c r="M167" s="47"/>
      <c r="N167" s="47"/>
      <c r="O167" s="47"/>
      <c r="P167" s="47"/>
    </row>
    <row r="168" spans="11:16">
      <c r="K168" s="47"/>
      <c r="L168" s="47"/>
      <c r="M168" s="47"/>
      <c r="N168" s="47"/>
      <c r="O168" s="47"/>
      <c r="P168" s="47"/>
    </row>
    <row r="169" spans="11:16">
      <c r="K169" s="47"/>
      <c r="L169" s="47"/>
      <c r="M169" s="47"/>
      <c r="N169" s="47"/>
      <c r="O169" s="47"/>
      <c r="P169" s="47"/>
    </row>
    <row r="170" spans="11:16">
      <c r="K170" s="47"/>
      <c r="L170" s="47"/>
      <c r="M170" s="47"/>
      <c r="N170" s="47"/>
      <c r="O170" s="47"/>
      <c r="P170" s="47"/>
    </row>
    <row r="171" spans="11:16">
      <c r="K171" s="47"/>
      <c r="L171" s="47"/>
      <c r="M171" s="47"/>
      <c r="N171" s="47"/>
      <c r="O171" s="47"/>
      <c r="P171" s="47"/>
    </row>
    <row r="172" spans="11:16">
      <c r="K172" s="47"/>
      <c r="L172" s="47"/>
      <c r="M172" s="47"/>
      <c r="N172" s="47"/>
      <c r="O172" s="47"/>
      <c r="P172" s="47"/>
    </row>
    <row r="173" spans="11:16">
      <c r="K173" s="47"/>
      <c r="L173" s="47"/>
      <c r="M173" s="47"/>
      <c r="N173" s="47"/>
      <c r="O173" s="47"/>
      <c r="P173" s="47"/>
    </row>
    <row r="174" spans="11:16">
      <c r="K174" s="47"/>
      <c r="L174" s="47"/>
      <c r="M174" s="47"/>
      <c r="N174" s="47"/>
      <c r="O174" s="47"/>
      <c r="P174" s="47"/>
    </row>
    <row r="175" spans="11:16">
      <c r="K175" s="47"/>
      <c r="L175" s="47"/>
      <c r="M175" s="47"/>
      <c r="N175" s="47"/>
      <c r="O175" s="47"/>
      <c r="P175" s="47"/>
    </row>
    <row r="176" spans="11:16">
      <c r="K176" s="47"/>
      <c r="L176" s="47"/>
      <c r="M176" s="47"/>
      <c r="N176" s="47"/>
      <c r="O176" s="47"/>
      <c r="P176" s="47"/>
    </row>
    <row r="177" spans="11:16">
      <c r="K177" s="47"/>
      <c r="L177" s="47"/>
      <c r="M177" s="47"/>
      <c r="N177" s="47"/>
      <c r="O177" s="47"/>
      <c r="P177" s="47"/>
    </row>
    <row r="178" spans="11:16">
      <c r="K178" s="47"/>
      <c r="L178" s="47"/>
      <c r="M178" s="47"/>
      <c r="N178" s="47"/>
      <c r="O178" s="47"/>
      <c r="P178" s="47"/>
    </row>
    <row r="179" spans="11:16">
      <c r="K179" s="47"/>
      <c r="L179" s="47"/>
      <c r="M179" s="47"/>
      <c r="N179" s="47"/>
      <c r="O179" s="47"/>
      <c r="P179" s="47"/>
    </row>
    <row r="180" spans="11:16">
      <c r="K180" s="47"/>
      <c r="L180" s="47"/>
      <c r="M180" s="47"/>
      <c r="N180" s="47"/>
      <c r="O180" s="47"/>
      <c r="P180" s="47"/>
    </row>
    <row r="181" spans="11:16">
      <c r="K181" s="47"/>
      <c r="L181" s="47"/>
      <c r="M181" s="47"/>
      <c r="N181" s="47"/>
      <c r="O181" s="47"/>
      <c r="P181" s="47"/>
    </row>
    <row r="182" spans="11:16">
      <c r="K182" s="47"/>
      <c r="L182" s="47"/>
      <c r="M182" s="47"/>
      <c r="N182" s="47"/>
      <c r="O182" s="47"/>
      <c r="P182" s="47"/>
    </row>
    <row r="183" spans="11:16">
      <c r="K183" s="47"/>
      <c r="L183" s="47"/>
      <c r="M183" s="47"/>
      <c r="N183" s="47"/>
      <c r="O183" s="47"/>
      <c r="P183" s="47"/>
    </row>
    <row r="184" spans="11:16">
      <c r="K184" s="47"/>
      <c r="L184" s="47"/>
      <c r="M184" s="47"/>
      <c r="N184" s="47"/>
      <c r="O184" s="47"/>
      <c r="P184" s="47"/>
    </row>
    <row r="185" spans="11:16">
      <c r="K185" s="47"/>
      <c r="L185" s="47"/>
      <c r="M185" s="47"/>
      <c r="N185" s="47"/>
      <c r="O185" s="47"/>
      <c r="P185" s="47"/>
    </row>
    <row r="186" spans="11:16">
      <c r="K186" s="47"/>
      <c r="L186" s="47"/>
      <c r="M186" s="47"/>
      <c r="N186" s="47"/>
      <c r="O186" s="47"/>
      <c r="P186" s="47"/>
    </row>
    <row r="187" spans="11:16">
      <c r="K187" s="47"/>
      <c r="L187" s="47"/>
      <c r="M187" s="47"/>
      <c r="N187" s="47"/>
      <c r="O187" s="47"/>
      <c r="P187" s="47"/>
    </row>
    <row r="188" spans="11:16">
      <c r="K188" s="47"/>
      <c r="L188" s="47"/>
      <c r="M188" s="47"/>
      <c r="N188" s="47"/>
      <c r="O188" s="47"/>
      <c r="P188" s="47"/>
    </row>
    <row r="189" spans="11:16">
      <c r="K189" s="47"/>
      <c r="L189" s="47"/>
      <c r="M189" s="47"/>
      <c r="N189" s="47"/>
      <c r="O189" s="47"/>
      <c r="P189" s="47"/>
    </row>
    <row r="190" spans="11:16">
      <c r="K190" s="47"/>
      <c r="L190" s="47"/>
      <c r="M190" s="47"/>
      <c r="N190" s="47"/>
      <c r="O190" s="47"/>
      <c r="P190" s="47"/>
    </row>
    <row r="191" spans="11:16">
      <c r="K191" s="47"/>
      <c r="L191" s="47"/>
      <c r="M191" s="47"/>
      <c r="N191" s="47"/>
      <c r="O191" s="47"/>
      <c r="P191" s="47"/>
    </row>
    <row r="192" spans="11:16">
      <c r="K192" s="47"/>
      <c r="L192" s="47"/>
      <c r="M192" s="47"/>
      <c r="N192" s="47"/>
      <c r="O192" s="47"/>
      <c r="P192" s="47"/>
    </row>
    <row r="193" spans="11:16">
      <c r="K193" s="47"/>
      <c r="L193" s="47"/>
      <c r="M193" s="47"/>
      <c r="N193" s="47"/>
      <c r="O193" s="47"/>
      <c r="P193" s="47"/>
    </row>
    <row r="194" spans="11:16">
      <c r="K194" s="47"/>
      <c r="L194" s="47"/>
      <c r="M194" s="47"/>
      <c r="N194" s="47"/>
      <c r="O194" s="47"/>
      <c r="P194" s="47"/>
    </row>
    <row r="195" spans="11:16">
      <c r="K195" s="47"/>
      <c r="L195" s="47"/>
      <c r="M195" s="47"/>
      <c r="N195" s="47"/>
      <c r="O195" s="47"/>
      <c r="P195" s="47"/>
    </row>
    <row r="196" spans="11:16">
      <c r="K196" s="47"/>
      <c r="L196" s="47"/>
      <c r="M196" s="47"/>
      <c r="N196" s="47"/>
      <c r="O196" s="47"/>
      <c r="P196" s="47"/>
    </row>
    <row r="197" spans="11:16">
      <c r="K197" s="47"/>
      <c r="L197" s="47"/>
      <c r="M197" s="47"/>
      <c r="N197" s="47"/>
      <c r="O197" s="47"/>
      <c r="P197" s="47"/>
    </row>
    <row r="198" spans="11:16">
      <c r="K198" s="47"/>
      <c r="L198" s="47"/>
      <c r="M198" s="47"/>
      <c r="N198" s="47"/>
      <c r="O198" s="47"/>
      <c r="P198" s="47"/>
    </row>
    <row r="199" spans="11:16">
      <c r="K199" s="47"/>
      <c r="L199" s="47"/>
      <c r="M199" s="47"/>
      <c r="N199" s="47"/>
      <c r="O199" s="47"/>
      <c r="P199" s="47"/>
    </row>
    <row r="200" spans="11:16">
      <c r="K200" s="47"/>
      <c r="L200" s="47"/>
      <c r="M200" s="47"/>
      <c r="N200" s="47"/>
      <c r="O200" s="47"/>
      <c r="P200" s="47"/>
    </row>
    <row r="201" spans="11:16">
      <c r="K201" s="47"/>
      <c r="L201" s="47"/>
      <c r="M201" s="47"/>
      <c r="N201" s="47"/>
      <c r="O201" s="47"/>
      <c r="P201" s="47"/>
    </row>
    <row r="202" spans="11:16">
      <c r="K202" s="47"/>
      <c r="L202" s="47"/>
      <c r="M202" s="47"/>
      <c r="N202" s="47"/>
      <c r="O202" s="47"/>
      <c r="P202" s="47"/>
    </row>
    <row r="203" spans="11:16">
      <c r="K203" s="47"/>
      <c r="L203" s="47"/>
      <c r="M203" s="47"/>
      <c r="N203" s="47"/>
      <c r="O203" s="47"/>
      <c r="P203" s="47"/>
    </row>
    <row r="204" spans="11:16">
      <c r="K204" s="47"/>
      <c r="L204" s="47"/>
      <c r="M204" s="47"/>
      <c r="N204" s="47"/>
      <c r="O204" s="47"/>
      <c r="P204" s="47"/>
    </row>
    <row r="205" spans="11:16">
      <c r="K205" s="47"/>
      <c r="L205" s="47"/>
      <c r="M205" s="47"/>
      <c r="N205" s="47"/>
      <c r="O205" s="47"/>
      <c r="P205" s="47"/>
    </row>
    <row r="206" spans="11:16">
      <c r="K206" s="47"/>
      <c r="L206" s="47"/>
      <c r="M206" s="47"/>
      <c r="N206" s="47"/>
      <c r="O206" s="47"/>
      <c r="P206" s="47"/>
    </row>
    <row r="207" spans="11:16">
      <c r="K207" s="47"/>
      <c r="L207" s="47"/>
      <c r="M207" s="47"/>
      <c r="N207" s="47"/>
      <c r="O207" s="47"/>
      <c r="P207" s="47"/>
    </row>
    <row r="208" spans="11:16">
      <c r="K208" s="47"/>
      <c r="L208" s="47"/>
      <c r="M208" s="47"/>
      <c r="N208" s="47"/>
      <c r="O208" s="47"/>
      <c r="P208" s="47"/>
    </row>
    <row r="209" spans="11:16">
      <c r="K209" s="47"/>
      <c r="L209" s="47"/>
      <c r="M209" s="47"/>
      <c r="N209" s="47"/>
      <c r="O209" s="47"/>
      <c r="P209" s="47"/>
    </row>
    <row r="210" spans="11:16">
      <c r="K210" s="47"/>
      <c r="L210" s="47"/>
      <c r="M210" s="47"/>
      <c r="N210" s="47"/>
      <c r="O210" s="47"/>
      <c r="P210" s="47"/>
    </row>
    <row r="211" spans="11:16">
      <c r="K211" s="47"/>
      <c r="L211" s="47"/>
      <c r="M211" s="47"/>
      <c r="N211" s="47"/>
      <c r="O211" s="47"/>
      <c r="P211" s="47"/>
    </row>
    <row r="212" spans="11:16">
      <c r="K212" s="47"/>
      <c r="L212" s="47"/>
      <c r="M212" s="47"/>
      <c r="N212" s="47"/>
      <c r="O212" s="47"/>
      <c r="P212" s="47"/>
    </row>
    <row r="213" spans="11:16">
      <c r="K213" s="47"/>
      <c r="L213" s="47"/>
      <c r="M213" s="47"/>
      <c r="N213" s="47"/>
      <c r="O213" s="47"/>
      <c r="P213" s="47"/>
    </row>
    <row r="214" spans="11:16">
      <c r="K214" s="47"/>
      <c r="L214" s="47"/>
      <c r="M214" s="47"/>
      <c r="N214" s="47"/>
      <c r="O214" s="47"/>
      <c r="P214" s="47"/>
    </row>
    <row r="215" spans="11:16">
      <c r="K215" s="47"/>
      <c r="L215" s="47"/>
      <c r="M215" s="47"/>
      <c r="N215" s="47"/>
      <c r="O215" s="47"/>
      <c r="P215" s="47"/>
    </row>
    <row r="216" spans="11:16">
      <c r="K216" s="47"/>
      <c r="L216" s="47"/>
      <c r="M216" s="47"/>
      <c r="N216" s="47"/>
      <c r="O216" s="47"/>
      <c r="P216" s="47"/>
    </row>
    <row r="217" spans="11:16">
      <c r="K217" s="47"/>
      <c r="L217" s="47"/>
      <c r="M217" s="47"/>
      <c r="N217" s="47"/>
      <c r="O217" s="47"/>
      <c r="P217" s="47"/>
    </row>
    <row r="218" spans="11:16">
      <c r="K218" s="47"/>
      <c r="L218" s="47"/>
      <c r="M218" s="47"/>
      <c r="N218" s="47"/>
      <c r="O218" s="47"/>
      <c r="P218" s="47"/>
    </row>
    <row r="219" spans="11:16">
      <c r="K219" s="47"/>
      <c r="L219" s="47"/>
      <c r="M219" s="47"/>
      <c r="N219" s="47"/>
      <c r="O219" s="47"/>
      <c r="P219" s="47"/>
    </row>
    <row r="220" spans="11:16">
      <c r="K220" s="47"/>
      <c r="L220" s="47"/>
      <c r="M220" s="47"/>
      <c r="N220" s="47"/>
      <c r="O220" s="47"/>
      <c r="P220" s="47"/>
    </row>
    <row r="221" spans="11:16">
      <c r="K221" s="47"/>
      <c r="L221" s="47"/>
      <c r="M221" s="47"/>
      <c r="N221" s="47"/>
      <c r="O221" s="47"/>
      <c r="P221" s="47"/>
    </row>
    <row r="222" spans="11:16">
      <c r="K222" s="47"/>
      <c r="L222" s="47"/>
      <c r="M222" s="47"/>
      <c r="N222" s="47"/>
      <c r="O222" s="47"/>
      <c r="P222" s="47"/>
    </row>
    <row r="223" spans="11:16">
      <c r="K223" s="47"/>
      <c r="L223" s="47"/>
      <c r="M223" s="47"/>
      <c r="N223" s="47"/>
      <c r="O223" s="47"/>
      <c r="P223" s="47"/>
    </row>
    <row r="224" spans="11:16">
      <c r="K224" s="47"/>
      <c r="L224" s="47"/>
      <c r="M224" s="47"/>
      <c r="N224" s="47"/>
      <c r="O224" s="47"/>
      <c r="P224" s="47"/>
    </row>
    <row r="225" spans="11:16">
      <c r="K225" s="47"/>
      <c r="L225" s="47"/>
      <c r="M225" s="47"/>
      <c r="N225" s="47"/>
      <c r="O225" s="47"/>
      <c r="P225" s="47"/>
    </row>
    <row r="226" spans="11:16">
      <c r="K226" s="47"/>
      <c r="L226" s="47"/>
      <c r="M226" s="47"/>
      <c r="N226" s="47"/>
      <c r="O226" s="47"/>
      <c r="P226" s="47"/>
    </row>
    <row r="227" spans="11:16">
      <c r="K227" s="47"/>
      <c r="L227" s="47"/>
      <c r="M227" s="47"/>
      <c r="N227" s="47"/>
      <c r="O227" s="47"/>
      <c r="P227" s="47"/>
    </row>
    <row r="228" spans="11:16">
      <c r="K228" s="47"/>
      <c r="L228" s="47"/>
      <c r="M228" s="47"/>
      <c r="N228" s="47"/>
      <c r="O228" s="47"/>
      <c r="P228" s="47"/>
    </row>
    <row r="229" spans="11:16">
      <c r="K229" s="47"/>
      <c r="L229" s="47"/>
      <c r="M229" s="47"/>
      <c r="N229" s="47"/>
      <c r="O229" s="47"/>
      <c r="P229" s="47"/>
    </row>
    <row r="230" spans="11:16">
      <c r="K230" s="47"/>
      <c r="L230" s="47"/>
      <c r="M230" s="47"/>
      <c r="N230" s="47"/>
      <c r="O230" s="47"/>
      <c r="P230" s="47"/>
    </row>
    <row r="231" spans="11:16">
      <c r="K231" s="47"/>
      <c r="L231" s="47"/>
      <c r="M231" s="47"/>
      <c r="N231" s="47"/>
      <c r="O231" s="47"/>
      <c r="P231" s="47"/>
    </row>
    <row r="232" spans="11:16">
      <c r="K232" s="47"/>
      <c r="L232" s="47"/>
      <c r="M232" s="47"/>
      <c r="N232" s="47"/>
      <c r="O232" s="47"/>
      <c r="P232" s="47"/>
    </row>
    <row r="233" spans="11:16">
      <c r="K233" s="47"/>
      <c r="L233" s="47"/>
      <c r="M233" s="47"/>
      <c r="N233" s="47"/>
      <c r="O233" s="47"/>
      <c r="P233" s="47"/>
    </row>
    <row r="234" spans="11:16">
      <c r="K234" s="47"/>
      <c r="L234" s="47"/>
      <c r="M234" s="47"/>
      <c r="N234" s="47"/>
      <c r="O234" s="47"/>
      <c r="P234" s="47"/>
    </row>
    <row r="235" spans="11:16">
      <c r="K235" s="47"/>
      <c r="L235" s="47"/>
      <c r="M235" s="47"/>
      <c r="N235" s="47"/>
      <c r="O235" s="47"/>
      <c r="P235" s="47"/>
    </row>
    <row r="236" spans="11:16">
      <c r="K236" s="47"/>
      <c r="L236" s="47"/>
      <c r="M236" s="47"/>
      <c r="N236" s="47"/>
      <c r="O236" s="47"/>
      <c r="P236" s="47"/>
    </row>
    <row r="237" spans="11:16">
      <c r="K237" s="47"/>
      <c r="L237" s="47"/>
      <c r="M237" s="47"/>
      <c r="N237" s="47"/>
      <c r="O237" s="47"/>
      <c r="P237" s="47"/>
    </row>
    <row r="238" spans="11:16">
      <c r="K238" s="47"/>
      <c r="L238" s="47"/>
      <c r="M238" s="47"/>
      <c r="N238" s="47"/>
      <c r="O238" s="47"/>
      <c r="P238" s="47"/>
    </row>
    <row r="239" spans="11:16">
      <c r="K239" s="47"/>
      <c r="L239" s="47"/>
      <c r="M239" s="47"/>
      <c r="N239" s="47"/>
      <c r="O239" s="47"/>
      <c r="P239" s="47"/>
    </row>
    <row r="240" spans="11:16">
      <c r="K240" s="47"/>
      <c r="L240" s="47"/>
      <c r="M240" s="47"/>
      <c r="N240" s="47"/>
      <c r="O240" s="47"/>
      <c r="P240" s="47"/>
    </row>
    <row r="241" spans="11:16">
      <c r="K241" s="47"/>
      <c r="L241" s="47"/>
      <c r="M241" s="47"/>
      <c r="N241" s="47"/>
      <c r="O241" s="47"/>
      <c r="P241" s="47"/>
    </row>
    <row r="242" spans="11:16">
      <c r="K242" s="47"/>
      <c r="L242" s="47"/>
      <c r="M242" s="47"/>
      <c r="N242" s="47"/>
      <c r="O242" s="47"/>
      <c r="P242" s="47"/>
    </row>
    <row r="243" spans="11:16">
      <c r="K243" s="47"/>
      <c r="L243" s="47"/>
      <c r="M243" s="47"/>
      <c r="N243" s="47"/>
      <c r="O243" s="47"/>
      <c r="P243" s="47"/>
    </row>
    <row r="244" spans="11:16">
      <c r="K244" s="47"/>
      <c r="L244" s="47"/>
      <c r="M244" s="47"/>
      <c r="N244" s="47"/>
      <c r="O244" s="47"/>
      <c r="P244" s="47"/>
    </row>
    <row r="245" spans="11:16">
      <c r="K245" s="47"/>
      <c r="L245" s="47"/>
      <c r="M245" s="47"/>
      <c r="N245" s="47"/>
      <c r="O245" s="47"/>
      <c r="P245" s="47"/>
    </row>
    <row r="246" spans="11:16">
      <c r="K246" s="47"/>
      <c r="L246" s="47"/>
      <c r="M246" s="47"/>
      <c r="N246" s="47"/>
      <c r="O246" s="47"/>
      <c r="P246" s="47"/>
    </row>
    <row r="247" spans="11:16">
      <c r="K247" s="47"/>
      <c r="L247" s="47"/>
      <c r="M247" s="47"/>
      <c r="N247" s="47"/>
      <c r="O247" s="47"/>
      <c r="P247" s="47"/>
    </row>
    <row r="248" spans="11:16">
      <c r="K248" s="47"/>
      <c r="L248" s="47"/>
      <c r="M248" s="47"/>
      <c r="N248" s="47"/>
      <c r="O248" s="47"/>
      <c r="P248" s="47"/>
    </row>
    <row r="249" spans="11:16">
      <c r="K249" s="47"/>
      <c r="L249" s="47"/>
      <c r="M249" s="47"/>
      <c r="N249" s="47"/>
      <c r="O249" s="47"/>
      <c r="P249" s="47"/>
    </row>
    <row r="250" spans="11:16">
      <c r="K250" s="47"/>
      <c r="L250" s="47"/>
      <c r="M250" s="47"/>
      <c r="N250" s="47"/>
      <c r="O250" s="47"/>
      <c r="P250" s="47"/>
    </row>
    <row r="251" spans="11:16">
      <c r="K251" s="47"/>
      <c r="L251" s="47"/>
      <c r="M251" s="47"/>
      <c r="N251" s="47"/>
      <c r="O251" s="47"/>
      <c r="P251" s="47"/>
    </row>
    <row r="252" spans="11:16">
      <c r="K252" s="47"/>
      <c r="L252" s="47"/>
      <c r="M252" s="47"/>
      <c r="N252" s="47"/>
      <c r="O252" s="47"/>
      <c r="P252" s="47"/>
    </row>
    <row r="253" spans="11:16">
      <c r="K253" s="47"/>
      <c r="L253" s="47"/>
      <c r="M253" s="47"/>
      <c r="N253" s="47"/>
      <c r="O253" s="47"/>
      <c r="P253" s="47"/>
    </row>
    <row r="254" spans="11:16">
      <c r="K254" s="47"/>
      <c r="L254" s="47"/>
      <c r="M254" s="47"/>
      <c r="N254" s="47"/>
      <c r="O254" s="47"/>
      <c r="P254" s="47"/>
    </row>
    <row r="255" spans="11:16">
      <c r="K255" s="47"/>
      <c r="L255" s="47"/>
      <c r="M255" s="47"/>
      <c r="N255" s="47"/>
      <c r="O255" s="47"/>
      <c r="P255" s="47"/>
    </row>
    <row r="256" spans="11:16">
      <c r="K256" s="47"/>
      <c r="L256" s="47"/>
      <c r="M256" s="47"/>
      <c r="N256" s="47"/>
      <c r="O256" s="47"/>
      <c r="P256" s="47"/>
    </row>
    <row r="257" spans="11:16">
      <c r="K257" s="47"/>
      <c r="L257" s="47"/>
      <c r="M257" s="47"/>
      <c r="N257" s="47"/>
      <c r="O257" s="47"/>
      <c r="P257" s="47"/>
    </row>
    <row r="258" spans="11:16">
      <c r="K258" s="47"/>
      <c r="L258" s="47"/>
      <c r="M258" s="47"/>
      <c r="N258" s="47"/>
      <c r="O258" s="47"/>
      <c r="P258" s="47"/>
    </row>
    <row r="259" spans="11:16">
      <c r="K259" s="47"/>
      <c r="L259" s="47"/>
      <c r="M259" s="47"/>
      <c r="N259" s="47"/>
      <c r="O259" s="47"/>
      <c r="P259" s="47"/>
    </row>
    <row r="260" spans="11:16">
      <c r="K260" s="47"/>
      <c r="L260" s="47"/>
      <c r="M260" s="47"/>
      <c r="N260" s="47"/>
      <c r="O260" s="47"/>
      <c r="P260" s="47"/>
    </row>
    <row r="261" spans="11:16">
      <c r="K261" s="47"/>
      <c r="L261" s="47"/>
      <c r="M261" s="47"/>
      <c r="N261" s="47"/>
      <c r="O261" s="47"/>
      <c r="P261" s="47"/>
    </row>
    <row r="262" spans="11:16">
      <c r="K262" s="47"/>
      <c r="L262" s="47"/>
      <c r="M262" s="47"/>
      <c r="N262" s="47"/>
      <c r="O262" s="47"/>
      <c r="P262" s="47"/>
    </row>
    <row r="263" spans="11:16">
      <c r="K263" s="47"/>
      <c r="L263" s="47"/>
      <c r="M263" s="47"/>
      <c r="N263" s="47"/>
      <c r="O263" s="47"/>
      <c r="P263" s="47"/>
    </row>
    <row r="264" spans="11:16">
      <c r="K264" s="47"/>
      <c r="L264" s="47"/>
      <c r="M264" s="47"/>
      <c r="N264" s="47"/>
      <c r="O264" s="47"/>
      <c r="P264" s="47"/>
    </row>
    <row r="265" spans="11:16">
      <c r="K265" s="47"/>
      <c r="L265" s="47"/>
      <c r="M265" s="47"/>
      <c r="N265" s="47"/>
      <c r="O265" s="47"/>
      <c r="P265" s="47"/>
    </row>
    <row r="266" spans="11:16">
      <c r="K266" s="47"/>
      <c r="L266" s="47"/>
      <c r="M266" s="47"/>
      <c r="N266" s="47"/>
      <c r="O266" s="47"/>
      <c r="P266" s="47"/>
    </row>
    <row r="267" spans="11:16">
      <c r="K267" s="47"/>
      <c r="L267" s="47"/>
      <c r="M267" s="47"/>
      <c r="N267" s="47"/>
      <c r="O267" s="47"/>
      <c r="P267" s="47"/>
    </row>
    <row r="268" spans="11:16">
      <c r="K268" s="47"/>
      <c r="L268" s="47"/>
      <c r="M268" s="47"/>
      <c r="N268" s="47"/>
      <c r="O268" s="47"/>
      <c r="P268" s="47"/>
    </row>
    <row r="269" spans="11:16">
      <c r="K269" s="47"/>
      <c r="L269" s="47"/>
      <c r="M269" s="47"/>
      <c r="N269" s="47"/>
      <c r="O269" s="47"/>
      <c r="P269" s="47"/>
    </row>
    <row r="270" spans="11:16">
      <c r="K270" s="47"/>
      <c r="L270" s="47"/>
      <c r="M270" s="47"/>
      <c r="N270" s="47"/>
      <c r="O270" s="47"/>
      <c r="P270" s="47"/>
    </row>
    <row r="271" spans="11:16">
      <c r="K271" s="47"/>
      <c r="L271" s="47"/>
      <c r="M271" s="47"/>
      <c r="N271" s="47"/>
      <c r="O271" s="47"/>
      <c r="P271" s="47"/>
    </row>
    <row r="272" spans="11:16">
      <c r="K272" s="47"/>
      <c r="L272" s="47"/>
      <c r="M272" s="47"/>
      <c r="N272" s="47"/>
      <c r="O272" s="47"/>
      <c r="P272" s="47"/>
    </row>
    <row r="273" spans="11:16">
      <c r="K273" s="47"/>
      <c r="L273" s="47"/>
      <c r="M273" s="47"/>
      <c r="N273" s="47"/>
      <c r="O273" s="47"/>
      <c r="P273" s="47"/>
    </row>
    <row r="274" spans="11:16">
      <c r="K274" s="47"/>
      <c r="L274" s="47"/>
      <c r="M274" s="47"/>
      <c r="N274" s="47"/>
      <c r="O274" s="47"/>
      <c r="P274" s="47"/>
    </row>
    <row r="275" spans="11:16">
      <c r="K275" s="47"/>
      <c r="L275" s="47"/>
      <c r="M275" s="47"/>
      <c r="N275" s="47"/>
      <c r="O275" s="47"/>
      <c r="P275" s="47"/>
    </row>
    <row r="276" spans="11:16">
      <c r="K276" s="47"/>
      <c r="L276" s="47"/>
      <c r="M276" s="47"/>
      <c r="N276" s="47"/>
      <c r="O276" s="47"/>
      <c r="P276" s="47"/>
    </row>
    <row r="277" spans="11:16">
      <c r="K277" s="47"/>
      <c r="L277" s="47"/>
      <c r="M277" s="47"/>
      <c r="N277" s="47"/>
      <c r="O277" s="47"/>
      <c r="P277" s="47"/>
    </row>
    <row r="278" spans="11:16">
      <c r="K278" s="47"/>
      <c r="L278" s="47"/>
      <c r="M278" s="47"/>
      <c r="N278" s="47"/>
      <c r="O278" s="47"/>
      <c r="P278" s="47"/>
    </row>
    <row r="279" spans="11:16">
      <c r="K279" s="47"/>
      <c r="L279" s="47"/>
      <c r="M279" s="47"/>
      <c r="N279" s="47"/>
      <c r="O279" s="47"/>
      <c r="P279" s="47"/>
    </row>
    <row r="280" spans="11:16">
      <c r="K280" s="47"/>
      <c r="L280" s="47"/>
      <c r="M280" s="47"/>
      <c r="N280" s="47"/>
      <c r="O280" s="47"/>
      <c r="P280" s="47"/>
    </row>
    <row r="281" spans="11:16">
      <c r="K281" s="47"/>
      <c r="L281" s="47"/>
      <c r="M281" s="47"/>
      <c r="N281" s="47"/>
      <c r="O281" s="47"/>
      <c r="P281" s="47"/>
    </row>
    <row r="282" spans="11:16">
      <c r="K282" s="47"/>
      <c r="L282" s="47"/>
      <c r="M282" s="47"/>
      <c r="N282" s="47"/>
      <c r="O282" s="47"/>
      <c r="P282" s="47"/>
    </row>
    <row r="283" spans="11:16">
      <c r="K283" s="47"/>
      <c r="L283" s="47"/>
      <c r="M283" s="47"/>
      <c r="N283" s="47"/>
      <c r="O283" s="47"/>
      <c r="P283" s="47"/>
    </row>
    <row r="284" spans="11:16">
      <c r="K284" s="47"/>
      <c r="L284" s="47"/>
      <c r="M284" s="47"/>
      <c r="N284" s="47"/>
      <c r="O284" s="47"/>
      <c r="P284" s="47"/>
    </row>
    <row r="285" spans="11:16">
      <c r="K285" s="47"/>
      <c r="L285" s="47"/>
      <c r="M285" s="47"/>
      <c r="N285" s="47"/>
      <c r="O285" s="47"/>
      <c r="P285" s="47"/>
    </row>
    <row r="286" spans="11:16">
      <c r="K286" s="47"/>
      <c r="L286" s="47"/>
      <c r="M286" s="47"/>
      <c r="N286" s="47"/>
      <c r="O286" s="47"/>
      <c r="P286" s="47"/>
    </row>
    <row r="287" spans="11:16">
      <c r="K287" s="47"/>
      <c r="L287" s="47"/>
      <c r="M287" s="47"/>
      <c r="N287" s="47"/>
      <c r="O287" s="47"/>
      <c r="P287" s="47"/>
    </row>
    <row r="288" spans="11:16">
      <c r="K288" s="47"/>
      <c r="L288" s="47"/>
      <c r="M288" s="47"/>
      <c r="N288" s="47"/>
      <c r="O288" s="47"/>
      <c r="P288" s="47"/>
    </row>
    <row r="289" spans="11:16">
      <c r="K289" s="47"/>
      <c r="L289" s="47"/>
      <c r="M289" s="47"/>
      <c r="N289" s="47"/>
      <c r="O289" s="47"/>
      <c r="P289" s="47"/>
    </row>
    <row r="290" spans="11:16">
      <c r="K290" s="47"/>
      <c r="L290" s="47"/>
      <c r="M290" s="47"/>
      <c r="N290" s="47"/>
      <c r="O290" s="47"/>
      <c r="P290" s="47"/>
    </row>
    <row r="291" spans="11:16">
      <c r="K291" s="47"/>
      <c r="L291" s="47"/>
      <c r="M291" s="47"/>
      <c r="N291" s="47"/>
      <c r="O291" s="47"/>
      <c r="P291" s="47"/>
    </row>
    <row r="292" spans="11:16">
      <c r="K292" s="47"/>
      <c r="L292" s="47"/>
      <c r="M292" s="47"/>
      <c r="N292" s="47"/>
      <c r="O292" s="47"/>
      <c r="P292" s="47"/>
    </row>
    <row r="293" spans="11:16">
      <c r="K293" s="47"/>
      <c r="L293" s="47"/>
      <c r="M293" s="47"/>
      <c r="N293" s="47"/>
      <c r="O293" s="47"/>
      <c r="P293" s="47"/>
    </row>
    <row r="294" spans="11:16">
      <c r="K294" s="47"/>
      <c r="L294" s="47"/>
      <c r="M294" s="47"/>
      <c r="N294" s="47"/>
      <c r="O294" s="47"/>
      <c r="P294" s="47"/>
    </row>
    <row r="295" spans="11:16">
      <c r="K295" s="47"/>
      <c r="L295" s="47"/>
      <c r="M295" s="47"/>
      <c r="N295" s="47"/>
      <c r="O295" s="47"/>
      <c r="P295" s="47"/>
    </row>
    <row r="296" spans="11:16">
      <c r="K296" s="47"/>
      <c r="L296" s="47"/>
      <c r="M296" s="47"/>
      <c r="N296" s="47"/>
      <c r="O296" s="47"/>
      <c r="P296" s="47"/>
    </row>
    <row r="297" spans="11:16">
      <c r="K297" s="47"/>
      <c r="L297" s="47"/>
      <c r="M297" s="47"/>
      <c r="N297" s="47"/>
      <c r="O297" s="47"/>
      <c r="P297" s="47"/>
    </row>
    <row r="298" spans="11:16">
      <c r="K298" s="47"/>
      <c r="L298" s="47"/>
      <c r="M298" s="47"/>
      <c r="N298" s="47"/>
      <c r="O298" s="47"/>
      <c r="P298" s="47"/>
    </row>
    <row r="299" spans="11:16">
      <c r="K299" s="47"/>
      <c r="L299" s="47"/>
      <c r="M299" s="47"/>
      <c r="N299" s="47"/>
      <c r="O299" s="47"/>
      <c r="P299" s="47"/>
    </row>
    <row r="300" spans="11:16">
      <c r="K300" s="47"/>
      <c r="L300" s="47"/>
      <c r="M300" s="47"/>
      <c r="N300" s="47"/>
      <c r="O300" s="47"/>
      <c r="P300" s="47"/>
    </row>
    <row r="301" spans="11:16">
      <c r="K301" s="47"/>
      <c r="L301" s="47"/>
      <c r="M301" s="47"/>
      <c r="N301" s="47"/>
      <c r="O301" s="47"/>
      <c r="P301" s="47"/>
    </row>
    <row r="302" spans="11:16">
      <c r="K302" s="47"/>
      <c r="L302" s="47"/>
      <c r="M302" s="47"/>
      <c r="N302" s="47"/>
      <c r="O302" s="47"/>
      <c r="P302" s="47"/>
    </row>
    <row r="303" spans="11:16">
      <c r="K303" s="47"/>
      <c r="L303" s="47"/>
      <c r="M303" s="47"/>
      <c r="N303" s="47"/>
      <c r="O303" s="47"/>
      <c r="P303" s="47"/>
    </row>
    <row r="304" spans="11:16">
      <c r="K304" s="47"/>
      <c r="L304" s="47"/>
      <c r="M304" s="47"/>
      <c r="N304" s="47"/>
      <c r="O304" s="47"/>
      <c r="P304" s="47"/>
    </row>
    <row r="305" spans="11:16">
      <c r="K305" s="47"/>
      <c r="L305" s="47"/>
      <c r="M305" s="47"/>
      <c r="N305" s="47"/>
      <c r="O305" s="47"/>
      <c r="P305" s="47"/>
    </row>
    <row r="306" spans="11:16">
      <c r="K306" s="47"/>
      <c r="L306" s="47"/>
      <c r="M306" s="47"/>
      <c r="N306" s="47"/>
      <c r="O306" s="47"/>
      <c r="P306" s="47"/>
    </row>
    <row r="307" spans="11:16">
      <c r="K307" s="47"/>
      <c r="L307" s="47"/>
      <c r="M307" s="47"/>
      <c r="N307" s="47"/>
      <c r="O307" s="47"/>
      <c r="P307" s="47"/>
    </row>
    <row r="308" spans="11:16">
      <c r="K308" s="47"/>
      <c r="L308" s="47"/>
      <c r="M308" s="47"/>
      <c r="N308" s="47"/>
      <c r="O308" s="47"/>
      <c r="P308" s="47"/>
    </row>
    <row r="309" spans="11:16">
      <c r="K309" s="47"/>
      <c r="L309" s="47"/>
      <c r="M309" s="47"/>
      <c r="N309" s="47"/>
      <c r="O309" s="47"/>
      <c r="P309" s="47"/>
    </row>
    <row r="310" spans="11:16">
      <c r="K310" s="47"/>
      <c r="L310" s="47"/>
      <c r="M310" s="47"/>
      <c r="N310" s="47"/>
      <c r="O310" s="47"/>
      <c r="P310" s="47"/>
    </row>
    <row r="311" spans="11:16">
      <c r="K311" s="47"/>
      <c r="L311" s="47"/>
      <c r="M311" s="47"/>
      <c r="N311" s="47"/>
      <c r="O311" s="47"/>
      <c r="P311" s="47"/>
    </row>
    <row r="312" spans="11:16">
      <c r="K312" s="47"/>
      <c r="L312" s="47"/>
      <c r="M312" s="47"/>
      <c r="N312" s="47"/>
      <c r="O312" s="47"/>
      <c r="P312" s="47"/>
    </row>
    <row r="313" spans="11:16">
      <c r="K313" s="47"/>
      <c r="L313" s="47"/>
      <c r="M313" s="47"/>
      <c r="N313" s="47"/>
      <c r="O313" s="47"/>
      <c r="P313" s="47"/>
    </row>
    <row r="314" spans="11:16">
      <c r="K314" s="47"/>
      <c r="L314" s="47"/>
      <c r="M314" s="47"/>
      <c r="N314" s="47"/>
      <c r="O314" s="47"/>
      <c r="P314" s="47"/>
    </row>
    <row r="315" spans="11:16">
      <c r="K315" s="47"/>
      <c r="L315" s="47"/>
      <c r="M315" s="47"/>
      <c r="N315" s="47"/>
      <c r="O315" s="47"/>
      <c r="P315" s="47"/>
    </row>
    <row r="316" spans="11:16">
      <c r="K316" s="47"/>
      <c r="L316" s="47"/>
      <c r="M316" s="47"/>
      <c r="N316" s="47"/>
      <c r="O316" s="47"/>
      <c r="P316" s="47"/>
    </row>
    <row r="317" spans="11:16">
      <c r="K317" s="47"/>
      <c r="L317" s="47"/>
      <c r="M317" s="47"/>
      <c r="N317" s="47"/>
      <c r="O317" s="47"/>
      <c r="P317" s="47"/>
    </row>
    <row r="318" spans="11:16">
      <c r="K318" s="47"/>
      <c r="L318" s="47"/>
      <c r="M318" s="47"/>
      <c r="N318" s="47"/>
      <c r="O318" s="47"/>
      <c r="P318" s="47"/>
    </row>
    <row r="319" spans="11:16">
      <c r="K319" s="47"/>
      <c r="L319" s="47"/>
      <c r="M319" s="47"/>
      <c r="N319" s="47"/>
      <c r="O319" s="47"/>
      <c r="P319" s="47"/>
    </row>
    <row r="320" spans="11:16">
      <c r="K320" s="47"/>
      <c r="L320" s="47"/>
      <c r="M320" s="47"/>
      <c r="N320" s="47"/>
      <c r="O320" s="47"/>
      <c r="P320" s="47"/>
    </row>
    <row r="321" spans="11:16">
      <c r="K321" s="47"/>
      <c r="L321" s="47"/>
      <c r="M321" s="47"/>
      <c r="N321" s="47"/>
      <c r="O321" s="47"/>
      <c r="P321" s="47"/>
    </row>
    <row r="322" spans="11:16">
      <c r="K322" s="47"/>
      <c r="L322" s="47"/>
      <c r="M322" s="47"/>
      <c r="N322" s="47"/>
      <c r="O322" s="47"/>
      <c r="P322" s="47"/>
    </row>
    <row r="323" spans="11:16">
      <c r="K323" s="47"/>
      <c r="L323" s="47"/>
      <c r="M323" s="47"/>
      <c r="N323" s="47"/>
      <c r="O323" s="47"/>
      <c r="P323" s="47"/>
    </row>
    <row r="324" spans="11:16">
      <c r="K324" s="47"/>
      <c r="L324" s="47"/>
      <c r="M324" s="47"/>
      <c r="N324" s="47"/>
      <c r="O324" s="47"/>
      <c r="P324" s="47"/>
    </row>
    <row r="325" spans="11:16">
      <c r="K325" s="47"/>
      <c r="L325" s="47"/>
      <c r="M325" s="47"/>
      <c r="N325" s="47"/>
      <c r="O325" s="47"/>
      <c r="P325" s="47"/>
    </row>
    <row r="326" spans="11:16">
      <c r="K326" s="47"/>
      <c r="L326" s="47"/>
      <c r="M326" s="47"/>
      <c r="N326" s="47"/>
      <c r="O326" s="47"/>
      <c r="P326" s="47"/>
    </row>
    <row r="327" spans="11:16">
      <c r="K327" s="47"/>
      <c r="L327" s="47"/>
      <c r="M327" s="47"/>
      <c r="N327" s="47"/>
      <c r="O327" s="47"/>
      <c r="P327" s="47"/>
    </row>
    <row r="328" spans="11:16">
      <c r="K328" s="47"/>
      <c r="L328" s="47"/>
      <c r="M328" s="47"/>
      <c r="N328" s="47"/>
      <c r="O328" s="47"/>
      <c r="P328" s="47"/>
    </row>
    <row r="329" spans="11:16">
      <c r="K329" s="47"/>
      <c r="L329" s="47"/>
      <c r="M329" s="47"/>
      <c r="N329" s="47"/>
      <c r="O329" s="47"/>
      <c r="P329" s="47"/>
    </row>
    <row r="330" spans="11:16">
      <c r="K330" s="47"/>
      <c r="L330" s="47"/>
      <c r="M330" s="47"/>
      <c r="N330" s="47"/>
      <c r="O330" s="47"/>
      <c r="P330" s="47"/>
    </row>
    <row r="331" spans="11:16">
      <c r="K331" s="47"/>
      <c r="L331" s="47"/>
      <c r="M331" s="47"/>
      <c r="N331" s="47"/>
      <c r="O331" s="47"/>
      <c r="P331" s="47"/>
    </row>
    <row r="332" spans="11:16">
      <c r="K332" s="47"/>
      <c r="L332" s="47"/>
      <c r="M332" s="47"/>
      <c r="N332" s="47"/>
      <c r="O332" s="47"/>
      <c r="P332" s="47"/>
    </row>
    <row r="333" spans="11:16">
      <c r="K333" s="47"/>
      <c r="L333" s="47"/>
      <c r="M333" s="47"/>
      <c r="N333" s="47"/>
      <c r="O333" s="47"/>
      <c r="P333" s="47"/>
    </row>
    <row r="334" spans="11:16">
      <c r="K334" s="47"/>
      <c r="L334" s="47"/>
      <c r="M334" s="47"/>
      <c r="N334" s="47"/>
      <c r="O334" s="47"/>
      <c r="P334" s="47"/>
    </row>
    <row r="335" spans="11:16">
      <c r="K335" s="47"/>
      <c r="L335" s="47"/>
      <c r="M335" s="47"/>
      <c r="N335" s="47"/>
      <c r="O335" s="47"/>
      <c r="P335" s="47"/>
    </row>
    <row r="336" spans="11:16">
      <c r="K336" s="47"/>
      <c r="L336" s="47"/>
      <c r="M336" s="47"/>
      <c r="N336" s="47"/>
      <c r="O336" s="47"/>
      <c r="P336" s="47"/>
    </row>
    <row r="337" spans="11:16">
      <c r="K337" s="47"/>
      <c r="L337" s="47"/>
      <c r="M337" s="47"/>
      <c r="N337" s="47"/>
      <c r="O337" s="47"/>
      <c r="P337" s="47"/>
    </row>
    <row r="338" spans="11:16">
      <c r="K338" s="47"/>
      <c r="L338" s="47"/>
      <c r="M338" s="47"/>
      <c r="N338" s="47"/>
      <c r="O338" s="47"/>
      <c r="P338" s="47"/>
    </row>
    <row r="339" spans="11:16">
      <c r="K339" s="47"/>
      <c r="L339" s="47"/>
      <c r="M339" s="47"/>
      <c r="N339" s="47"/>
      <c r="O339" s="47"/>
      <c r="P339" s="47"/>
    </row>
    <row r="340" spans="11:16">
      <c r="K340" s="47"/>
      <c r="L340" s="47"/>
      <c r="M340" s="47"/>
      <c r="N340" s="47"/>
      <c r="O340" s="47"/>
      <c r="P340" s="47"/>
    </row>
    <row r="341" spans="11:16">
      <c r="K341" s="47"/>
      <c r="L341" s="47"/>
      <c r="M341" s="47"/>
      <c r="N341" s="47"/>
      <c r="O341" s="47"/>
      <c r="P341" s="47"/>
    </row>
    <row r="342" spans="11:16">
      <c r="K342" s="47"/>
      <c r="L342" s="47"/>
      <c r="M342" s="47"/>
      <c r="N342" s="47"/>
      <c r="O342" s="47"/>
      <c r="P342" s="47"/>
    </row>
    <row r="343" spans="11:16">
      <c r="K343" s="47"/>
      <c r="L343" s="47"/>
      <c r="M343" s="47"/>
      <c r="N343" s="47"/>
      <c r="O343" s="47"/>
      <c r="P343" s="47"/>
    </row>
    <row r="344" spans="11:16">
      <c r="K344" s="47"/>
      <c r="L344" s="47"/>
      <c r="M344" s="47"/>
      <c r="N344" s="47"/>
      <c r="O344" s="47"/>
      <c r="P344" s="47"/>
    </row>
    <row r="345" spans="11:16">
      <c r="K345" s="47"/>
      <c r="L345" s="47"/>
      <c r="M345" s="47"/>
      <c r="N345" s="47"/>
      <c r="O345" s="47"/>
      <c r="P345" s="47"/>
    </row>
    <row r="346" spans="11:16">
      <c r="K346" s="47"/>
      <c r="L346" s="47"/>
      <c r="M346" s="47"/>
      <c r="N346" s="47"/>
      <c r="O346" s="47"/>
      <c r="P346" s="47"/>
    </row>
    <row r="347" spans="11:16">
      <c r="K347" s="47"/>
      <c r="L347" s="47"/>
      <c r="M347" s="47"/>
      <c r="N347" s="47"/>
      <c r="O347" s="47"/>
      <c r="P347" s="47"/>
    </row>
    <row r="348" spans="11:16">
      <c r="K348" s="47"/>
      <c r="L348" s="47"/>
      <c r="M348" s="47"/>
      <c r="N348" s="47"/>
      <c r="O348" s="47"/>
      <c r="P348" s="47"/>
    </row>
    <row r="349" spans="11:16">
      <c r="K349" s="47"/>
      <c r="L349" s="47"/>
      <c r="M349" s="47"/>
      <c r="N349" s="47"/>
      <c r="O349" s="47"/>
      <c r="P349" s="47"/>
    </row>
    <row r="350" spans="11:16">
      <c r="K350" s="47"/>
      <c r="L350" s="47"/>
      <c r="M350" s="47"/>
      <c r="N350" s="47"/>
      <c r="O350" s="47"/>
      <c r="P350" s="47"/>
    </row>
    <row r="351" spans="11:16">
      <c r="K351" s="47"/>
      <c r="L351" s="47"/>
      <c r="M351" s="47"/>
      <c r="N351" s="47"/>
      <c r="O351" s="47"/>
      <c r="P351" s="47"/>
    </row>
    <row r="352" spans="11:16">
      <c r="K352" s="47"/>
      <c r="L352" s="47"/>
      <c r="M352" s="47"/>
      <c r="N352" s="47"/>
      <c r="O352" s="47"/>
      <c r="P352" s="47"/>
    </row>
    <row r="353" spans="11:16">
      <c r="K353" s="47"/>
      <c r="L353" s="47"/>
      <c r="M353" s="47"/>
      <c r="N353" s="47"/>
      <c r="O353" s="47"/>
      <c r="P353" s="47"/>
    </row>
    <row r="354" spans="11:16">
      <c r="K354" s="47"/>
      <c r="L354" s="47"/>
      <c r="M354" s="47"/>
      <c r="N354" s="47"/>
      <c r="O354" s="47"/>
      <c r="P354" s="47"/>
    </row>
    <row r="355" spans="11:16">
      <c r="K355" s="47"/>
      <c r="L355" s="47"/>
      <c r="M355" s="47"/>
      <c r="N355" s="47"/>
      <c r="O355" s="47"/>
      <c r="P355" s="47"/>
    </row>
    <row r="356" spans="11:16">
      <c r="K356" s="47"/>
      <c r="L356" s="47"/>
      <c r="M356" s="47"/>
      <c r="N356" s="47"/>
      <c r="O356" s="47"/>
      <c r="P356" s="47"/>
    </row>
    <row r="357" spans="11:16">
      <c r="K357" s="47"/>
      <c r="L357" s="47"/>
      <c r="M357" s="47"/>
      <c r="N357" s="47"/>
      <c r="O357" s="47"/>
      <c r="P357" s="47"/>
    </row>
    <row r="358" spans="11:16">
      <c r="K358" s="47"/>
      <c r="L358" s="47"/>
      <c r="M358" s="47"/>
      <c r="N358" s="47"/>
      <c r="O358" s="47"/>
      <c r="P358" s="47"/>
    </row>
    <row r="359" spans="11:16">
      <c r="K359" s="47"/>
      <c r="L359" s="47"/>
      <c r="M359" s="47"/>
      <c r="N359" s="47"/>
      <c r="O359" s="47"/>
      <c r="P359" s="47"/>
    </row>
    <row r="360" spans="11:16">
      <c r="K360" s="47"/>
      <c r="L360" s="47"/>
      <c r="M360" s="47"/>
      <c r="N360" s="47"/>
      <c r="O360" s="47"/>
      <c r="P360" s="47"/>
    </row>
    <row r="361" spans="11:16">
      <c r="K361" s="47"/>
      <c r="L361" s="47"/>
      <c r="M361" s="47"/>
      <c r="N361" s="47"/>
      <c r="O361" s="47"/>
      <c r="P361" s="47"/>
    </row>
    <row r="362" spans="11:16">
      <c r="K362" s="47"/>
      <c r="L362" s="47"/>
      <c r="M362" s="47"/>
      <c r="N362" s="47"/>
      <c r="O362" s="47"/>
      <c r="P362" s="47"/>
    </row>
    <row r="363" spans="11:16">
      <c r="K363" s="47"/>
      <c r="L363" s="47"/>
      <c r="M363" s="47"/>
      <c r="N363" s="47"/>
      <c r="O363" s="47"/>
      <c r="P363" s="47"/>
    </row>
    <row r="364" spans="11:16">
      <c r="K364" s="47"/>
      <c r="L364" s="47"/>
      <c r="M364" s="47"/>
      <c r="N364" s="47"/>
      <c r="O364" s="47"/>
      <c r="P364" s="47"/>
    </row>
  </sheetData>
  <mergeCells count="25">
    <mergeCell ref="B2:AB2"/>
    <mergeCell ref="B3:AB3"/>
    <mergeCell ref="G4:U4"/>
    <mergeCell ref="Y4:AB4"/>
    <mergeCell ref="G5:U5"/>
    <mergeCell ref="C33:Y33"/>
    <mergeCell ref="C42:G42"/>
    <mergeCell ref="C43:D43"/>
    <mergeCell ref="E43:F43"/>
    <mergeCell ref="A44:A45"/>
    <mergeCell ref="B4:B6"/>
    <mergeCell ref="B43:B44"/>
    <mergeCell ref="C4:C6"/>
    <mergeCell ref="D4:D6"/>
    <mergeCell ref="E4:E6"/>
    <mergeCell ref="F4:F6"/>
    <mergeCell ref="G43:G44"/>
    <mergeCell ref="H43:H44"/>
    <mergeCell ref="V4:V6"/>
    <mergeCell ref="W4:W6"/>
    <mergeCell ref="X4:X6"/>
    <mergeCell ref="Y5:Y6"/>
    <mergeCell ref="Z5:Z6"/>
    <mergeCell ref="AA5:AA6"/>
    <mergeCell ref="AB5:AB6"/>
  </mergeCells>
  <pageMargins left="0" right="0" top="0.748031496062992" bottom="0.748031496062992" header="0.31496062992126" footer="0.31496062992126"/>
  <pageSetup paperSize="9" scale="8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3" master="" otherUserPermission="visible"/>
  <rangeList sheetStid="4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Меню</vt:lpstr>
      <vt:lpstr>Сетка</vt:lpstr>
      <vt:lpstr>Лист4</vt:lpstr>
      <vt:lpstr>Накопительная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kuzmi</cp:lastModifiedBy>
  <dcterms:created xsi:type="dcterms:W3CDTF">2006-09-16T00:00:00Z</dcterms:created>
  <dcterms:modified xsi:type="dcterms:W3CDTF">2025-05-14T07:45:29Z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E06688D283F64AA48E1BEF9F483C974D_12</vt:lpwstr>
  </property>
  <property fmtid="{D5CDD505-2E9C-101B-9397-08002B2CF9AE}" pid="3" name="KSOProductBuildVer">
    <vt:lpwstr>1049-12.2.0.20795</vt:lpwstr>
  </property>
</Properties>
</file>