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0503117 Отчет об исп" sheetId="1" state="visible" r:id="rId1"/>
  </sheets>
  <calcPr/>
</workbook>
</file>

<file path=xl/sharedStrings.xml><?xml version="1.0" encoding="utf-8"?>
<sst xmlns="http://schemas.openxmlformats.org/spreadsheetml/2006/main" count="222" uniqueCount="222">
  <si>
    <t xml:space="preserve">ОТЧЕТ ОБ ИСПОЛНЕНИИ БЮДЖЕТА</t>
  </si>
  <si>
    <t>КОДЫ</t>
  </si>
  <si>
    <t xml:space="preserve">Форма по ОКУД </t>
  </si>
  <si>
    <t>0503117</t>
  </si>
  <si>
    <t xml:space="preserve">на 1 сентября 2022 г.</t>
  </si>
  <si>
    <t xml:space="preserve">Дата </t>
  </si>
  <si>
    <t xml:space="preserve">Наименование финансового органа</t>
  </si>
  <si>
    <t>УФК</t>
  </si>
  <si>
    <t xml:space="preserve">по ОКПО </t>
  </si>
  <si>
    <t/>
  </si>
  <si>
    <t xml:space="preserve">Глава по БК </t>
  </si>
  <si>
    <t xml:space="preserve">Наименование публично-правового образования</t>
  </si>
  <si>
    <t xml:space="preserve">Администрация Роговского сельского поселения Тимашевского района</t>
  </si>
  <si>
    <t xml:space="preserve">по ОКТМО </t>
  </si>
  <si>
    <t>Периодичность:</t>
  </si>
  <si>
    <t xml:space="preserve">месячная, квартальная, годовая</t>
  </si>
  <si>
    <t xml:space="preserve">Единица измерения:</t>
  </si>
  <si>
    <t>руб.</t>
  </si>
  <si>
    <t xml:space="preserve">по ОКЕИ </t>
  </si>
  <si>
    <t>383</t>
  </si>
  <si>
    <t xml:space="preserve">1. Доходы бюджета</t>
  </si>
  <si>
    <t xml:space="preserve">Наименование показателя</t>
  </si>
  <si>
    <t xml:space="preserve">Код строки</t>
  </si>
  <si>
    <t xml:space="preserve">Код дохода по бюджетной классификации</t>
  </si>
  <si>
    <t xml:space="preserve">Утвержденные бюджетные назначения</t>
  </si>
  <si>
    <t>Исполнено</t>
  </si>
  <si>
    <t xml:space="preserve">Неисполненные назначения</t>
  </si>
  <si>
    <t>1</t>
  </si>
  <si>
    <t>2</t>
  </si>
  <si>
    <t>3</t>
  </si>
  <si>
    <t>4</t>
  </si>
  <si>
    <t>5</t>
  </si>
  <si>
    <t>6</t>
  </si>
  <si>
    <t xml:space="preserve">Доходы бюджета всего, в т.ч.</t>
  </si>
  <si>
    <t>010</t>
  </si>
  <si>
    <t>х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</si>
  <si>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</si>
  <si>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100 10302231 01 0000 110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</si>
  <si>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</si>
  <si>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100 10302241 01 0000 110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</si>
  <si>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</si>
  <si>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100 10302251 01 0000 110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</si>
  <si>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</si>
  <si>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100 10302261 01 0000 110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</si>
  <si>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</si>
  <si>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182 10102010 01 1000 110</t>
  </si>
  <si>
    <t xml:space="preserve">182 10102010 01 2100 110</t>
  </si>
  <si>
    <t>-</t>
  </si>
  <si>
    <t xml:space="preserve">182 10102010 01 3000 110</t>
  </si>
  <si>
    <t xml:space="preserve">182 10102010 01 4000 110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</si>
  <si>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</si>
  <si>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182 10102020 01 1000 110</t>
  </si>
  <si>
    <t xml:space="preserve">182 10102020 01 2100 110</t>
  </si>
  <si>
    <t xml:space="preserve">182 10102020 01 3000 110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</si>
  <si>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</si>
  <si>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182 10102030 01 1000 110</t>
  </si>
  <si>
    <t xml:space="preserve">182 10102030 01 2100 110</t>
  </si>
  <si>
    <t xml:space="preserve">182 10102030 01 3000 110</t>
  </si>
  <si>
    <t xml:space="preserve"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</si>
  <si>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182 10102040 01 1000 110</t>
  </si>
  <si>
    <t xml:space="preserve"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</si>
  <si>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 xml:space="preserve">182 10102080 01 1000 110</t>
  </si>
  <si>
    <t xml:space="preserve">Единый сельскохозяйственный налог</t>
  </si>
  <si>
    <t xml:space="preserve">182 10503010 01 1000 110</t>
  </si>
  <si>
    <t xml:space="preserve">182 10503010 01 2100 110</t>
  </si>
  <si>
    <t xml:space="preserve"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</si>
  <si>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 xml:space="preserve">182 10601030 10 1000 110</t>
  </si>
  <si>
    <t xml:space="preserve">182 10601030 10 2100 110</t>
  </si>
  <si>
    <t xml:space="preserve">Земельный налог с организаций, обладающих земельным участком, расположенным в границах межселенных территорий</t>
  </si>
  <si>
    <t xml:space="preserve">182 10606033 10 1000 110</t>
  </si>
  <si>
    <t xml:space="preserve">182 10606033 10 2100 110</t>
  </si>
  <si>
    <t xml:space="preserve">182 10606033 10 3000 110</t>
  </si>
  <si>
    <t xml:space="preserve">Земельный налог с физических лиц, обладающих земельным участком, расположенным в границах межселенных территорий</t>
  </si>
  <si>
    <t xml:space="preserve">182 10606043 10 1000 110</t>
  </si>
  <si>
    <t xml:space="preserve">182 10606043 10 2100 110</t>
  </si>
  <si>
    <t xml:space="preserve">Земельный налог (по обязательствам, возникшим до 1 января 2006 года), мобилизуемый на межселенных территориях</t>
  </si>
  <si>
    <t xml:space="preserve">182 10904053 10 1000 110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</si>
  <si>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</si>
  <si>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 xml:space="preserve">910 11601154 01 0000 140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</si>
  <si>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</si>
  <si>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992 11105025 10 0000 120</t>
  </si>
  <si>
    <t xml:space="preserve"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</si>
  <si>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 xml:space="preserve">992 11105035 10 0000 120</t>
  </si>
  <si>
    <t xml:space="preserve"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</si>
  <si>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992 11105035 10 1000 120</t>
  </si>
  <si>
    <t xml:space="preserve">Доходы от сдачи в аренду имущества, составляющего казну сельских поселений (за исключением земельных участков)</t>
  </si>
  <si>
    <t xml:space="preserve">992 11105075 10 0000 120</t>
  </si>
  <si>
    <t xml:space="preserve">Прочие доходы от компенсации затрат бюджетов сельских поселений</t>
  </si>
  <si>
    <t xml:space="preserve">992 11302995 10 0000 130</t>
  </si>
  <si>
    <t xml:space="preserve"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</si>
  <si>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 xml:space="preserve">992 11406025 10 0000 430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</si>
  <si>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</si>
  <si>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 xml:space="preserve">992 11607090 10 0000 140</t>
  </si>
  <si>
    <t xml:space="preserve">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</si>
  <si>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 xml:space="preserve">992 11610032 10 0000 140</t>
  </si>
  <si>
    <t xml:space="preserve">Дотации бюджетам сельских поселений на выравнивание бюджетной обеспеченности из бюджета субъекта Российской Федерации</t>
  </si>
  <si>
    <t xml:space="preserve">992 20215001 10 0000 150</t>
  </si>
  <si>
    <t xml:space="preserve">Дотации бюджетам сельских поселений на выравнивание бюджетной обеспеченности из бюджетов муниципальных районов</t>
  </si>
  <si>
    <t xml:space="preserve">992 20216001 10 0000 150</t>
  </si>
  <si>
    <t xml:space="preserve">Прочие дотации бюджетам сельских поселений</t>
  </si>
  <si>
    <t xml:space="preserve">992 20219999 10 0000 150</t>
  </si>
  <si>
    <t xml:space="preserve">Субсидии бюджетам сельских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</si>
  <si>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 xml:space="preserve">992 20225299 10 0000 150</t>
  </si>
  <si>
    <t xml:space="preserve">Субсидии бюджетам сельских поселений на поддержку отрасли культуры</t>
  </si>
  <si>
    <t xml:space="preserve">992 20225519 10 0000 150</t>
  </si>
  <si>
    <t xml:space="preserve">Субсидии бюджетам сельских поселений на реализацию программ формирования современной городской среды</t>
  </si>
  <si>
    <t xml:space="preserve">992 20225555 10 0000 150</t>
  </si>
  <si>
    <t xml:space="preserve">Прочие субсидии бюджетам сельских поселений</t>
  </si>
  <si>
    <t xml:space="preserve">992 20229999 10 0000 150</t>
  </si>
  <si>
    <t xml:space="preserve">Прочие субсидии</t>
  </si>
  <si>
    <t xml:space="preserve">992 20229999 10 1000 150</t>
  </si>
  <si>
    <t xml:space="preserve">Субвенции бюджетам сельских поселений на выполнение передаваемых полномочий субъектов Российской Федерации</t>
  </si>
  <si>
    <t xml:space="preserve">992 20230024 10 0000 150</t>
  </si>
  <si>
    <t xml:space="preserve">Субвенции местным бюджетам на выполнение передаваемых полномочий субъектов Российской Федерации</t>
  </si>
  <si>
    <t xml:space="preserve">992 20230024 10 1000 150</t>
  </si>
  <si>
    <t xml:space="preserve"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</si>
  <si>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992 20235118 10 0000 150</t>
  </si>
  <si>
    <t xml:space="preserve">Прочие межбюджетные трансферты, передаваемые бюджетам сельских поселений</t>
  </si>
  <si>
    <t xml:space="preserve">992 20249999 10 0000 150</t>
  </si>
  <si>
    <t xml:space="preserve"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</si>
  <si>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992 20805000 10 0000 150</t>
  </si>
  <si>
    <t xml:space="preserve">2. Расходы бюджета</t>
  </si>
  <si>
    <t xml:space="preserve">Код расхода по бюджетной классификации</t>
  </si>
  <si>
    <t xml:space="preserve">Расходы бюджета всего, в т.ч.</t>
  </si>
  <si>
    <t>200</t>
  </si>
  <si>
    <t xml:space="preserve">Иные межбюджетные трансферты</t>
  </si>
  <si>
    <t xml:space="preserve">991 0106 5120020010 540</t>
  </si>
  <si>
    <t xml:space="preserve">Фонд оплаты труда государственных (муниципальных) органов</t>
  </si>
  <si>
    <t xml:space="preserve">992 0102 5010000190 121</t>
  </si>
  <si>
    <t xml:space="preserve"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</si>
  <si>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992 0102 5010000190 129</t>
  </si>
  <si>
    <t xml:space="preserve">992 0104 5210000190 121</t>
  </si>
  <si>
    <t xml:space="preserve">992 0104 5210000190 129</t>
  </si>
  <si>
    <t xml:space="preserve">Прочая закупка товаров, работ и услуг</t>
  </si>
  <si>
    <t xml:space="preserve">992 0104 5210000190 244</t>
  </si>
  <si>
    <t xml:space="preserve">Закупка энергетических ресурсов</t>
  </si>
  <si>
    <t xml:space="preserve">992 0104 5210000190 247</t>
  </si>
  <si>
    <t xml:space="preserve">Уплата налога на имущество организаций и земельного налога</t>
  </si>
  <si>
    <t xml:space="preserve">992 0104 5210000190 851</t>
  </si>
  <si>
    <t xml:space="preserve">Уплата прочих налогов, сборов</t>
  </si>
  <si>
    <t xml:space="preserve">992 0104 5210000190 852</t>
  </si>
  <si>
    <t xml:space="preserve">Уплата иных платежей</t>
  </si>
  <si>
    <t xml:space="preserve">992 0104 5210000190 853</t>
  </si>
  <si>
    <t xml:space="preserve">992 0104 5220020020 540</t>
  </si>
  <si>
    <t xml:space="preserve">992 0104 5230160190 244</t>
  </si>
  <si>
    <t xml:space="preserve">992 0106 5220020020 540</t>
  </si>
  <si>
    <t xml:space="preserve">Резервные средства</t>
  </si>
  <si>
    <t xml:space="preserve">992 0111 5240020590 870</t>
  </si>
  <si>
    <t xml:space="preserve">992 0113 0210210070 244</t>
  </si>
  <si>
    <t xml:space="preserve">Фонд оплаты труда учреждений</t>
  </si>
  <si>
    <t xml:space="preserve">992 0113 0310100590 111</t>
  </si>
  <si>
    <t xml:space="preserve">Взносы по обязательному социальному страхованию на выплаты по оплате труда работников и иные выплаты работникам учреждений</t>
  </si>
  <si>
    <t xml:space="preserve">992 0113 0310100590 119</t>
  </si>
  <si>
    <t xml:space="preserve">992 0113 0310100590 244</t>
  </si>
  <si>
    <t xml:space="preserve">992 0113 0310100590 851</t>
  </si>
  <si>
    <t xml:space="preserve">992 0113 0310100590 853</t>
  </si>
  <si>
    <t xml:space="preserve">Иные выплаты государственных(муниципальных) органов привлекаемым лицам</t>
  </si>
  <si>
    <t xml:space="preserve">992 0113 5250010040 123</t>
  </si>
  <si>
    <t xml:space="preserve">992 0203 5230251180 121</t>
  </si>
  <si>
    <t xml:space="preserve">992 0203 5230251180 129</t>
  </si>
  <si>
    <t xml:space="preserve">992 0310 0110110320 244</t>
  </si>
  <si>
    <t xml:space="preserve">992 0314 0110210090 244</t>
  </si>
  <si>
    <t xml:space="preserve">992 0314 0110310110 244</t>
  </si>
  <si>
    <t xml:space="preserve">992 0409 0610110130 244</t>
  </si>
  <si>
    <t xml:space="preserve">992 0409 0610110140 244</t>
  </si>
  <si>
    <t xml:space="preserve">992 0409 0610210340 244</t>
  </si>
  <si>
    <t xml:space="preserve">992 0409 0610210340 247</t>
  </si>
  <si>
    <t xml:space="preserve">992 0412 0210110070 244</t>
  </si>
  <si>
    <t xml:space="preserve">992 0412 1010110280 244</t>
  </si>
  <si>
    <t xml:space="preserve">992 0502 0410110160 244</t>
  </si>
  <si>
    <t xml:space="preserve">992 0503 0510110220 247</t>
  </si>
  <si>
    <t xml:space="preserve">992 0503 0510110230 244</t>
  </si>
  <si>
    <t xml:space="preserve">992 0503 0510310070 244</t>
  </si>
  <si>
    <t xml:space="preserve">992 0503 0510410240 244</t>
  </si>
  <si>
    <t xml:space="preserve">992 0503 0510410250 244</t>
  </si>
  <si>
    <t xml:space="preserve">992 0503 05106S2720 244</t>
  </si>
  <si>
    <t xml:space="preserve">992 0503 0510711050 244</t>
  </si>
  <si>
    <t xml:space="preserve">992 0503 1210110401 244</t>
  </si>
  <si>
    <t xml:space="preserve">Закупка товаров, работ, услуг в целях капитального ремонта государственного (муниципального) имущества</t>
  </si>
  <si>
    <t xml:space="preserve">992 0503 121F255550 243</t>
  </si>
  <si>
    <t xml:space="preserve"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</si>
  <si>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992 0505 0510500590 611</t>
  </si>
  <si>
    <t xml:space="preserve">992 0707 0710110070 244</t>
  </si>
  <si>
    <t xml:space="preserve">992 0801 08101S2990 244</t>
  </si>
  <si>
    <t xml:space="preserve">992 0801 0810200590 611</t>
  </si>
  <si>
    <t xml:space="preserve">992 0801 0810300590 611</t>
  </si>
  <si>
    <t xml:space="preserve">Субсидии бюджетным учреждениям на иные цели</t>
  </si>
  <si>
    <t xml:space="preserve">992 0801 0810310210 612</t>
  </si>
  <si>
    <t xml:space="preserve">992 0801 081A255190 612</t>
  </si>
  <si>
    <t xml:space="preserve">992 1101 0910110270 244</t>
  </si>
  <si>
    <t xml:space="preserve">992 1202 1110110290 244</t>
  </si>
  <si>
    <t xml:space="preserve">Результат исполнения бюджета (дефицит\ профицит)</t>
  </si>
  <si>
    <t>450</t>
  </si>
  <si>
    <t xml:space="preserve">3. Источники финансирования дефицита бюджета</t>
  </si>
  <si>
    <t xml:space="preserve">Код источника финансирования дефицита бюджета по бюджетной классификации</t>
  </si>
  <si>
    <t xml:space="preserve">Источники финансирования дефицита бюджета - всего</t>
  </si>
  <si>
    <t>500</t>
  </si>
  <si>
    <t xml:space="preserve">     в том числе:</t>
  </si>
  <si>
    <t xml:space="preserve">источники внутреннего финансирования бюджета, из них:</t>
  </si>
  <si>
    <t>520</t>
  </si>
  <si>
    <t xml:space="preserve">Привлечение кредитов из других бюджетов бюджетной системы Российской Федерации бюджетами сельских поселений в валюте Российской Федерации</t>
  </si>
  <si>
    <t xml:space="preserve">992 01030100 10 0000 710</t>
  </si>
  <si>
    <t xml:space="preserve">источники внешнего финансирования бюджета, из них:</t>
  </si>
  <si>
    <t>620</t>
  </si>
  <si>
    <t xml:space="preserve">Изменение остатков средств</t>
  </si>
  <si>
    <t>700</t>
  </si>
  <si>
    <t xml:space="preserve">01050000 00 0000 000</t>
  </si>
  <si>
    <t xml:space="preserve">     увеличение остатков средств</t>
  </si>
  <si>
    <t>710</t>
  </si>
  <si>
    <t xml:space="preserve">992 01050201 10 0000 510</t>
  </si>
  <si>
    <t xml:space="preserve">     уменьшение остатков средств</t>
  </si>
  <si>
    <t>720</t>
  </si>
  <si>
    <t xml:space="preserve">992 01050201 10 0000 610</t>
  </si>
  <si>
    <t xml:space="preserve">Дикий В. Е.</t>
  </si>
  <si>
    <t>(подпись)</t>
  </si>
  <si>
    <t xml:space="preserve">(расшифровка подписи)</t>
  </si>
  <si>
    <t xml:space="preserve">Караух Е. В.</t>
  </si>
  <si>
    <t xml:space="preserve">Фёдорова С. М.</t>
  </si>
  <si>
    <t>Исполнитель:</t>
  </si>
  <si>
    <t>(должность)</t>
  </si>
  <si>
    <t xml:space="preserve">   2 сентября 2022 г.   </t>
  </si>
  <si>
    <t xml:space="preserve">Форма 0503117 с.1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</si>
</sst>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26">
    <font>
      <sz val="10.000000"/>
      <color theme="1"/>
      <name val="Arial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sz val="9.000000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0.000000"/>
      <name val="Arial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b/>
      <sz val="9.000000"/>
      <color indexed="64"/>
      <name val="Tahoma"/>
    </font>
    <font>
      <sz val="8.000000"/>
      <color indexed="64"/>
      <name val="Tahoma"/>
    </font>
    <font>
      <i/>
      <sz val="8.000000"/>
      <color indexed="64"/>
      <name val="Tahoma"/>
    </font>
    <font>
      <b/>
      <sz val="8.000000"/>
      <color indexed="64"/>
      <name val="Tahoma"/>
    </font>
    <font>
      <sz val="7.000000"/>
      <color indexed="64"/>
      <name val="Tahoma"/>
    </font>
    <font>
      <u/>
      <sz val="8.000000"/>
      <color indexed="64"/>
      <name val="Tahoma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65"/>
        <bgColor indexed="65"/>
      </patternFill>
    </fill>
  </fills>
  <borders count="42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none"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none"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none"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none"/>
    </border>
    <border>
      <left style="medium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none"/>
      <bottom style="thin">
        <color indexed="64"/>
      </bottom>
      <diagonal style="none"/>
    </border>
    <border>
      <left style="none"/>
      <right style="none"/>
      <top style="medium">
        <color indexed="64"/>
      </top>
      <bottom style="none"/>
      <diagonal style="none"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none"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none"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none"/>
      <right style="medium">
        <color indexed="64"/>
      </right>
      <top style="thin">
        <color indexed="64"/>
      </top>
      <bottom style="medium">
        <color indexed="64"/>
      </bottom>
      <diagonal style="none"/>
    </border>
    <border>
      <left style="medium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none"/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none"/>
      <right style="medium">
        <color indexed="64"/>
      </right>
      <top style="thin">
        <color indexed="64"/>
      </top>
      <bottom style="none"/>
      <diagonal style="none"/>
    </border>
    <border>
      <left style="medium">
        <color indexed="64"/>
      </left>
      <right style="thin">
        <color indexed="64"/>
      </right>
      <top style="none"/>
      <bottom style="none"/>
      <diagonal style="none"/>
    </border>
    <border>
      <left style="none"/>
      <right style="thin">
        <color indexed="64"/>
      </right>
      <top style="none"/>
      <bottom style="none"/>
      <diagonal style="none"/>
    </border>
    <border>
      <left style="none"/>
      <right style="medium">
        <color indexed="64"/>
      </right>
      <top style="none"/>
      <bottom style="none"/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none"/>
      <right style="medium">
        <color indexed="64"/>
      </right>
      <top style="thin">
        <color indexed="64"/>
      </top>
      <bottom style="thin">
        <color indexed="64"/>
      </bottom>
      <diagonal style="none"/>
    </border>
    <border>
      <left style="none"/>
      <right style="none"/>
      <top style="thin">
        <color indexed="64"/>
      </top>
      <bottom style="none"/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30" borderId="0" numFmtId="0" applyNumberFormat="1" applyFont="1" applyFill="1" applyBorder="1"/>
    <xf fontId="15" fillId="0" borderId="0" numFmtId="0" applyNumberFormat="1" applyFont="1" applyFill="1" applyBorder="1"/>
    <xf fontId="16" fillId="31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9" fillId="32" borderId="0" numFmtId="0" applyNumberFormat="1" applyFont="1" applyFill="1" applyBorder="1"/>
  </cellStyleXfs>
  <cellXfs count="58">
    <xf fontId="0" fillId="0" borderId="0" numFmtId="0" xfId="0"/>
    <xf fontId="0" fillId="0" borderId="0" numFmtId="0" xfId="0"/>
    <xf fontId="20" fillId="33" borderId="0" numFmtId="0" xfId="0" applyFont="1" applyFill="1" applyAlignment="1">
      <alignment horizontal="center" wrapText="1"/>
    </xf>
    <xf fontId="21" fillId="33" borderId="10" numFmtId="0" xfId="0" applyFont="1" applyFill="1" applyBorder="1" applyAlignment="1">
      <alignment horizontal="center" vertical="center" wrapText="1"/>
    </xf>
    <xf fontId="21" fillId="33" borderId="0" numFmtId="0" xfId="0" applyFont="1" applyFill="1" applyAlignment="1">
      <alignment horizontal="right" wrapText="1"/>
    </xf>
    <xf fontId="21" fillId="33" borderId="11" numFmtId="0" xfId="0" applyFont="1" applyFill="1" applyBorder="1" applyAlignment="1">
      <alignment horizontal="center" vertical="center" wrapText="1"/>
    </xf>
    <xf fontId="21" fillId="33" borderId="12" numFmtId="14" xfId="0" applyNumberFormat="1" applyFont="1" applyFill="1" applyBorder="1" applyAlignment="1">
      <alignment horizontal="center" vertical="center" wrapText="1"/>
    </xf>
    <xf fontId="21" fillId="33" borderId="0" numFmtId="0" xfId="0" applyFont="1" applyFill="1" applyAlignment="1">
      <alignment horizontal="left" wrapText="1"/>
    </xf>
    <xf fontId="22" fillId="33" borderId="13" numFmtId="0" xfId="0" applyFont="1" applyFill="1" applyBorder="1" applyAlignment="1">
      <alignment horizontal="left" wrapText="1"/>
    </xf>
    <xf fontId="21" fillId="33" borderId="12" numFmtId="0" xfId="0" applyFont="1" applyFill="1" applyBorder="1" applyAlignment="1">
      <alignment horizontal="center" vertical="center" wrapText="1"/>
    </xf>
    <xf fontId="21" fillId="33" borderId="14" numFmtId="0" xfId="0" applyFont="1" applyFill="1" applyBorder="1" applyAlignment="1">
      <alignment horizontal="center" vertical="center" wrapText="1"/>
    </xf>
    <xf fontId="23" fillId="33" borderId="0" numFmtId="0" xfId="0" applyFont="1" applyFill="1" applyAlignment="1">
      <alignment horizontal="center" wrapText="1"/>
    </xf>
    <xf fontId="21" fillId="33" borderId="15" numFmtId="0" xfId="0" applyFont="1" applyFill="1" applyBorder="1" applyAlignment="1">
      <alignment horizontal="center" vertical="center" wrapText="1"/>
    </xf>
    <xf fontId="21" fillId="33" borderId="16" numFmtId="0" xfId="0" applyFont="1" applyFill="1" applyBorder="1" applyAlignment="1">
      <alignment horizontal="center" vertical="center" wrapText="1"/>
    </xf>
    <xf fontId="21" fillId="33" borderId="17" numFmtId="0" xfId="0" applyFont="1" applyFill="1" applyBorder="1" applyAlignment="1">
      <alignment horizontal="center" vertical="center" wrapText="1"/>
    </xf>
    <xf fontId="24" fillId="33" borderId="18" numFmtId="0" xfId="0" applyFont="1" applyFill="1" applyBorder="1" applyAlignment="1">
      <alignment horizontal="center" vertical="center" wrapText="1"/>
    </xf>
    <xf fontId="24" fillId="33" borderId="19" numFmtId="0" xfId="0" applyFont="1" applyFill="1" applyBorder="1" applyAlignment="1">
      <alignment horizontal="center" vertical="center" wrapText="1"/>
    </xf>
    <xf fontId="24" fillId="33" borderId="20" numFmtId="0" xfId="0" applyFont="1" applyFill="1" applyBorder="1" applyAlignment="1">
      <alignment horizontal="center" vertical="center" wrapText="1"/>
    </xf>
    <xf fontId="21" fillId="33" borderId="18" numFmtId="0" xfId="0" applyFont="1" applyFill="1" applyBorder="1" applyAlignment="1">
      <alignment horizontal="left" vertical="center" wrapText="1"/>
    </xf>
    <xf fontId="21" fillId="33" borderId="18" numFmtId="0" xfId="0" applyFont="1" applyFill="1" applyBorder="1" applyAlignment="1">
      <alignment horizontal="center" vertical="center" wrapText="1"/>
    </xf>
    <xf fontId="21" fillId="33" borderId="19" numFmtId="4" xfId="0" applyNumberFormat="1" applyFont="1" applyFill="1" applyBorder="1" applyAlignment="1">
      <alignment horizontal="right" vertical="center" wrapText="1"/>
    </xf>
    <xf fontId="21" fillId="33" borderId="20" numFmtId="4" xfId="0" applyNumberFormat="1" applyFont="1" applyFill="1" applyBorder="1" applyAlignment="1">
      <alignment horizontal="right" vertical="center" wrapText="1"/>
    </xf>
    <xf fontId="21" fillId="33" borderId="21" numFmtId="0" xfId="0" applyFont="1" applyFill="1" applyBorder="1" applyAlignment="1">
      <alignment horizontal="left" vertical="center" wrapText="1"/>
    </xf>
    <xf fontId="21" fillId="33" borderId="21" numFmtId="0" xfId="0" applyFont="1" applyFill="1" applyBorder="1" applyAlignment="1">
      <alignment horizontal="center" vertical="center" wrapText="1"/>
    </xf>
    <xf fontId="21" fillId="33" borderId="22" numFmtId="4" xfId="0" applyNumberFormat="1" applyFont="1" applyFill="1" applyBorder="1" applyAlignment="1">
      <alignment horizontal="right" vertical="center" wrapText="1"/>
    </xf>
    <xf fontId="21" fillId="33" borderId="23" numFmtId="4" xfId="0" applyNumberFormat="1" applyFont="1" applyFill="1" applyBorder="1" applyAlignment="1">
      <alignment horizontal="right" vertical="center" wrapText="1"/>
    </xf>
    <xf fontId="21" fillId="33" borderId="22" numFmtId="0" xfId="0" applyFont="1" applyFill="1" applyBorder="1" applyAlignment="1">
      <alignment horizontal="right" vertical="center" wrapText="1"/>
    </xf>
    <xf fontId="21" fillId="33" borderId="23" numFmtId="0" xfId="0" applyFont="1" applyFill="1" applyBorder="1" applyAlignment="1">
      <alignment horizontal="right" vertical="center" wrapText="1"/>
    </xf>
    <xf fontId="23" fillId="33" borderId="24" numFmtId="0" xfId="0" applyFont="1" applyFill="1" applyBorder="1" applyAlignment="1">
      <alignment horizontal="center" wrapText="1"/>
    </xf>
    <xf fontId="21" fillId="33" borderId="25" numFmtId="0" xfId="0" applyFont="1" applyFill="1" applyBorder="1" applyAlignment="1">
      <alignment horizontal="left" vertical="center" wrapText="1"/>
    </xf>
    <xf fontId="21" fillId="33" borderId="25" numFmtId="0" xfId="0" applyFont="1" applyFill="1" applyBorder="1" applyAlignment="1">
      <alignment horizontal="center" vertical="center" wrapText="1"/>
    </xf>
    <xf fontId="21" fillId="33" borderId="10" numFmtId="4" xfId="0" applyNumberFormat="1" applyFont="1" applyFill="1" applyBorder="1" applyAlignment="1">
      <alignment horizontal="right" vertical="center" wrapText="1"/>
    </xf>
    <xf fontId="21" fillId="33" borderId="26" numFmtId="4" xfId="0" applyNumberFormat="1" applyFont="1" applyFill="1" applyBorder="1" applyAlignment="1">
      <alignment horizontal="right" vertical="center" wrapText="1"/>
    </xf>
    <xf fontId="21" fillId="33" borderId="26" numFmtId="0" xfId="0" applyFont="1" applyFill="1" applyBorder="1" applyAlignment="1">
      <alignment horizontal="right" vertical="center" wrapText="1"/>
    </xf>
    <xf fontId="21" fillId="33" borderId="10" numFmtId="0" xfId="0" applyFont="1" applyFill="1" applyBorder="1" applyAlignment="1">
      <alignment horizontal="right" vertical="center" wrapText="1"/>
    </xf>
    <xf fontId="21" fillId="33" borderId="27" numFmtId="0" xfId="0" applyFont="1" applyFill="1" applyBorder="1" applyAlignment="1">
      <alignment horizontal="left" vertical="center" wrapText="1"/>
    </xf>
    <xf fontId="21" fillId="33" borderId="27" numFmtId="0" xfId="0" applyFont="1" applyFill="1" applyBorder="1" applyAlignment="1">
      <alignment horizontal="center" vertical="center" wrapText="1"/>
    </xf>
    <xf fontId="21" fillId="33" borderId="28" numFmtId="4" xfId="0" applyNumberFormat="1" applyFont="1" applyFill="1" applyBorder="1" applyAlignment="1">
      <alignment horizontal="right" vertical="center" wrapText="1"/>
    </xf>
    <xf fontId="21" fillId="33" borderId="29" numFmtId="0" xfId="0" applyFont="1" applyFill="1" applyBorder="1" applyAlignment="1">
      <alignment horizontal="center" vertical="center" wrapText="1"/>
    </xf>
    <xf fontId="21" fillId="33" borderId="30" numFmtId="4" xfId="0" applyNumberFormat="1" applyFont="1" applyFill="1" applyBorder="1" applyAlignment="1">
      <alignment horizontal="right" vertical="center" wrapText="1"/>
    </xf>
    <xf fontId="21" fillId="33" borderId="31" numFmtId="0" xfId="0" applyFont="1" applyFill="1" applyBorder="1" applyAlignment="1">
      <alignment horizontal="center" vertical="center" wrapText="1"/>
    </xf>
    <xf fontId="21" fillId="33" borderId="32" numFmtId="0" xfId="0" applyFont="1" applyFill="1" applyBorder="1" applyAlignment="1">
      <alignment horizontal="left" vertical="center" wrapText="1"/>
    </xf>
    <xf fontId="21" fillId="33" borderId="32" numFmtId="0" xfId="0" applyFont="1" applyFill="1" applyBorder="1" applyAlignment="1">
      <alignment horizontal="center" vertical="center" wrapText="1"/>
    </xf>
    <xf fontId="21" fillId="33" borderId="33" numFmtId="0" xfId="0" applyFont="1" applyFill="1" applyBorder="1" applyAlignment="1">
      <alignment horizontal="right" vertical="center" wrapText="1"/>
    </xf>
    <xf fontId="21" fillId="33" borderId="34" numFmtId="0" xfId="0" applyFont="1" applyFill="1" applyBorder="1" applyAlignment="1">
      <alignment horizontal="right" vertical="center" wrapText="1"/>
    </xf>
    <xf fontId="21" fillId="33" borderId="35" numFmtId="0" xfId="0" applyFont="1" applyFill="1" applyBorder="1" applyAlignment="1">
      <alignment horizontal="right" vertical="center" wrapText="1"/>
    </xf>
    <xf fontId="21" fillId="33" borderId="36" numFmtId="0" xfId="0" applyFont="1" applyFill="1" applyBorder="1" applyAlignment="1">
      <alignment horizontal="center" vertical="center" wrapText="1"/>
    </xf>
    <xf fontId="21" fillId="33" borderId="37" numFmtId="4" xfId="0" applyNumberFormat="1" applyFont="1" applyFill="1" applyBorder="1" applyAlignment="1">
      <alignment horizontal="right" vertical="center" wrapText="1"/>
    </xf>
    <xf fontId="21" fillId="33" borderId="38" numFmtId="4" xfId="0" applyNumberFormat="1" applyFont="1" applyFill="1" applyBorder="1" applyAlignment="1">
      <alignment horizontal="right" vertical="center" wrapText="1"/>
    </xf>
    <xf fontId="21" fillId="33" borderId="39" numFmtId="4" xfId="0" applyNumberFormat="1" applyFont="1" applyFill="1" applyBorder="1" applyAlignment="1">
      <alignment horizontal="right" vertical="center" wrapText="1"/>
    </xf>
    <xf fontId="21" fillId="33" borderId="40" numFmtId="4" xfId="0" applyNumberFormat="1" applyFont="1" applyFill="1" applyBorder="1" applyAlignment="1">
      <alignment horizontal="right" vertical="center" wrapText="1"/>
    </xf>
    <xf fontId="21" fillId="33" borderId="39" numFmtId="0" xfId="0" applyFont="1" applyFill="1" applyBorder="1" applyAlignment="1">
      <alignment horizontal="right" vertical="center" wrapText="1"/>
    </xf>
    <xf fontId="21" fillId="33" borderId="40" numFmtId="0" xfId="0" applyFont="1" applyFill="1" applyBorder="1" applyAlignment="1">
      <alignment horizontal="right" vertical="center" wrapText="1"/>
    </xf>
    <xf fontId="21" fillId="33" borderId="40" numFmtId="0" xfId="0" applyFont="1" applyFill="1" applyBorder="1" applyAlignment="1">
      <alignment horizontal="center" vertical="center" wrapText="1"/>
    </xf>
    <xf fontId="21" fillId="33" borderId="0" numFmtId="0" xfId="0" applyFont="1" applyFill="1" applyAlignment="1">
      <alignment horizontal="center" vertical="center" wrapText="1"/>
    </xf>
    <xf fontId="21" fillId="33" borderId="0" numFmtId="0" xfId="0" applyFont="1" applyFill="1" applyAlignment="1">
      <alignment horizontal="center" wrapText="1"/>
    </xf>
    <xf fontId="24" fillId="33" borderId="41" numFmtId="0" xfId="0" applyFont="1" applyFill="1" applyBorder="1" applyAlignment="1">
      <alignment horizontal="center" wrapText="1"/>
    </xf>
    <xf fontId="25" fillId="33" borderId="0" numFmtId="0" xfId="0" applyFont="1" applyFill="1" applyAlignment="1">
      <alignment horizontal="left" wrapText="1"/>
    </xf>
  </cellXfs>
  <cellStyles count="47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0" fitToPage="0"/>
  </sheetPr>
  <sheetViews>
    <sheetView topLeftCell="A10" zoomScale="100" workbookViewId="0">
      <selection activeCell="S16" activeCellId="0" sqref="S16:V16"/>
    </sheetView>
  </sheetViews>
  <sheetFormatPr baseColWidth="8" defaultRowHeight="12.75" customHeight="1"/>
  <cols>
    <col customWidth="1" min="1" max="1" style="1" width="13.710900000000001"/>
    <col customWidth="1" min="2" max="3" style="1" width="1.7109399999999999"/>
    <col customWidth="1" min="4" max="4" style="1" width="0.140625"/>
    <col customWidth="1" min="5" max="5" style="1" width="13.710900000000001"/>
    <col customWidth="1" min="6" max="6" style="1" width="9.7109400000000008"/>
    <col customWidth="1" min="7" max="7" style="1" width="4.7109399999999999"/>
    <col customWidth="1" min="8" max="8" style="1" width="1.7109399999999999"/>
    <col customWidth="1" min="9" max="9" style="1" width="2.7109399999999999"/>
    <col customWidth="1" min="10" max="10" style="1" width="1.7109399999999999"/>
    <col customWidth="1" min="11" max="11" style="1" width="13.710900000000001"/>
    <col customWidth="1" min="12" max="13" style="1" width="3.7109399999999999"/>
    <col customWidth="1" min="14" max="14" style="1" width="2.7109399999999999"/>
    <col customWidth="1" min="15" max="15" style="1" width="21.710899999999999"/>
    <col customWidth="1" min="16" max="17" style="1" width="2.7109399999999999"/>
    <col customWidth="1" min="18" max="18" style="1" width="12.710900000000001"/>
    <col customWidth="1" min="19" max="19" style="1" width="7.7109399999999999"/>
    <col customWidth="1" min="20" max="20" style="1" width="3.7109399999999999"/>
    <col customWidth="1" min="21" max="21" style="1" width="1.7109399999999999"/>
    <col customWidth="1" min="22" max="23" style="1" width="4.7109399999999999"/>
    <col customWidth="1" min="24" max="24" style="1" width="12.710900000000001"/>
  </cols>
  <sheetData>
    <row r="1" s="1" customFormat="1" ht="14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 t="s">
        <v>1</v>
      </c>
    </row>
    <row r="2" s="1" customFormat="1" ht="14.1" customHeight="1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 t="s">
        <v>3</v>
      </c>
    </row>
    <row r="3" s="1" customFormat="1" ht="14.1" customHeight="1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4" t="s">
        <v>5</v>
      </c>
      <c r="W3" s="4"/>
      <c r="X3" s="6">
        <v>44805</v>
      </c>
    </row>
    <row r="4" s="1" customFormat="1" ht="14.1" customHeight="1">
      <c r="A4" s="7" t="s">
        <v>6</v>
      </c>
      <c r="B4" s="7"/>
      <c r="C4" s="7"/>
      <c r="D4" s="7"/>
      <c r="E4" s="7"/>
      <c r="F4" s="8" t="s">
        <v>7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4" t="s">
        <v>8</v>
      </c>
      <c r="V4" s="4"/>
      <c r="W4" s="4"/>
      <c r="X4" s="9" t="s">
        <v>9</v>
      </c>
    </row>
    <row r="5" s="1" customFormat="1" ht="14.1" customHeight="1">
      <c r="A5" s="7"/>
      <c r="B5" s="7"/>
      <c r="C5" s="7"/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4" t="s">
        <v>10</v>
      </c>
      <c r="V5" s="4"/>
      <c r="W5" s="4"/>
      <c r="X5" s="9" t="s">
        <v>9</v>
      </c>
    </row>
    <row r="6" s="1" customFormat="1" ht="14.1" customHeight="1">
      <c r="A6" s="7" t="s">
        <v>11</v>
      </c>
      <c r="B6" s="7"/>
      <c r="C6" s="7"/>
      <c r="D6" s="7"/>
      <c r="E6" s="7"/>
      <c r="F6" s="7"/>
      <c r="G6" s="8" t="s">
        <v>12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4" t="s">
        <v>13</v>
      </c>
      <c r="V6" s="4"/>
      <c r="W6" s="4"/>
      <c r="X6" s="9" t="s">
        <v>9</v>
      </c>
    </row>
    <row r="7" s="1" customFormat="1" ht="14.1" customHeight="1">
      <c r="A7" s="7" t="s">
        <v>14</v>
      </c>
      <c r="B7" s="7" t="s">
        <v>15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9" t="s">
        <v>9</v>
      </c>
    </row>
    <row r="8" s="1" customFormat="1" ht="14.1" customHeight="1">
      <c r="A8" s="7" t="s">
        <v>16</v>
      </c>
      <c r="B8" s="7"/>
      <c r="C8" s="7"/>
      <c r="D8" s="7"/>
      <c r="E8" s="7" t="s">
        <v>17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4" t="s">
        <v>18</v>
      </c>
      <c r="U8" s="4"/>
      <c r="V8" s="4"/>
      <c r="W8" s="4"/>
      <c r="X8" s="10" t="s">
        <v>19</v>
      </c>
    </row>
    <row r="9" s="1" customFormat="1" ht="14.1" customHeight="1">
      <c r="A9" s="11" t="s">
        <v>20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="1" customFormat="1" ht="35.100000000000001" customHeight="1">
      <c r="A10" s="12" t="s">
        <v>21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 t="s">
        <v>22</v>
      </c>
      <c r="M10" s="12"/>
      <c r="N10" s="12" t="s">
        <v>23</v>
      </c>
      <c r="O10" s="12"/>
      <c r="P10" s="13" t="s">
        <v>24</v>
      </c>
      <c r="Q10" s="13"/>
      <c r="R10" s="13"/>
      <c r="S10" s="13" t="s">
        <v>25</v>
      </c>
      <c r="T10" s="13"/>
      <c r="U10" s="13"/>
      <c r="V10" s="13"/>
      <c r="W10" s="14" t="s">
        <v>26</v>
      </c>
      <c r="X10" s="14"/>
    </row>
    <row r="11" s="1" customFormat="1" ht="12.949999999999999" customHeight="1">
      <c r="A11" s="15" t="s">
        <v>27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 t="s">
        <v>28</v>
      </c>
      <c r="M11" s="15"/>
      <c r="N11" s="15" t="s">
        <v>29</v>
      </c>
      <c r="O11" s="15"/>
      <c r="P11" s="16" t="s">
        <v>30</v>
      </c>
      <c r="Q11" s="16"/>
      <c r="R11" s="16"/>
      <c r="S11" s="16" t="s">
        <v>31</v>
      </c>
      <c r="T11" s="16"/>
      <c r="U11" s="16"/>
      <c r="V11" s="16"/>
      <c r="W11" s="17" t="s">
        <v>32</v>
      </c>
      <c r="X11" s="17"/>
    </row>
    <row r="12" s="1" customFormat="1" ht="14.1" customHeight="1">
      <c r="A12" s="18" t="s">
        <v>33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9" t="s">
        <v>34</v>
      </c>
      <c r="M12" s="19"/>
      <c r="N12" s="19" t="s">
        <v>35</v>
      </c>
      <c r="O12" s="19"/>
      <c r="P12" s="20">
        <f>93006500</f>
        <v>93006500</v>
      </c>
      <c r="Q12" s="20"/>
      <c r="R12" s="20"/>
      <c r="S12" s="20">
        <f>49891231.299999997</f>
        <v>49891231.299999997</v>
      </c>
      <c r="T12" s="20"/>
      <c r="U12" s="20"/>
      <c r="V12" s="20"/>
      <c r="W12" s="21">
        <f>43115268.700000003</f>
        <v>43115268.700000003</v>
      </c>
      <c r="X12" s="21"/>
    </row>
    <row r="13" s="1" customFormat="1" ht="66" customHeight="1">
      <c r="A13" s="22" t="s">
        <v>36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3" t="s">
        <v>34</v>
      </c>
      <c r="M13" s="23"/>
      <c r="N13" s="23" t="s">
        <v>37</v>
      </c>
      <c r="O13" s="23"/>
      <c r="P13" s="24">
        <f>4470000</f>
        <v>4470000</v>
      </c>
      <c r="Q13" s="24"/>
      <c r="R13" s="24"/>
      <c r="S13" s="24">
        <f>3301526.2200000002</f>
        <v>3301526.2200000002</v>
      </c>
      <c r="T13" s="24"/>
      <c r="U13" s="24"/>
      <c r="V13" s="24"/>
      <c r="W13" s="25">
        <f>1168473.78</f>
        <v>1168473.78</v>
      </c>
      <c r="X13" s="25"/>
    </row>
    <row r="14" s="1" customFormat="1" ht="75.950000000000003" customHeight="1">
      <c r="A14" s="22" t="s">
        <v>38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 t="s">
        <v>34</v>
      </c>
      <c r="M14" s="23"/>
      <c r="N14" s="23" t="s">
        <v>39</v>
      </c>
      <c r="O14" s="23"/>
      <c r="P14" s="24">
        <f>23600</f>
        <v>23600</v>
      </c>
      <c r="Q14" s="24"/>
      <c r="R14" s="24"/>
      <c r="S14" s="24">
        <f>19088.869999999999</f>
        <v>19088.869999999999</v>
      </c>
      <c r="T14" s="24"/>
      <c r="U14" s="24"/>
      <c r="V14" s="24"/>
      <c r="W14" s="25">
        <f>4511.1300000000001</f>
        <v>4511.1300000000001</v>
      </c>
      <c r="X14" s="25"/>
    </row>
    <row r="15" s="1" customFormat="1" ht="66" customHeight="1">
      <c r="A15" s="22" t="s">
        <v>40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3" t="s">
        <v>34</v>
      </c>
      <c r="M15" s="23"/>
      <c r="N15" s="23" t="s">
        <v>41</v>
      </c>
      <c r="O15" s="23"/>
      <c r="P15" s="24">
        <f>5490000</f>
        <v>5490000</v>
      </c>
      <c r="Q15" s="24"/>
      <c r="R15" s="24"/>
      <c r="S15" s="24">
        <f>3791146.5899999999</f>
        <v>3791146.5899999999</v>
      </c>
      <c r="T15" s="24"/>
      <c r="U15" s="24"/>
      <c r="V15" s="24"/>
      <c r="W15" s="25">
        <f>1698853.4099999999</f>
        <v>1698853.4099999999</v>
      </c>
      <c r="X15" s="25"/>
    </row>
    <row r="16" s="1" customFormat="1" ht="66" customHeight="1">
      <c r="A16" s="22" t="s">
        <v>42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3" t="s">
        <v>34</v>
      </c>
      <c r="M16" s="23"/>
      <c r="N16" s="23" t="s">
        <v>43</v>
      </c>
      <c r="O16" s="23"/>
      <c r="P16" s="24">
        <f>-600000</f>
        <v>-600000</v>
      </c>
      <c r="Q16" s="24"/>
      <c r="R16" s="24"/>
      <c r="S16" s="24">
        <f>-384353.57000000001</f>
        <v>-384353.57000000001</v>
      </c>
      <c r="T16" s="24"/>
      <c r="U16" s="24"/>
      <c r="V16" s="24"/>
      <c r="W16" s="25">
        <f>-215646.42999999999</f>
        <v>-215646.42999999999</v>
      </c>
      <c r="X16" s="25"/>
    </row>
    <row r="17" s="1" customFormat="1" ht="45" customHeight="1">
      <c r="A17" s="22" t="s">
        <v>44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3" t="s">
        <v>34</v>
      </c>
      <c r="M17" s="23"/>
      <c r="N17" s="23" t="s">
        <v>45</v>
      </c>
      <c r="O17" s="23"/>
      <c r="P17" s="24">
        <f>7913000</f>
        <v>7913000</v>
      </c>
      <c r="Q17" s="24"/>
      <c r="R17" s="24"/>
      <c r="S17" s="24">
        <f>4676503.5300000003</f>
        <v>4676503.5300000003</v>
      </c>
      <c r="T17" s="24"/>
      <c r="U17" s="24"/>
      <c r="V17" s="24"/>
      <c r="W17" s="25">
        <f>3236496.4700000002</f>
        <v>3236496.4700000002</v>
      </c>
      <c r="X17" s="25"/>
    </row>
    <row r="18" s="1" customFormat="1" ht="45" customHeight="1">
      <c r="A18" s="22" t="s">
        <v>44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 t="s">
        <v>34</v>
      </c>
      <c r="M18" s="23"/>
      <c r="N18" s="23" t="s">
        <v>46</v>
      </c>
      <c r="O18" s="23"/>
      <c r="P18" s="26" t="s">
        <v>47</v>
      </c>
      <c r="Q18" s="26"/>
      <c r="R18" s="26"/>
      <c r="S18" s="24">
        <f>246.40000000000001</f>
        <v>246.40000000000001</v>
      </c>
      <c r="T18" s="24"/>
      <c r="U18" s="24"/>
      <c r="V18" s="24"/>
      <c r="W18" s="27" t="s">
        <v>47</v>
      </c>
      <c r="X18" s="27"/>
    </row>
    <row r="19" s="1" customFormat="1" ht="45" customHeight="1">
      <c r="A19" s="22" t="s">
        <v>44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3" t="s">
        <v>34</v>
      </c>
      <c r="M19" s="23"/>
      <c r="N19" s="23" t="s">
        <v>48</v>
      </c>
      <c r="O19" s="23"/>
      <c r="P19" s="26" t="s">
        <v>47</v>
      </c>
      <c r="Q19" s="26"/>
      <c r="R19" s="26"/>
      <c r="S19" s="24">
        <f>298.16000000000003</f>
        <v>298.16000000000003</v>
      </c>
      <c r="T19" s="24"/>
      <c r="U19" s="24"/>
      <c r="V19" s="24"/>
      <c r="W19" s="27" t="s">
        <v>47</v>
      </c>
      <c r="X19" s="27"/>
    </row>
    <row r="20" s="1" customFormat="1" ht="45" customHeight="1">
      <c r="A20" s="22" t="s">
        <v>44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3" t="s">
        <v>34</v>
      </c>
      <c r="M20" s="23"/>
      <c r="N20" s="23" t="s">
        <v>49</v>
      </c>
      <c r="O20" s="23"/>
      <c r="P20" s="26" t="s">
        <v>47</v>
      </c>
      <c r="Q20" s="26"/>
      <c r="R20" s="26"/>
      <c r="S20" s="24">
        <f>-250.34999999999999</f>
        <v>-250.34999999999999</v>
      </c>
      <c r="T20" s="24"/>
      <c r="U20" s="24"/>
      <c r="V20" s="24"/>
      <c r="W20" s="27" t="s">
        <v>47</v>
      </c>
      <c r="X20" s="27"/>
    </row>
    <row r="21" s="1" customFormat="1" ht="66" customHeight="1">
      <c r="A21" s="22" t="s">
        <v>50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3" t="s">
        <v>34</v>
      </c>
      <c r="M21" s="23"/>
      <c r="N21" s="23" t="s">
        <v>51</v>
      </c>
      <c r="O21" s="23"/>
      <c r="P21" s="24">
        <f>5000</f>
        <v>5000</v>
      </c>
      <c r="Q21" s="24"/>
      <c r="R21" s="24"/>
      <c r="S21" s="24">
        <f>90965.550000000003</f>
        <v>90965.550000000003</v>
      </c>
      <c r="T21" s="24"/>
      <c r="U21" s="24"/>
      <c r="V21" s="24"/>
      <c r="W21" s="27" t="s">
        <v>47</v>
      </c>
      <c r="X21" s="27"/>
    </row>
    <row r="22" s="1" customFormat="1" ht="66" customHeight="1">
      <c r="A22" s="22" t="s">
        <v>50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 t="s">
        <v>34</v>
      </c>
      <c r="M22" s="23"/>
      <c r="N22" s="23" t="s">
        <v>52</v>
      </c>
      <c r="O22" s="23"/>
      <c r="P22" s="26" t="s">
        <v>47</v>
      </c>
      <c r="Q22" s="26"/>
      <c r="R22" s="26"/>
      <c r="S22" s="24">
        <f>24.350000000000001</f>
        <v>24.350000000000001</v>
      </c>
      <c r="T22" s="24"/>
      <c r="U22" s="24"/>
      <c r="V22" s="24"/>
      <c r="W22" s="27" t="s">
        <v>47</v>
      </c>
      <c r="X22" s="27"/>
    </row>
    <row r="23" s="1" customFormat="1" ht="66" customHeight="1">
      <c r="A23" s="22" t="s">
        <v>50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3" t="s">
        <v>34</v>
      </c>
      <c r="M23" s="23"/>
      <c r="N23" s="23" t="s">
        <v>53</v>
      </c>
      <c r="O23" s="23"/>
      <c r="P23" s="26" t="s">
        <v>47</v>
      </c>
      <c r="Q23" s="26"/>
      <c r="R23" s="26"/>
      <c r="S23" s="24">
        <f>450</f>
        <v>450</v>
      </c>
      <c r="T23" s="24"/>
      <c r="U23" s="24"/>
      <c r="V23" s="24"/>
      <c r="W23" s="27" t="s">
        <v>47</v>
      </c>
      <c r="X23" s="27"/>
    </row>
    <row r="24" s="1" customFormat="1" ht="24" customHeight="1">
      <c r="A24" s="22" t="s">
        <v>54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3" t="s">
        <v>34</v>
      </c>
      <c r="M24" s="23"/>
      <c r="N24" s="23" t="s">
        <v>55</v>
      </c>
      <c r="O24" s="23"/>
      <c r="P24" s="24">
        <f>80000</f>
        <v>80000</v>
      </c>
      <c r="Q24" s="24"/>
      <c r="R24" s="24"/>
      <c r="S24" s="24">
        <f>153950.14999999999</f>
        <v>153950.14999999999</v>
      </c>
      <c r="T24" s="24"/>
      <c r="U24" s="24"/>
      <c r="V24" s="24"/>
      <c r="W24" s="27" t="s">
        <v>47</v>
      </c>
      <c r="X24" s="27"/>
    </row>
    <row r="25" s="1" customFormat="1" ht="24" customHeight="1">
      <c r="A25" s="22" t="s">
        <v>54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3" t="s">
        <v>34</v>
      </c>
      <c r="M25" s="23"/>
      <c r="N25" s="23" t="s">
        <v>56</v>
      </c>
      <c r="O25" s="23"/>
      <c r="P25" s="26" t="s">
        <v>47</v>
      </c>
      <c r="Q25" s="26"/>
      <c r="R25" s="26"/>
      <c r="S25" s="24">
        <f>1186.0799999999999</f>
        <v>1186.0799999999999</v>
      </c>
      <c r="T25" s="24"/>
      <c r="U25" s="24"/>
      <c r="V25" s="24"/>
      <c r="W25" s="27" t="s">
        <v>47</v>
      </c>
      <c r="X25" s="27"/>
    </row>
    <row r="26" s="1" customFormat="1" ht="24" customHeight="1">
      <c r="A26" s="22" t="s">
        <v>54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3" t="s">
        <v>34</v>
      </c>
      <c r="M26" s="23"/>
      <c r="N26" s="23" t="s">
        <v>57</v>
      </c>
      <c r="O26" s="23"/>
      <c r="P26" s="26" t="s">
        <v>47</v>
      </c>
      <c r="Q26" s="26"/>
      <c r="R26" s="26"/>
      <c r="S26" s="24">
        <f>51.299999999999997</f>
        <v>51.299999999999997</v>
      </c>
      <c r="T26" s="24"/>
      <c r="U26" s="24"/>
      <c r="V26" s="24"/>
      <c r="W26" s="27" t="s">
        <v>47</v>
      </c>
      <c r="X26" s="27"/>
    </row>
    <row r="27" s="1" customFormat="1" ht="54.950000000000003" customHeight="1">
      <c r="A27" s="22" t="s">
        <v>58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3" t="s">
        <v>34</v>
      </c>
      <c r="M27" s="23"/>
      <c r="N27" s="23" t="s">
        <v>59</v>
      </c>
      <c r="O27" s="23"/>
      <c r="P27" s="24">
        <f>2000</f>
        <v>2000</v>
      </c>
      <c r="Q27" s="24"/>
      <c r="R27" s="24"/>
      <c r="S27" s="24">
        <f>11520</f>
        <v>11520</v>
      </c>
      <c r="T27" s="24"/>
      <c r="U27" s="24"/>
      <c r="V27" s="24"/>
      <c r="W27" s="27" t="s">
        <v>47</v>
      </c>
      <c r="X27" s="27"/>
    </row>
    <row r="28" s="1" customFormat="1" ht="54.950000000000003" customHeight="1">
      <c r="A28" s="22" t="s">
        <v>60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3" t="s">
        <v>34</v>
      </c>
      <c r="M28" s="23"/>
      <c r="N28" s="23" t="s">
        <v>61</v>
      </c>
      <c r="O28" s="23"/>
      <c r="P28" s="26" t="s">
        <v>47</v>
      </c>
      <c r="Q28" s="26"/>
      <c r="R28" s="26"/>
      <c r="S28" s="24">
        <f>20449.610000000001</f>
        <v>20449.610000000001</v>
      </c>
      <c r="T28" s="24"/>
      <c r="U28" s="24"/>
      <c r="V28" s="24"/>
      <c r="W28" s="27" t="s">
        <v>47</v>
      </c>
      <c r="X28" s="27"/>
    </row>
    <row r="29" s="1" customFormat="1" ht="14.1" customHeight="1">
      <c r="A29" s="22" t="s">
        <v>62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3" t="s">
        <v>34</v>
      </c>
      <c r="M29" s="23"/>
      <c r="N29" s="23" t="s">
        <v>63</v>
      </c>
      <c r="O29" s="23"/>
      <c r="P29" s="24">
        <f>2700000</f>
        <v>2700000</v>
      </c>
      <c r="Q29" s="24"/>
      <c r="R29" s="24"/>
      <c r="S29" s="24">
        <f>3159752.3900000001</f>
        <v>3159752.3900000001</v>
      </c>
      <c r="T29" s="24"/>
      <c r="U29" s="24"/>
      <c r="V29" s="24"/>
      <c r="W29" s="27" t="s">
        <v>47</v>
      </c>
      <c r="X29" s="27"/>
    </row>
    <row r="30" s="1" customFormat="1" ht="14.1" customHeight="1">
      <c r="A30" s="22" t="s">
        <v>62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3" t="s">
        <v>34</v>
      </c>
      <c r="M30" s="23"/>
      <c r="N30" s="23" t="s">
        <v>64</v>
      </c>
      <c r="O30" s="23"/>
      <c r="P30" s="26" t="s">
        <v>47</v>
      </c>
      <c r="Q30" s="26"/>
      <c r="R30" s="26"/>
      <c r="S30" s="24">
        <f>96.620000000000005</f>
        <v>96.620000000000005</v>
      </c>
      <c r="T30" s="24"/>
      <c r="U30" s="24"/>
      <c r="V30" s="24"/>
      <c r="W30" s="27" t="s">
        <v>47</v>
      </c>
      <c r="X30" s="27"/>
    </row>
    <row r="31" s="1" customFormat="1" ht="33.950000000000003" customHeight="1">
      <c r="A31" s="22" t="s">
        <v>65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3" t="s">
        <v>34</v>
      </c>
      <c r="M31" s="23"/>
      <c r="N31" s="23" t="s">
        <v>66</v>
      </c>
      <c r="O31" s="23"/>
      <c r="P31" s="24">
        <f>2900000</f>
        <v>2900000</v>
      </c>
      <c r="Q31" s="24"/>
      <c r="R31" s="24"/>
      <c r="S31" s="24">
        <f>367414.04999999999</f>
        <v>367414.04999999999</v>
      </c>
      <c r="T31" s="24"/>
      <c r="U31" s="24"/>
      <c r="V31" s="24"/>
      <c r="W31" s="25">
        <f>2532585.9500000002</f>
        <v>2532585.9500000002</v>
      </c>
      <c r="X31" s="25"/>
    </row>
    <row r="32" s="1" customFormat="1" ht="33.950000000000003" customHeight="1">
      <c r="A32" s="22" t="s">
        <v>65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3" t="s">
        <v>34</v>
      </c>
      <c r="M32" s="23"/>
      <c r="N32" s="23" t="s">
        <v>67</v>
      </c>
      <c r="O32" s="23"/>
      <c r="P32" s="26" t="s">
        <v>47</v>
      </c>
      <c r="Q32" s="26"/>
      <c r="R32" s="26"/>
      <c r="S32" s="24">
        <f>12618.09</f>
        <v>12618.09</v>
      </c>
      <c r="T32" s="24"/>
      <c r="U32" s="24"/>
      <c r="V32" s="24"/>
      <c r="W32" s="27" t="s">
        <v>47</v>
      </c>
      <c r="X32" s="27"/>
    </row>
    <row r="33" s="1" customFormat="1" ht="24" customHeight="1">
      <c r="A33" s="22" t="s">
        <v>68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3" t="s">
        <v>34</v>
      </c>
      <c r="M33" s="23"/>
      <c r="N33" s="23" t="s">
        <v>69</v>
      </c>
      <c r="O33" s="23"/>
      <c r="P33" s="24">
        <f>3350000</f>
        <v>3350000</v>
      </c>
      <c r="Q33" s="24"/>
      <c r="R33" s="24"/>
      <c r="S33" s="24">
        <f>2517826.6299999999</f>
        <v>2517826.6299999999</v>
      </c>
      <c r="T33" s="24"/>
      <c r="U33" s="24"/>
      <c r="V33" s="24"/>
      <c r="W33" s="25">
        <f>832173.37</f>
        <v>832173.37</v>
      </c>
      <c r="X33" s="25"/>
    </row>
    <row r="34" s="1" customFormat="1" ht="24" customHeight="1">
      <c r="A34" s="22" t="s">
        <v>68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 t="s">
        <v>34</v>
      </c>
      <c r="M34" s="23"/>
      <c r="N34" s="23" t="s">
        <v>70</v>
      </c>
      <c r="O34" s="23"/>
      <c r="P34" s="26" t="s">
        <v>47</v>
      </c>
      <c r="Q34" s="26"/>
      <c r="R34" s="26"/>
      <c r="S34" s="24">
        <f>68170.270000000004</f>
        <v>68170.270000000004</v>
      </c>
      <c r="T34" s="24"/>
      <c r="U34" s="24"/>
      <c r="V34" s="24"/>
      <c r="W34" s="27" t="s">
        <v>47</v>
      </c>
      <c r="X34" s="27"/>
    </row>
    <row r="35" s="1" customFormat="1" ht="24" customHeight="1">
      <c r="A35" s="22" t="s">
        <v>68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3" t="s">
        <v>34</v>
      </c>
      <c r="M35" s="23"/>
      <c r="N35" s="23" t="s">
        <v>71</v>
      </c>
      <c r="O35" s="23"/>
      <c r="P35" s="26" t="s">
        <v>47</v>
      </c>
      <c r="Q35" s="26"/>
      <c r="R35" s="26"/>
      <c r="S35" s="24">
        <f>-3510.0100000000002</f>
        <v>-3510.0100000000002</v>
      </c>
      <c r="T35" s="24"/>
      <c r="U35" s="24"/>
      <c r="V35" s="24"/>
      <c r="W35" s="27" t="s">
        <v>47</v>
      </c>
      <c r="X35" s="27"/>
    </row>
    <row r="36" s="1" customFormat="1" ht="24" customHeight="1">
      <c r="A36" s="22" t="s">
        <v>72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3" t="s">
        <v>34</v>
      </c>
      <c r="M36" s="23"/>
      <c r="N36" s="23" t="s">
        <v>73</v>
      </c>
      <c r="O36" s="23"/>
      <c r="P36" s="24">
        <f>5400000</f>
        <v>5400000</v>
      </c>
      <c r="Q36" s="24"/>
      <c r="R36" s="24"/>
      <c r="S36" s="24">
        <f>-207495.70999999999</f>
        <v>-207495.70999999999</v>
      </c>
      <c r="T36" s="24"/>
      <c r="U36" s="24"/>
      <c r="V36" s="24"/>
      <c r="W36" s="25">
        <f>5607495.71</f>
        <v>5607495.71</v>
      </c>
      <c r="X36" s="25"/>
    </row>
    <row r="37" s="1" customFormat="1" ht="24" customHeight="1">
      <c r="A37" s="22" t="s">
        <v>72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3" t="s">
        <v>34</v>
      </c>
      <c r="M37" s="23"/>
      <c r="N37" s="23" t="s">
        <v>74</v>
      </c>
      <c r="O37" s="23"/>
      <c r="P37" s="26" t="s">
        <v>47</v>
      </c>
      <c r="Q37" s="26"/>
      <c r="R37" s="26"/>
      <c r="S37" s="24">
        <f>29529.459999999999</f>
        <v>29529.459999999999</v>
      </c>
      <c r="T37" s="24"/>
      <c r="U37" s="24"/>
      <c r="V37" s="24"/>
      <c r="W37" s="27" t="s">
        <v>47</v>
      </c>
      <c r="X37" s="27"/>
    </row>
    <row r="38" s="1" customFormat="1" ht="24" customHeight="1">
      <c r="A38" s="22" t="s">
        <v>75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3" t="s">
        <v>34</v>
      </c>
      <c r="M38" s="23"/>
      <c r="N38" s="23" t="s">
        <v>76</v>
      </c>
      <c r="O38" s="23"/>
      <c r="P38" s="26" t="s">
        <v>47</v>
      </c>
      <c r="Q38" s="26"/>
      <c r="R38" s="26"/>
      <c r="S38" s="24">
        <f>-466.23000000000002</f>
        <v>-466.23000000000002</v>
      </c>
      <c r="T38" s="24"/>
      <c r="U38" s="24"/>
      <c r="V38" s="24"/>
      <c r="W38" s="27" t="s">
        <v>47</v>
      </c>
      <c r="X38" s="27"/>
    </row>
    <row r="39" s="1" customFormat="1" ht="66" customHeight="1">
      <c r="A39" s="22" t="s">
        <v>77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 t="s">
        <v>34</v>
      </c>
      <c r="M39" s="23"/>
      <c r="N39" s="23" t="s">
        <v>78</v>
      </c>
      <c r="O39" s="23"/>
      <c r="P39" s="26" t="s">
        <v>47</v>
      </c>
      <c r="Q39" s="26"/>
      <c r="R39" s="26"/>
      <c r="S39" s="24">
        <f>15000</f>
        <v>15000</v>
      </c>
      <c r="T39" s="24"/>
      <c r="U39" s="24"/>
      <c r="V39" s="24"/>
      <c r="W39" s="27" t="s">
        <v>47</v>
      </c>
      <c r="X39" s="27"/>
    </row>
    <row r="40" s="1" customFormat="1" ht="45" customHeight="1">
      <c r="A40" s="22" t="s">
        <v>79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 t="s">
        <v>34</v>
      </c>
      <c r="M40" s="23"/>
      <c r="N40" s="23" t="s">
        <v>80</v>
      </c>
      <c r="O40" s="23"/>
      <c r="P40" s="26" t="s">
        <v>47</v>
      </c>
      <c r="Q40" s="26"/>
      <c r="R40" s="26"/>
      <c r="S40" s="24">
        <f>734694</f>
        <v>734694</v>
      </c>
      <c r="T40" s="24"/>
      <c r="U40" s="24"/>
      <c r="V40" s="24"/>
      <c r="W40" s="27" t="s">
        <v>47</v>
      </c>
      <c r="X40" s="27"/>
    </row>
    <row r="41" s="1" customFormat="1" ht="33.950000000000003" customHeight="1">
      <c r="A41" s="22" t="s">
        <v>81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3" t="s">
        <v>34</v>
      </c>
      <c r="M41" s="23"/>
      <c r="N41" s="23" t="s">
        <v>82</v>
      </c>
      <c r="O41" s="23"/>
      <c r="P41" s="24">
        <f>63900</f>
        <v>63900</v>
      </c>
      <c r="Q41" s="24"/>
      <c r="R41" s="24"/>
      <c r="S41" s="24">
        <f>74233.360000000001</f>
        <v>74233.360000000001</v>
      </c>
      <c r="T41" s="24"/>
      <c r="U41" s="24"/>
      <c r="V41" s="24"/>
      <c r="W41" s="27" t="s">
        <v>47</v>
      </c>
      <c r="X41" s="27"/>
    </row>
    <row r="42" s="1" customFormat="1" ht="33.950000000000003" customHeight="1">
      <c r="A42" s="22" t="s">
        <v>83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3" t="s">
        <v>34</v>
      </c>
      <c r="M42" s="23"/>
      <c r="N42" s="23" t="s">
        <v>84</v>
      </c>
      <c r="O42" s="23"/>
      <c r="P42" s="24">
        <f>0</f>
        <v>0</v>
      </c>
      <c r="Q42" s="24"/>
      <c r="R42" s="24"/>
      <c r="S42" s="26" t="s">
        <v>47</v>
      </c>
      <c r="T42" s="26"/>
      <c r="U42" s="26"/>
      <c r="V42" s="26"/>
      <c r="W42" s="27" t="s">
        <v>47</v>
      </c>
      <c r="X42" s="27"/>
    </row>
    <row r="43" s="1" customFormat="1" ht="24" customHeight="1">
      <c r="A43" s="22" t="s">
        <v>85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3" t="s">
        <v>34</v>
      </c>
      <c r="M43" s="23"/>
      <c r="N43" s="23" t="s">
        <v>86</v>
      </c>
      <c r="O43" s="23"/>
      <c r="P43" s="24">
        <f>950000</f>
        <v>950000</v>
      </c>
      <c r="Q43" s="24"/>
      <c r="R43" s="24"/>
      <c r="S43" s="24">
        <f>822673.16000000003</f>
        <v>822673.16000000003</v>
      </c>
      <c r="T43" s="24"/>
      <c r="U43" s="24"/>
      <c r="V43" s="24"/>
      <c r="W43" s="25">
        <f>127326.84</f>
        <v>127326.84</v>
      </c>
      <c r="X43" s="25"/>
    </row>
    <row r="44" s="1" customFormat="1" ht="14.1" customHeight="1">
      <c r="A44" s="22" t="s">
        <v>87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3" t="s">
        <v>34</v>
      </c>
      <c r="M44" s="23"/>
      <c r="N44" s="23" t="s">
        <v>88</v>
      </c>
      <c r="O44" s="23"/>
      <c r="P44" s="26" t="s">
        <v>47</v>
      </c>
      <c r="Q44" s="26"/>
      <c r="R44" s="26"/>
      <c r="S44" s="24">
        <f>85679.449999999997</f>
        <v>85679.449999999997</v>
      </c>
      <c r="T44" s="24"/>
      <c r="U44" s="24"/>
      <c r="V44" s="24"/>
      <c r="W44" s="27" t="s">
        <v>47</v>
      </c>
      <c r="X44" s="27"/>
    </row>
    <row r="45" s="1" customFormat="1" ht="33.950000000000003" customHeight="1">
      <c r="A45" s="22" t="s">
        <v>89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3" t="s">
        <v>34</v>
      </c>
      <c r="M45" s="23"/>
      <c r="N45" s="23" t="s">
        <v>90</v>
      </c>
      <c r="O45" s="23"/>
      <c r="P45" s="24">
        <f>5000000</f>
        <v>5000000</v>
      </c>
      <c r="Q45" s="24"/>
      <c r="R45" s="24"/>
      <c r="S45" s="26" t="s">
        <v>47</v>
      </c>
      <c r="T45" s="26"/>
      <c r="U45" s="26"/>
      <c r="V45" s="26"/>
      <c r="W45" s="25">
        <f>5000000</f>
        <v>5000000</v>
      </c>
      <c r="X45" s="25"/>
    </row>
    <row r="46" s="1" customFormat="1" ht="45" customHeight="1">
      <c r="A46" s="22" t="s">
        <v>91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3" t="s">
        <v>34</v>
      </c>
      <c r="M46" s="23"/>
      <c r="N46" s="23" t="s">
        <v>92</v>
      </c>
      <c r="O46" s="23"/>
      <c r="P46" s="26" t="s">
        <v>47</v>
      </c>
      <c r="Q46" s="26"/>
      <c r="R46" s="26"/>
      <c r="S46" s="24">
        <f>17000</f>
        <v>17000</v>
      </c>
      <c r="T46" s="24"/>
      <c r="U46" s="24"/>
      <c r="V46" s="24"/>
      <c r="W46" s="27" t="s">
        <v>47</v>
      </c>
      <c r="X46" s="27"/>
    </row>
    <row r="47" s="1" customFormat="1" ht="45" customHeight="1">
      <c r="A47" s="22" t="s">
        <v>93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3" t="s">
        <v>34</v>
      </c>
      <c r="M47" s="23"/>
      <c r="N47" s="23" t="s">
        <v>94</v>
      </c>
      <c r="O47" s="23"/>
      <c r="P47" s="26" t="s">
        <v>47</v>
      </c>
      <c r="Q47" s="26"/>
      <c r="R47" s="26"/>
      <c r="S47" s="24">
        <f>4610.9200000000001</f>
        <v>4610.9200000000001</v>
      </c>
      <c r="T47" s="24"/>
      <c r="U47" s="24"/>
      <c r="V47" s="24"/>
      <c r="W47" s="27" t="s">
        <v>47</v>
      </c>
      <c r="X47" s="27"/>
    </row>
    <row r="48" s="1" customFormat="1" ht="24" customHeight="1">
      <c r="A48" s="22" t="s">
        <v>95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3" t="s">
        <v>34</v>
      </c>
      <c r="M48" s="23"/>
      <c r="N48" s="23" t="s">
        <v>96</v>
      </c>
      <c r="O48" s="23"/>
      <c r="P48" s="24">
        <f>9887200</f>
        <v>9887200</v>
      </c>
      <c r="Q48" s="24"/>
      <c r="R48" s="24"/>
      <c r="S48" s="24">
        <f>7415800</f>
        <v>7415800</v>
      </c>
      <c r="T48" s="24"/>
      <c r="U48" s="24"/>
      <c r="V48" s="24"/>
      <c r="W48" s="25">
        <f>2471400</f>
        <v>2471400</v>
      </c>
      <c r="X48" s="25"/>
    </row>
    <row r="49" s="1" customFormat="1" ht="24" customHeight="1">
      <c r="A49" s="22" t="s">
        <v>97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 t="s">
        <v>34</v>
      </c>
      <c r="M49" s="23"/>
      <c r="N49" s="23" t="s">
        <v>98</v>
      </c>
      <c r="O49" s="23"/>
      <c r="P49" s="24">
        <f>1711500</f>
        <v>1711500</v>
      </c>
      <c r="Q49" s="24"/>
      <c r="R49" s="24"/>
      <c r="S49" s="24">
        <f>1141100</f>
        <v>1141100</v>
      </c>
      <c r="T49" s="24"/>
      <c r="U49" s="24"/>
      <c r="V49" s="24"/>
      <c r="W49" s="25">
        <f>570400</f>
        <v>570400</v>
      </c>
      <c r="X49" s="25"/>
    </row>
    <row r="50" s="1" customFormat="1" ht="14.1" customHeight="1">
      <c r="A50" s="22" t="s">
        <v>99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3" t="s">
        <v>34</v>
      </c>
      <c r="M50" s="23"/>
      <c r="N50" s="23" t="s">
        <v>100</v>
      </c>
      <c r="O50" s="23"/>
      <c r="P50" s="24">
        <f>212500</f>
        <v>212500</v>
      </c>
      <c r="Q50" s="24"/>
      <c r="R50" s="24"/>
      <c r="S50" s="24">
        <f>212500</f>
        <v>212500</v>
      </c>
      <c r="T50" s="24"/>
      <c r="U50" s="24"/>
      <c r="V50" s="24"/>
      <c r="W50" s="25">
        <f>0</f>
        <v>0</v>
      </c>
      <c r="X50" s="25"/>
    </row>
    <row r="51" s="1" customFormat="1" ht="45" customHeight="1">
      <c r="A51" s="22" t="s">
        <v>101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3" t="s">
        <v>34</v>
      </c>
      <c r="M51" s="23"/>
      <c r="N51" s="23" t="s">
        <v>102</v>
      </c>
      <c r="O51" s="23"/>
      <c r="P51" s="24">
        <f>0</f>
        <v>0</v>
      </c>
      <c r="Q51" s="24"/>
      <c r="R51" s="24"/>
      <c r="S51" s="26" t="s">
        <v>47</v>
      </c>
      <c r="T51" s="26"/>
      <c r="U51" s="26"/>
      <c r="V51" s="26"/>
      <c r="W51" s="27" t="s">
        <v>47</v>
      </c>
      <c r="X51" s="27"/>
    </row>
    <row r="52" s="1" customFormat="1" ht="14.1" customHeight="1">
      <c r="A52" s="22" t="s">
        <v>103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3" t="s">
        <v>34</v>
      </c>
      <c r="M52" s="23"/>
      <c r="N52" s="23" t="s">
        <v>104</v>
      </c>
      <c r="O52" s="23"/>
      <c r="P52" s="24">
        <f>256400</f>
        <v>256400</v>
      </c>
      <c r="Q52" s="24"/>
      <c r="R52" s="24"/>
      <c r="S52" s="24">
        <f>256400</f>
        <v>256400</v>
      </c>
      <c r="T52" s="24"/>
      <c r="U52" s="24"/>
      <c r="V52" s="24"/>
      <c r="W52" s="25">
        <f>0</f>
        <v>0</v>
      </c>
      <c r="X52" s="25"/>
    </row>
    <row r="53" s="1" customFormat="1" ht="24" customHeight="1">
      <c r="A53" s="22" t="s">
        <v>105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3" t="s">
        <v>34</v>
      </c>
      <c r="M53" s="23"/>
      <c r="N53" s="23" t="s">
        <v>106</v>
      </c>
      <c r="O53" s="23"/>
      <c r="P53" s="24">
        <f>30922400</f>
        <v>30922400</v>
      </c>
      <c r="Q53" s="24"/>
      <c r="R53" s="24"/>
      <c r="S53" s="24">
        <f>10774930.779999999</f>
        <v>10774930.779999999</v>
      </c>
      <c r="T53" s="24"/>
      <c r="U53" s="24"/>
      <c r="V53" s="24"/>
      <c r="W53" s="25">
        <f>20147469.219999999</f>
        <v>20147469.219999999</v>
      </c>
      <c r="X53" s="25"/>
    </row>
    <row r="54" s="1" customFormat="1" ht="14.1" customHeight="1">
      <c r="A54" s="22" t="s">
        <v>107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3" t="s">
        <v>34</v>
      </c>
      <c r="M54" s="23"/>
      <c r="N54" s="23" t="s">
        <v>108</v>
      </c>
      <c r="O54" s="23"/>
      <c r="P54" s="24">
        <f>5768500</f>
        <v>5768500</v>
      </c>
      <c r="Q54" s="24"/>
      <c r="R54" s="24"/>
      <c r="S54" s="24">
        <f>4416477.0199999996</f>
        <v>4416477.0199999996</v>
      </c>
      <c r="T54" s="24"/>
      <c r="U54" s="24"/>
      <c r="V54" s="24"/>
      <c r="W54" s="25">
        <f>1352022.98</f>
        <v>1352022.98</v>
      </c>
      <c r="X54" s="25"/>
    </row>
    <row r="55" s="1" customFormat="1" ht="14.1" customHeight="1">
      <c r="A55" s="22" t="s">
        <v>109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3" t="s">
        <v>34</v>
      </c>
      <c r="M55" s="23"/>
      <c r="N55" s="23" t="s">
        <v>110</v>
      </c>
      <c r="O55" s="23"/>
      <c r="P55" s="24">
        <f>0</f>
        <v>0</v>
      </c>
      <c r="Q55" s="24"/>
      <c r="R55" s="24"/>
      <c r="S55" s="26" t="s">
        <v>47</v>
      </c>
      <c r="T55" s="26"/>
      <c r="U55" s="26"/>
      <c r="V55" s="26"/>
      <c r="W55" s="27" t="s">
        <v>47</v>
      </c>
      <c r="X55" s="27"/>
    </row>
    <row r="56" s="1" customFormat="1" ht="24" customHeight="1">
      <c r="A56" s="22" t="s">
        <v>111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3" t="s">
        <v>34</v>
      </c>
      <c r="M56" s="23"/>
      <c r="N56" s="23" t="s">
        <v>112</v>
      </c>
      <c r="O56" s="23"/>
      <c r="P56" s="24">
        <f>3800</f>
        <v>3800</v>
      </c>
      <c r="Q56" s="24"/>
      <c r="R56" s="24"/>
      <c r="S56" s="24">
        <f>3800</f>
        <v>3800</v>
      </c>
      <c r="T56" s="24"/>
      <c r="U56" s="24"/>
      <c r="V56" s="24"/>
      <c r="W56" s="25">
        <f>0</f>
        <v>0</v>
      </c>
      <c r="X56" s="25"/>
    </row>
    <row r="57" s="1" customFormat="1" ht="24" customHeight="1">
      <c r="A57" s="22" t="s">
        <v>113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3" t="s">
        <v>34</v>
      </c>
      <c r="M57" s="23"/>
      <c r="N57" s="23" t="s">
        <v>114</v>
      </c>
      <c r="O57" s="23"/>
      <c r="P57" s="24">
        <f>0</f>
        <v>0</v>
      </c>
      <c r="Q57" s="24"/>
      <c r="R57" s="24"/>
      <c r="S57" s="26" t="s">
        <v>47</v>
      </c>
      <c r="T57" s="26"/>
      <c r="U57" s="26"/>
      <c r="V57" s="26"/>
      <c r="W57" s="27" t="s">
        <v>47</v>
      </c>
      <c r="X57" s="27"/>
    </row>
    <row r="58" s="1" customFormat="1" ht="33.950000000000003" customHeight="1">
      <c r="A58" s="22" t="s">
        <v>115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3" t="s">
        <v>34</v>
      </c>
      <c r="M58" s="23"/>
      <c r="N58" s="23" t="s">
        <v>116</v>
      </c>
      <c r="O58" s="23"/>
      <c r="P58" s="24">
        <f>519800</f>
        <v>519800</v>
      </c>
      <c r="Q58" s="24"/>
      <c r="R58" s="24"/>
      <c r="S58" s="24">
        <f>312694.15999999997</f>
        <v>312694.15999999997</v>
      </c>
      <c r="T58" s="24"/>
      <c r="U58" s="24"/>
      <c r="V58" s="24"/>
      <c r="W58" s="25">
        <f>207105.84</f>
        <v>207105.84</v>
      </c>
      <c r="X58" s="25"/>
    </row>
    <row r="59" s="1" customFormat="1" ht="24" customHeight="1">
      <c r="A59" s="22" t="s">
        <v>117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3" t="s">
        <v>34</v>
      </c>
      <c r="M59" s="23"/>
      <c r="N59" s="23" t="s">
        <v>118</v>
      </c>
      <c r="O59" s="23"/>
      <c r="P59" s="24">
        <f>5976900</f>
        <v>5976900</v>
      </c>
      <c r="Q59" s="24"/>
      <c r="R59" s="24"/>
      <c r="S59" s="24">
        <f>5976900</f>
        <v>5976900</v>
      </c>
      <c r="T59" s="24"/>
      <c r="U59" s="24"/>
      <c r="V59" s="24"/>
      <c r="W59" s="25">
        <f>0</f>
        <v>0</v>
      </c>
      <c r="X59" s="25"/>
    </row>
    <row r="60" s="1" customFormat="1" ht="54.950000000000003" customHeight="1">
      <c r="A60" s="22" t="s">
        <v>119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3" t="s">
        <v>34</v>
      </c>
      <c r="M60" s="23"/>
      <c r="N60" s="23" t="s">
        <v>120</v>
      </c>
      <c r="O60" s="23"/>
      <c r="P60" s="26" t="s">
        <v>47</v>
      </c>
      <c r="Q60" s="26"/>
      <c r="R60" s="26"/>
      <c r="S60" s="24">
        <f>0</f>
        <v>0</v>
      </c>
      <c r="T60" s="24"/>
      <c r="U60" s="24"/>
      <c r="V60" s="24"/>
      <c r="W60" s="27" t="s">
        <v>47</v>
      </c>
      <c r="X60" s="27"/>
    </row>
    <row r="61" s="1" customFormat="1" ht="14.1" customHeight="1">
      <c r="A61" s="28" t="s">
        <v>9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</row>
    <row r="62" s="1" customFormat="1" ht="14.1" customHeight="1">
      <c r="A62" s="11" t="s">
        <v>121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="1" customFormat="1" ht="35.100000000000001" customHeight="1">
      <c r="A63" s="12" t="s">
        <v>21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 t="s">
        <v>22</v>
      </c>
      <c r="M63" s="12"/>
      <c r="N63" s="12" t="s">
        <v>122</v>
      </c>
      <c r="O63" s="12"/>
      <c r="P63" s="13" t="s">
        <v>24</v>
      </c>
      <c r="Q63" s="13"/>
      <c r="R63" s="13"/>
      <c r="S63" s="13" t="s">
        <v>25</v>
      </c>
      <c r="T63" s="13"/>
      <c r="U63" s="13"/>
      <c r="V63" s="13"/>
      <c r="W63" s="14" t="s">
        <v>26</v>
      </c>
      <c r="X63" s="14"/>
    </row>
    <row r="64" s="1" customFormat="1" ht="14.1" customHeight="1">
      <c r="A64" s="15" t="s">
        <v>27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 t="s">
        <v>28</v>
      </c>
      <c r="M64" s="15"/>
      <c r="N64" s="15" t="s">
        <v>29</v>
      </c>
      <c r="O64" s="15"/>
      <c r="P64" s="16" t="s">
        <v>30</v>
      </c>
      <c r="Q64" s="16"/>
      <c r="R64" s="16"/>
      <c r="S64" s="16" t="s">
        <v>31</v>
      </c>
      <c r="T64" s="16"/>
      <c r="U64" s="16"/>
      <c r="V64" s="16"/>
      <c r="W64" s="17" t="s">
        <v>32</v>
      </c>
      <c r="X64" s="17"/>
    </row>
    <row r="65" s="1" customFormat="1" ht="14.1" customHeight="1">
      <c r="A65" s="18" t="s">
        <v>123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9" t="s">
        <v>124</v>
      </c>
      <c r="M65" s="19"/>
      <c r="N65" s="19" t="s">
        <v>35</v>
      </c>
      <c r="O65" s="19"/>
      <c r="P65" s="20">
        <f>96494406.189999998</f>
        <v>96494406.189999998</v>
      </c>
      <c r="Q65" s="20"/>
      <c r="R65" s="20"/>
      <c r="S65" s="20">
        <f>47764818.710000001</f>
        <v>47764818.710000001</v>
      </c>
      <c r="T65" s="20"/>
      <c r="U65" s="20"/>
      <c r="V65" s="20"/>
      <c r="W65" s="21">
        <f>48729587.479999997</f>
        <v>48729587.479999997</v>
      </c>
      <c r="X65" s="21"/>
    </row>
    <row r="66" s="1" customFormat="1" ht="14.1" customHeight="1">
      <c r="A66" s="29" t="s">
        <v>125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30" t="s">
        <v>124</v>
      </c>
      <c r="M66" s="30"/>
      <c r="N66" s="30" t="s">
        <v>126</v>
      </c>
      <c r="O66" s="30"/>
      <c r="P66" s="31">
        <f>247000</f>
        <v>247000</v>
      </c>
      <c r="Q66" s="31"/>
      <c r="R66" s="31"/>
      <c r="S66" s="31">
        <f>165250</f>
        <v>165250</v>
      </c>
      <c r="T66" s="31"/>
      <c r="U66" s="31"/>
      <c r="V66" s="31"/>
      <c r="W66" s="32">
        <f>81750</f>
        <v>81750</v>
      </c>
      <c r="X66" s="32"/>
    </row>
    <row r="67" s="1" customFormat="1" ht="14.1" customHeight="1">
      <c r="A67" s="29" t="s">
        <v>127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30" t="s">
        <v>124</v>
      </c>
      <c r="M67" s="30"/>
      <c r="N67" s="30" t="s">
        <v>128</v>
      </c>
      <c r="O67" s="30"/>
      <c r="P67" s="31">
        <f>900200</f>
        <v>900200</v>
      </c>
      <c r="Q67" s="31"/>
      <c r="R67" s="31"/>
      <c r="S67" s="31">
        <f>484442.17999999999</f>
        <v>484442.17999999999</v>
      </c>
      <c r="T67" s="31"/>
      <c r="U67" s="31"/>
      <c r="V67" s="31"/>
      <c r="W67" s="32">
        <f>415757.82000000001</f>
        <v>415757.82000000001</v>
      </c>
      <c r="X67" s="32"/>
    </row>
    <row r="68" s="1" customFormat="1" ht="33.950000000000003" customHeight="1">
      <c r="A68" s="29" t="s">
        <v>129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30" t="s">
        <v>124</v>
      </c>
      <c r="M68" s="30"/>
      <c r="N68" s="30" t="s">
        <v>130</v>
      </c>
      <c r="O68" s="30"/>
      <c r="P68" s="31">
        <f>271800</f>
        <v>271800</v>
      </c>
      <c r="Q68" s="31"/>
      <c r="R68" s="31"/>
      <c r="S68" s="31">
        <f>136232.60000000001</f>
        <v>136232.60000000001</v>
      </c>
      <c r="T68" s="31"/>
      <c r="U68" s="31"/>
      <c r="V68" s="31"/>
      <c r="W68" s="32">
        <f>135567.39999999999</f>
        <v>135567.39999999999</v>
      </c>
      <c r="X68" s="32"/>
    </row>
    <row r="69" s="1" customFormat="1" ht="14.1" customHeight="1">
      <c r="A69" s="29" t="s">
        <v>127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30" t="s">
        <v>124</v>
      </c>
      <c r="M69" s="30"/>
      <c r="N69" s="30" t="s">
        <v>131</v>
      </c>
      <c r="O69" s="30"/>
      <c r="P69" s="31">
        <f>4083200</f>
        <v>4083200</v>
      </c>
      <c r="Q69" s="31"/>
      <c r="R69" s="31"/>
      <c r="S69" s="31">
        <f>2240660.5</f>
        <v>2240660.5</v>
      </c>
      <c r="T69" s="31"/>
      <c r="U69" s="31"/>
      <c r="V69" s="31"/>
      <c r="W69" s="32">
        <f>1842539.5</f>
        <v>1842539.5</v>
      </c>
      <c r="X69" s="32"/>
    </row>
    <row r="70" s="1" customFormat="1" ht="33.950000000000003" customHeight="1">
      <c r="A70" s="29" t="s">
        <v>129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30" t="s">
        <v>124</v>
      </c>
      <c r="M70" s="30"/>
      <c r="N70" s="30" t="s">
        <v>132</v>
      </c>
      <c r="O70" s="30"/>
      <c r="P70" s="31">
        <f>1233100</f>
        <v>1233100</v>
      </c>
      <c r="Q70" s="31"/>
      <c r="R70" s="31"/>
      <c r="S70" s="31">
        <f>633217.46999999997</f>
        <v>633217.46999999997</v>
      </c>
      <c r="T70" s="31"/>
      <c r="U70" s="31"/>
      <c r="V70" s="31"/>
      <c r="W70" s="32">
        <f>599882.53000000003</f>
        <v>599882.53000000003</v>
      </c>
      <c r="X70" s="32"/>
    </row>
    <row r="71" s="1" customFormat="1" ht="14.1" customHeight="1">
      <c r="A71" s="29" t="s">
        <v>133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30" t="s">
        <v>124</v>
      </c>
      <c r="M71" s="30"/>
      <c r="N71" s="30" t="s">
        <v>134</v>
      </c>
      <c r="O71" s="30"/>
      <c r="P71" s="31">
        <f>736200</f>
        <v>736200</v>
      </c>
      <c r="Q71" s="31"/>
      <c r="R71" s="31"/>
      <c r="S71" s="31">
        <f>437712.52000000002</f>
        <v>437712.52000000002</v>
      </c>
      <c r="T71" s="31"/>
      <c r="U71" s="31"/>
      <c r="V71" s="31"/>
      <c r="W71" s="32">
        <f>298487.47999999998</f>
        <v>298487.47999999998</v>
      </c>
      <c r="X71" s="32"/>
    </row>
    <row r="72" s="1" customFormat="1" ht="14.1" customHeight="1">
      <c r="A72" s="29" t="s">
        <v>135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30" t="s">
        <v>124</v>
      </c>
      <c r="M72" s="30"/>
      <c r="N72" s="30" t="s">
        <v>136</v>
      </c>
      <c r="O72" s="30"/>
      <c r="P72" s="31">
        <f>715100</f>
        <v>715100</v>
      </c>
      <c r="Q72" s="31"/>
      <c r="R72" s="31"/>
      <c r="S72" s="31">
        <f>415724.09000000003</f>
        <v>415724.09000000003</v>
      </c>
      <c r="T72" s="31"/>
      <c r="U72" s="31"/>
      <c r="V72" s="31"/>
      <c r="W72" s="32">
        <f>299375.90999999997</f>
        <v>299375.90999999997</v>
      </c>
      <c r="X72" s="32"/>
    </row>
    <row r="73" s="1" customFormat="1" ht="14.1" customHeight="1">
      <c r="A73" s="29" t="s">
        <v>137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30" t="s">
        <v>124</v>
      </c>
      <c r="M73" s="30"/>
      <c r="N73" s="30" t="s">
        <v>138</v>
      </c>
      <c r="O73" s="30"/>
      <c r="P73" s="31">
        <f>5000</f>
        <v>5000</v>
      </c>
      <c r="Q73" s="31"/>
      <c r="R73" s="31"/>
      <c r="S73" s="31">
        <f>1596</f>
        <v>1596</v>
      </c>
      <c r="T73" s="31"/>
      <c r="U73" s="31"/>
      <c r="V73" s="31"/>
      <c r="W73" s="32">
        <f>3404</f>
        <v>3404</v>
      </c>
      <c r="X73" s="32"/>
    </row>
    <row r="74" s="1" customFormat="1" ht="14.1" customHeight="1">
      <c r="A74" s="29" t="s">
        <v>139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30" t="s">
        <v>124</v>
      </c>
      <c r="M74" s="30"/>
      <c r="N74" s="30" t="s">
        <v>140</v>
      </c>
      <c r="O74" s="30"/>
      <c r="P74" s="31">
        <f>8000</f>
        <v>8000</v>
      </c>
      <c r="Q74" s="31"/>
      <c r="R74" s="31"/>
      <c r="S74" s="31">
        <f>7707.71</f>
        <v>7707.71</v>
      </c>
      <c r="T74" s="31"/>
      <c r="U74" s="31"/>
      <c r="V74" s="31"/>
      <c r="W74" s="32">
        <f>292.29000000000002</f>
        <v>292.29000000000002</v>
      </c>
      <c r="X74" s="32"/>
    </row>
    <row r="75" s="1" customFormat="1" ht="14.1" customHeight="1">
      <c r="A75" s="29" t="s">
        <v>141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30" t="s">
        <v>124</v>
      </c>
      <c r="M75" s="30"/>
      <c r="N75" s="30" t="s">
        <v>142</v>
      </c>
      <c r="O75" s="30"/>
      <c r="P75" s="31">
        <f>92000</f>
        <v>92000</v>
      </c>
      <c r="Q75" s="31"/>
      <c r="R75" s="31"/>
      <c r="S75" s="31">
        <f>88463.869999999995</f>
        <v>88463.869999999995</v>
      </c>
      <c r="T75" s="31"/>
      <c r="U75" s="31"/>
      <c r="V75" s="31"/>
      <c r="W75" s="32">
        <f>3536.1300000000001</f>
        <v>3536.1300000000001</v>
      </c>
      <c r="X75" s="32"/>
    </row>
    <row r="76" s="1" customFormat="1" ht="14.1" customHeight="1">
      <c r="A76" s="29" t="s">
        <v>125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30" t="s">
        <v>124</v>
      </c>
      <c r="M76" s="30"/>
      <c r="N76" s="30" t="s">
        <v>143</v>
      </c>
      <c r="O76" s="30"/>
      <c r="P76" s="31">
        <f>0</f>
        <v>0</v>
      </c>
      <c r="Q76" s="31"/>
      <c r="R76" s="31"/>
      <c r="S76" s="31">
        <f>0</f>
        <v>0</v>
      </c>
      <c r="T76" s="31"/>
      <c r="U76" s="31"/>
      <c r="V76" s="31"/>
      <c r="W76" s="33" t="s">
        <v>47</v>
      </c>
      <c r="X76" s="33"/>
    </row>
    <row r="77" s="1" customFormat="1" ht="14.1" customHeight="1">
      <c r="A77" s="29" t="s">
        <v>133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30" t="s">
        <v>124</v>
      </c>
      <c r="M77" s="30"/>
      <c r="N77" s="30" t="s">
        <v>144</v>
      </c>
      <c r="O77" s="30"/>
      <c r="P77" s="31">
        <f>3800</f>
        <v>3800</v>
      </c>
      <c r="Q77" s="31"/>
      <c r="R77" s="31"/>
      <c r="S77" s="31">
        <f>3800</f>
        <v>3800</v>
      </c>
      <c r="T77" s="31"/>
      <c r="U77" s="31"/>
      <c r="V77" s="31"/>
      <c r="W77" s="32">
        <f t="shared" ref="W77:W78" si="0">0</f>
        <v>0</v>
      </c>
      <c r="X77" s="32"/>
    </row>
    <row r="78" s="1" customFormat="1" ht="14.1" customHeight="1">
      <c r="A78" s="29" t="s">
        <v>125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30" t="s">
        <v>124</v>
      </c>
      <c r="M78" s="30"/>
      <c r="N78" s="30" t="s">
        <v>145</v>
      </c>
      <c r="O78" s="30"/>
      <c r="P78" s="31">
        <f>83500</f>
        <v>83500</v>
      </c>
      <c r="Q78" s="31"/>
      <c r="R78" s="31"/>
      <c r="S78" s="31">
        <f>83500</f>
        <v>83500</v>
      </c>
      <c r="T78" s="31"/>
      <c r="U78" s="31"/>
      <c r="V78" s="31"/>
      <c r="W78" s="32">
        <f t="shared" si="0"/>
        <v>0</v>
      </c>
      <c r="X78" s="32"/>
    </row>
    <row r="79" s="1" customFormat="1" ht="14.1" customHeight="1">
      <c r="A79" s="29" t="s">
        <v>146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30" t="s">
        <v>124</v>
      </c>
      <c r="M79" s="30"/>
      <c r="N79" s="30" t="s">
        <v>147</v>
      </c>
      <c r="O79" s="30"/>
      <c r="P79" s="31">
        <f t="shared" ref="P79:P80" si="1">10000</f>
        <v>10000</v>
      </c>
      <c r="Q79" s="31"/>
      <c r="R79" s="31"/>
      <c r="S79" s="34" t="s">
        <v>47</v>
      </c>
      <c r="T79" s="34"/>
      <c r="U79" s="34"/>
      <c r="V79" s="34"/>
      <c r="W79" s="32">
        <f t="shared" ref="W79:W80" si="2">10000</f>
        <v>10000</v>
      </c>
      <c r="X79" s="32"/>
    </row>
    <row r="80" s="1" customFormat="1" ht="14.1" customHeight="1">
      <c r="A80" s="29" t="s">
        <v>133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30" t="s">
        <v>124</v>
      </c>
      <c r="M80" s="30"/>
      <c r="N80" s="30" t="s">
        <v>148</v>
      </c>
      <c r="O80" s="30"/>
      <c r="P80" s="31">
        <f t="shared" si="1"/>
        <v>10000</v>
      </c>
      <c r="Q80" s="31"/>
      <c r="R80" s="31"/>
      <c r="S80" s="34" t="s">
        <v>47</v>
      </c>
      <c r="T80" s="34"/>
      <c r="U80" s="34"/>
      <c r="V80" s="34"/>
      <c r="W80" s="32">
        <f t="shared" si="2"/>
        <v>10000</v>
      </c>
      <c r="X80" s="32"/>
    </row>
    <row r="81" s="1" customFormat="1" ht="14.1" customHeight="1">
      <c r="A81" s="29" t="s">
        <v>149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30" t="s">
        <v>124</v>
      </c>
      <c r="M81" s="30"/>
      <c r="N81" s="30" t="s">
        <v>150</v>
      </c>
      <c r="O81" s="30"/>
      <c r="P81" s="31">
        <f>3579300</f>
        <v>3579300</v>
      </c>
      <c r="Q81" s="31"/>
      <c r="R81" s="31"/>
      <c r="S81" s="31">
        <f>1959870.2</f>
        <v>1959870.2</v>
      </c>
      <c r="T81" s="31"/>
      <c r="U81" s="31"/>
      <c r="V81" s="31"/>
      <c r="W81" s="32">
        <f>1619429.8</f>
        <v>1619429.8</v>
      </c>
      <c r="X81" s="32"/>
    </row>
    <row r="82" s="1" customFormat="1" ht="24" customHeight="1">
      <c r="A82" s="29" t="s">
        <v>151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30" t="s">
        <v>124</v>
      </c>
      <c r="M82" s="30"/>
      <c r="N82" s="30" t="s">
        <v>152</v>
      </c>
      <c r="O82" s="30"/>
      <c r="P82" s="31">
        <f>1081000</f>
        <v>1081000</v>
      </c>
      <c r="Q82" s="31"/>
      <c r="R82" s="31"/>
      <c r="S82" s="31">
        <f>567334.87</f>
        <v>567334.87</v>
      </c>
      <c r="T82" s="31"/>
      <c r="U82" s="31"/>
      <c r="V82" s="31"/>
      <c r="W82" s="32">
        <f>513665.13</f>
        <v>513665.13</v>
      </c>
      <c r="X82" s="32"/>
    </row>
    <row r="83" s="1" customFormat="1" ht="14.1" customHeight="1">
      <c r="A83" s="29" t="s">
        <v>133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30" t="s">
        <v>124</v>
      </c>
      <c r="M83" s="30"/>
      <c r="N83" s="30" t="s">
        <v>153</v>
      </c>
      <c r="O83" s="30"/>
      <c r="P83" s="31">
        <f>179600</f>
        <v>179600</v>
      </c>
      <c r="Q83" s="31"/>
      <c r="R83" s="31"/>
      <c r="S83" s="31">
        <f>117823.46000000001</f>
        <v>117823.46000000001</v>
      </c>
      <c r="T83" s="31"/>
      <c r="U83" s="31"/>
      <c r="V83" s="31"/>
      <c r="W83" s="32">
        <f>61776.540000000001</f>
        <v>61776.540000000001</v>
      </c>
      <c r="X83" s="32"/>
    </row>
    <row r="84" s="1" customFormat="1" ht="14.1" customHeight="1">
      <c r="A84" s="29" t="s">
        <v>137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30" t="s">
        <v>124</v>
      </c>
      <c r="M84" s="30"/>
      <c r="N84" s="30" t="s">
        <v>154</v>
      </c>
      <c r="O84" s="30"/>
      <c r="P84" s="31">
        <f>700</f>
        <v>700</v>
      </c>
      <c r="Q84" s="31"/>
      <c r="R84" s="31"/>
      <c r="S84" s="34" t="s">
        <v>47</v>
      </c>
      <c r="T84" s="34"/>
      <c r="U84" s="34"/>
      <c r="V84" s="34"/>
      <c r="W84" s="32">
        <f>700</f>
        <v>700</v>
      </c>
      <c r="X84" s="32"/>
    </row>
    <row r="85" s="1" customFormat="1" ht="14.1" customHeight="1">
      <c r="A85" s="29" t="s">
        <v>141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30" t="s">
        <v>124</v>
      </c>
      <c r="M85" s="30"/>
      <c r="N85" s="30" t="s">
        <v>155</v>
      </c>
      <c r="O85" s="30"/>
      <c r="P85" s="31">
        <f>300</f>
        <v>300</v>
      </c>
      <c r="Q85" s="31"/>
      <c r="R85" s="31"/>
      <c r="S85" s="31">
        <f>209.84999999999999</f>
        <v>209.84999999999999</v>
      </c>
      <c r="T85" s="31"/>
      <c r="U85" s="31"/>
      <c r="V85" s="31"/>
      <c r="W85" s="32">
        <f>90.150000000000006</f>
        <v>90.150000000000006</v>
      </c>
      <c r="X85" s="32"/>
    </row>
    <row r="86" s="1" customFormat="1" ht="14.1" customHeight="1">
      <c r="A86" s="29" t="s">
        <v>156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30" t="s">
        <v>124</v>
      </c>
      <c r="M86" s="30"/>
      <c r="N86" s="30" t="s">
        <v>157</v>
      </c>
      <c r="O86" s="30"/>
      <c r="P86" s="31">
        <f>154400</f>
        <v>154400</v>
      </c>
      <c r="Q86" s="31"/>
      <c r="R86" s="31"/>
      <c r="S86" s="31">
        <f>90037.639999999999</f>
        <v>90037.639999999999</v>
      </c>
      <c r="T86" s="31"/>
      <c r="U86" s="31"/>
      <c r="V86" s="31"/>
      <c r="W86" s="32">
        <f>64362.360000000001</f>
        <v>64362.360000000001</v>
      </c>
      <c r="X86" s="32"/>
    </row>
    <row r="87" s="1" customFormat="1" ht="14.1" customHeight="1">
      <c r="A87" s="29" t="s">
        <v>127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30" t="s">
        <v>124</v>
      </c>
      <c r="M87" s="30"/>
      <c r="N87" s="30" t="s">
        <v>158</v>
      </c>
      <c r="O87" s="30"/>
      <c r="P87" s="31">
        <f>399200</f>
        <v>399200</v>
      </c>
      <c r="Q87" s="31"/>
      <c r="R87" s="31"/>
      <c r="S87" s="31">
        <f>250663.06</f>
        <v>250663.06</v>
      </c>
      <c r="T87" s="31"/>
      <c r="U87" s="31"/>
      <c r="V87" s="31"/>
      <c r="W87" s="32">
        <f>148536.94</f>
        <v>148536.94</v>
      </c>
      <c r="X87" s="32"/>
    </row>
    <row r="88" s="1" customFormat="1" ht="33.950000000000003" customHeight="1">
      <c r="A88" s="29" t="s">
        <v>129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30" t="s">
        <v>124</v>
      </c>
      <c r="M88" s="30"/>
      <c r="N88" s="30" t="s">
        <v>159</v>
      </c>
      <c r="O88" s="30"/>
      <c r="P88" s="31">
        <f>120600</f>
        <v>120600</v>
      </c>
      <c r="Q88" s="31"/>
      <c r="R88" s="31"/>
      <c r="S88" s="31">
        <f>62031.099999999999</f>
        <v>62031.099999999999</v>
      </c>
      <c r="T88" s="31"/>
      <c r="U88" s="31"/>
      <c r="V88" s="31"/>
      <c r="W88" s="32">
        <f>58568.900000000001</f>
        <v>58568.900000000001</v>
      </c>
      <c r="X88" s="32"/>
    </row>
    <row r="89" s="1" customFormat="1" ht="14.1" customHeight="1">
      <c r="A89" s="29" t="s">
        <v>133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30" t="s">
        <v>124</v>
      </c>
      <c r="M89" s="30"/>
      <c r="N89" s="30" t="s">
        <v>160</v>
      </c>
      <c r="O89" s="30"/>
      <c r="P89" s="31">
        <f>25000</f>
        <v>25000</v>
      </c>
      <c r="Q89" s="31"/>
      <c r="R89" s="31"/>
      <c r="S89" s="31">
        <f>23200</f>
        <v>23200</v>
      </c>
      <c r="T89" s="31"/>
      <c r="U89" s="31"/>
      <c r="V89" s="31"/>
      <c r="W89" s="32">
        <f>1800</f>
        <v>1800</v>
      </c>
      <c r="X89" s="32"/>
    </row>
    <row r="90" s="1" customFormat="1" ht="14.1" customHeight="1">
      <c r="A90" s="29" t="s">
        <v>133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30" t="s">
        <v>124</v>
      </c>
      <c r="M90" s="30"/>
      <c r="N90" s="30" t="s">
        <v>161</v>
      </c>
      <c r="O90" s="30"/>
      <c r="P90" s="31">
        <f>5000</f>
        <v>5000</v>
      </c>
      <c r="Q90" s="31"/>
      <c r="R90" s="31"/>
      <c r="S90" s="34" t="s">
        <v>47</v>
      </c>
      <c r="T90" s="34"/>
      <c r="U90" s="34"/>
      <c r="V90" s="34"/>
      <c r="W90" s="32">
        <f>5000</f>
        <v>5000</v>
      </c>
      <c r="X90" s="32"/>
    </row>
    <row r="91" s="1" customFormat="1" ht="14.1" customHeight="1">
      <c r="A91" s="29" t="s">
        <v>133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30" t="s">
        <v>124</v>
      </c>
      <c r="M91" s="30"/>
      <c r="N91" s="30" t="s">
        <v>162</v>
      </c>
      <c r="O91" s="30"/>
      <c r="P91" s="31">
        <f>2500</f>
        <v>2500</v>
      </c>
      <c r="Q91" s="31"/>
      <c r="R91" s="31"/>
      <c r="S91" s="31">
        <f>2500</f>
        <v>2500</v>
      </c>
      <c r="T91" s="31"/>
      <c r="U91" s="31"/>
      <c r="V91" s="31"/>
      <c r="W91" s="32">
        <f>0</f>
        <v>0</v>
      </c>
      <c r="X91" s="32"/>
    </row>
    <row r="92" s="1" customFormat="1" ht="14.1" customHeight="1">
      <c r="A92" s="29" t="s">
        <v>133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30" t="s">
        <v>124</v>
      </c>
      <c r="M92" s="30"/>
      <c r="N92" s="30" t="s">
        <v>163</v>
      </c>
      <c r="O92" s="30"/>
      <c r="P92" s="31">
        <f>6790700</f>
        <v>6790700</v>
      </c>
      <c r="Q92" s="31"/>
      <c r="R92" s="31"/>
      <c r="S92" s="31">
        <f>2419278.6699999999</f>
        <v>2419278.6699999999</v>
      </c>
      <c r="T92" s="31"/>
      <c r="U92" s="31"/>
      <c r="V92" s="31"/>
      <c r="W92" s="32">
        <f>4371421.3300000001</f>
        <v>4371421.3300000001</v>
      </c>
      <c r="X92" s="32"/>
    </row>
    <row r="93" s="1" customFormat="1" ht="14.1" customHeight="1">
      <c r="A93" s="29" t="s">
        <v>133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30" t="s">
        <v>124</v>
      </c>
      <c r="M93" s="30"/>
      <c r="N93" s="30" t="s">
        <v>164</v>
      </c>
      <c r="O93" s="30"/>
      <c r="P93" s="31">
        <f>2900000</f>
        <v>2900000</v>
      </c>
      <c r="Q93" s="31"/>
      <c r="R93" s="31"/>
      <c r="S93" s="31">
        <f>2194149.73</f>
        <v>2194149.73</v>
      </c>
      <c r="T93" s="31"/>
      <c r="U93" s="31"/>
      <c r="V93" s="31"/>
      <c r="W93" s="32">
        <f>705850.27000000002</f>
        <v>705850.27000000002</v>
      </c>
      <c r="X93" s="32"/>
    </row>
    <row r="94" s="1" customFormat="1" ht="14.1" customHeight="1">
      <c r="A94" s="29" t="s">
        <v>133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30" t="s">
        <v>124</v>
      </c>
      <c r="M94" s="30"/>
      <c r="N94" s="30" t="s">
        <v>165</v>
      </c>
      <c r="O94" s="30"/>
      <c r="P94" s="31">
        <f>884851.13</f>
        <v>884851.13</v>
      </c>
      <c r="Q94" s="31"/>
      <c r="R94" s="31"/>
      <c r="S94" s="31">
        <f>528276.41000000003</f>
        <v>528276.41000000003</v>
      </c>
      <c r="T94" s="31"/>
      <c r="U94" s="31"/>
      <c r="V94" s="31"/>
      <c r="W94" s="32">
        <f>356574.71999999997</f>
        <v>356574.71999999997</v>
      </c>
      <c r="X94" s="32"/>
    </row>
    <row r="95" s="1" customFormat="1" ht="14.1" customHeight="1">
      <c r="A95" s="29" t="s">
        <v>135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30" t="s">
        <v>124</v>
      </c>
      <c r="M95" s="30"/>
      <c r="N95" s="30" t="s">
        <v>166</v>
      </c>
      <c r="O95" s="30"/>
      <c r="P95" s="31">
        <f>592900</f>
        <v>592900</v>
      </c>
      <c r="Q95" s="31"/>
      <c r="R95" s="31"/>
      <c r="S95" s="31">
        <f>314505.02000000002</f>
        <v>314505.02000000002</v>
      </c>
      <c r="T95" s="31"/>
      <c r="U95" s="31"/>
      <c r="V95" s="31"/>
      <c r="W95" s="32">
        <f>278394.97999999998</f>
        <v>278394.97999999998</v>
      </c>
      <c r="X95" s="32"/>
    </row>
    <row r="96" s="1" customFormat="1" ht="14.1" customHeight="1">
      <c r="A96" s="29" t="s">
        <v>133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30" t="s">
        <v>124</v>
      </c>
      <c r="M96" s="30"/>
      <c r="N96" s="30" t="s">
        <v>167</v>
      </c>
      <c r="O96" s="30"/>
      <c r="P96" s="31">
        <f>214691.42000000001</f>
        <v>214691.42000000001</v>
      </c>
      <c r="Q96" s="31"/>
      <c r="R96" s="31"/>
      <c r="S96" s="31">
        <f>214594</f>
        <v>214594</v>
      </c>
      <c r="T96" s="31"/>
      <c r="U96" s="31"/>
      <c r="V96" s="31"/>
      <c r="W96" s="32">
        <f>97.420000000000002</f>
        <v>97.420000000000002</v>
      </c>
      <c r="X96" s="32"/>
    </row>
    <row r="97" s="1" customFormat="1" ht="14.1" customHeight="1">
      <c r="A97" s="29" t="s">
        <v>133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30" t="s">
        <v>124</v>
      </c>
      <c r="M97" s="30"/>
      <c r="N97" s="30" t="s">
        <v>168</v>
      </c>
      <c r="O97" s="30"/>
      <c r="P97" s="31">
        <f>2000</f>
        <v>2000</v>
      </c>
      <c r="Q97" s="31"/>
      <c r="R97" s="31"/>
      <c r="S97" s="34" t="s">
        <v>47</v>
      </c>
      <c r="T97" s="34"/>
      <c r="U97" s="34"/>
      <c r="V97" s="34"/>
      <c r="W97" s="32">
        <f>2000</f>
        <v>2000</v>
      </c>
      <c r="X97" s="32"/>
    </row>
    <row r="98" s="1" customFormat="1" ht="14.1" customHeight="1">
      <c r="A98" s="29" t="s">
        <v>133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30" t="s">
        <v>124</v>
      </c>
      <c r="M98" s="30"/>
      <c r="N98" s="30" t="s">
        <v>169</v>
      </c>
      <c r="O98" s="30"/>
      <c r="P98" s="31">
        <f>1007200</f>
        <v>1007200</v>
      </c>
      <c r="Q98" s="31"/>
      <c r="R98" s="31"/>
      <c r="S98" s="31">
        <f>312798.48999999999</f>
        <v>312798.48999999999</v>
      </c>
      <c r="T98" s="31"/>
      <c r="U98" s="31"/>
      <c r="V98" s="31"/>
      <c r="W98" s="32">
        <f>694401.51000000001</f>
        <v>694401.51000000001</v>
      </c>
      <c r="X98" s="32"/>
    </row>
    <row r="99" s="1" customFormat="1" ht="14.1" customHeight="1">
      <c r="A99" s="29" t="s">
        <v>135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30" t="s">
        <v>124</v>
      </c>
      <c r="M99" s="30"/>
      <c r="N99" s="30" t="s">
        <v>170</v>
      </c>
      <c r="O99" s="30"/>
      <c r="P99" s="31">
        <f>17800</f>
        <v>17800</v>
      </c>
      <c r="Q99" s="31"/>
      <c r="R99" s="31"/>
      <c r="S99" s="31">
        <f>17786.360000000001</f>
        <v>17786.360000000001</v>
      </c>
      <c r="T99" s="31"/>
      <c r="U99" s="31"/>
      <c r="V99" s="31"/>
      <c r="W99" s="32">
        <f>13.640000000000001</f>
        <v>13.640000000000001</v>
      </c>
      <c r="X99" s="32"/>
    </row>
    <row r="100" s="1" customFormat="1" ht="14.1" customHeight="1">
      <c r="A100" s="29" t="s">
        <v>133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30" t="s">
        <v>124</v>
      </c>
      <c r="M100" s="30"/>
      <c r="N100" s="30" t="s">
        <v>171</v>
      </c>
      <c r="O100" s="30"/>
      <c r="P100" s="31">
        <f>212500</f>
        <v>212500</v>
      </c>
      <c r="Q100" s="31"/>
      <c r="R100" s="31"/>
      <c r="S100" s="31">
        <f>212500</f>
        <v>212500</v>
      </c>
      <c r="T100" s="31"/>
      <c r="U100" s="31"/>
      <c r="V100" s="31"/>
      <c r="W100" s="32">
        <f>0</f>
        <v>0</v>
      </c>
      <c r="X100" s="32"/>
    </row>
    <row r="101" s="1" customFormat="1" ht="14.1" customHeight="1">
      <c r="A101" s="29" t="s">
        <v>133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30" t="s">
        <v>124</v>
      </c>
      <c r="M101" s="30"/>
      <c r="N101" s="30" t="s">
        <v>172</v>
      </c>
      <c r="O101" s="30"/>
      <c r="P101" s="31">
        <f>384700</f>
        <v>384700</v>
      </c>
      <c r="Q101" s="31"/>
      <c r="R101" s="31"/>
      <c r="S101" s="31">
        <f>188280</f>
        <v>188280</v>
      </c>
      <c r="T101" s="31"/>
      <c r="U101" s="31"/>
      <c r="V101" s="31"/>
      <c r="W101" s="32">
        <f>196420</f>
        <v>196420</v>
      </c>
      <c r="X101" s="32"/>
    </row>
    <row r="102" s="1" customFormat="1" ht="14.1" customHeight="1">
      <c r="A102" s="29" t="s">
        <v>133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30" t="s">
        <v>124</v>
      </c>
      <c r="M102" s="30"/>
      <c r="N102" s="30" t="s">
        <v>173</v>
      </c>
      <c r="O102" s="30"/>
      <c r="P102" s="31">
        <f>200000</f>
        <v>200000</v>
      </c>
      <c r="Q102" s="31"/>
      <c r="R102" s="31"/>
      <c r="S102" s="31">
        <f>17784.400000000001</f>
        <v>17784.400000000001</v>
      </c>
      <c r="T102" s="31"/>
      <c r="U102" s="31"/>
      <c r="V102" s="31"/>
      <c r="W102" s="32">
        <f>182215.60000000001</f>
        <v>182215.60000000001</v>
      </c>
      <c r="X102" s="32"/>
    </row>
    <row r="103" s="1" customFormat="1" ht="14.1" customHeight="1">
      <c r="A103" s="29" t="s">
        <v>133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30" t="s">
        <v>124</v>
      </c>
      <c r="M103" s="30"/>
      <c r="N103" s="30" t="s">
        <v>174</v>
      </c>
      <c r="O103" s="30"/>
      <c r="P103" s="31">
        <f>10000</f>
        <v>10000</v>
      </c>
      <c r="Q103" s="31"/>
      <c r="R103" s="31"/>
      <c r="S103" s="31">
        <f>10000</f>
        <v>10000</v>
      </c>
      <c r="T103" s="31"/>
      <c r="U103" s="31"/>
      <c r="V103" s="31"/>
      <c r="W103" s="32">
        <f>0</f>
        <v>0</v>
      </c>
      <c r="X103" s="32"/>
    </row>
    <row r="104" s="1" customFormat="1" ht="14.1" customHeight="1">
      <c r="A104" s="29" t="s">
        <v>133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30" t="s">
        <v>124</v>
      </c>
      <c r="M104" s="30"/>
      <c r="N104" s="30" t="s">
        <v>175</v>
      </c>
      <c r="O104" s="30"/>
      <c r="P104" s="31">
        <f>8227700</f>
        <v>8227700</v>
      </c>
      <c r="Q104" s="31"/>
      <c r="R104" s="31"/>
      <c r="S104" s="31">
        <f>6677693.3499999996</f>
        <v>6677693.3499999996</v>
      </c>
      <c r="T104" s="31"/>
      <c r="U104" s="31"/>
      <c r="V104" s="31"/>
      <c r="W104" s="32">
        <f>1550006.6499999999</f>
        <v>1550006.6499999999</v>
      </c>
      <c r="X104" s="32"/>
    </row>
    <row r="105" s="1" customFormat="1" ht="14.1" customHeight="1">
      <c r="A105" s="29" t="s">
        <v>133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30" t="s">
        <v>124</v>
      </c>
      <c r="M105" s="30"/>
      <c r="N105" s="30" t="s">
        <v>176</v>
      </c>
      <c r="O105" s="30"/>
      <c r="P105" s="31">
        <f>3011700</f>
        <v>3011700</v>
      </c>
      <c r="Q105" s="31"/>
      <c r="R105" s="31"/>
      <c r="S105" s="34" t="s">
        <v>47</v>
      </c>
      <c r="T105" s="34"/>
      <c r="U105" s="34"/>
      <c r="V105" s="34"/>
      <c r="W105" s="32">
        <f>3011700</f>
        <v>3011700</v>
      </c>
      <c r="X105" s="32"/>
    </row>
    <row r="106" s="1" customFormat="1" ht="14.1" customHeight="1">
      <c r="A106" s="29" t="s">
        <v>133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30" t="s">
        <v>124</v>
      </c>
      <c r="M106" s="30"/>
      <c r="N106" s="30" t="s">
        <v>177</v>
      </c>
      <c r="O106" s="30"/>
      <c r="P106" s="31">
        <f>1030000</f>
        <v>1030000</v>
      </c>
      <c r="Q106" s="31"/>
      <c r="R106" s="31"/>
      <c r="S106" s="34" t="s">
        <v>47</v>
      </c>
      <c r="T106" s="34"/>
      <c r="U106" s="34"/>
      <c r="V106" s="34"/>
      <c r="W106" s="32">
        <f>1030000</f>
        <v>1030000</v>
      </c>
      <c r="X106" s="32"/>
    </row>
    <row r="107" s="1" customFormat="1" ht="24" customHeight="1">
      <c r="A107" s="29" t="s">
        <v>178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30" t="s">
        <v>124</v>
      </c>
      <c r="M107" s="30"/>
      <c r="N107" s="30" t="s">
        <v>179</v>
      </c>
      <c r="O107" s="30"/>
      <c r="P107" s="31">
        <f>35139100</f>
        <v>35139100</v>
      </c>
      <c r="Q107" s="31"/>
      <c r="R107" s="31"/>
      <c r="S107" s="31">
        <f>12244239.52</f>
        <v>12244239.52</v>
      </c>
      <c r="T107" s="31"/>
      <c r="U107" s="31"/>
      <c r="V107" s="31"/>
      <c r="W107" s="32">
        <f>22894860.48</f>
        <v>22894860.48</v>
      </c>
      <c r="X107" s="32"/>
    </row>
    <row r="108" s="1" customFormat="1" ht="33.950000000000003" customHeight="1">
      <c r="A108" s="29" t="s">
        <v>180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30" t="s">
        <v>124</v>
      </c>
      <c r="M108" s="30"/>
      <c r="N108" s="30" t="s">
        <v>181</v>
      </c>
      <c r="O108" s="30"/>
      <c r="P108" s="31">
        <f>3575900</f>
        <v>3575900</v>
      </c>
      <c r="Q108" s="31"/>
      <c r="R108" s="31"/>
      <c r="S108" s="31">
        <f>2620000</f>
        <v>2620000</v>
      </c>
      <c r="T108" s="31"/>
      <c r="U108" s="31"/>
      <c r="V108" s="31"/>
      <c r="W108" s="32">
        <f>955900</f>
        <v>955900</v>
      </c>
      <c r="X108" s="32"/>
    </row>
    <row r="109" s="1" customFormat="1" ht="14.1" customHeight="1">
      <c r="A109" s="29" t="s">
        <v>133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30" t="s">
        <v>124</v>
      </c>
      <c r="M109" s="30"/>
      <c r="N109" s="30" t="s">
        <v>182</v>
      </c>
      <c r="O109" s="30"/>
      <c r="P109" s="31">
        <f>70000</f>
        <v>70000</v>
      </c>
      <c r="Q109" s="31"/>
      <c r="R109" s="31"/>
      <c r="S109" s="34" t="s">
        <v>47</v>
      </c>
      <c r="T109" s="34"/>
      <c r="U109" s="34"/>
      <c r="V109" s="34"/>
      <c r="W109" s="32">
        <f>70000</f>
        <v>70000</v>
      </c>
      <c r="X109" s="32"/>
    </row>
    <row r="110" s="1" customFormat="1" ht="14.1" customHeight="1">
      <c r="A110" s="29" t="s">
        <v>133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30" t="s">
        <v>124</v>
      </c>
      <c r="M110" s="30"/>
      <c r="N110" s="30" t="s">
        <v>183</v>
      </c>
      <c r="O110" s="30"/>
      <c r="P110" s="31">
        <f>0</f>
        <v>0</v>
      </c>
      <c r="Q110" s="31"/>
      <c r="R110" s="31"/>
      <c r="S110" s="34" t="s">
        <v>47</v>
      </c>
      <c r="T110" s="34"/>
      <c r="U110" s="34"/>
      <c r="V110" s="34"/>
      <c r="W110" s="33" t="s">
        <v>47</v>
      </c>
      <c r="X110" s="33"/>
    </row>
    <row r="111" s="1" customFormat="1" ht="33.950000000000003" customHeight="1">
      <c r="A111" s="29" t="s">
        <v>180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30" t="s">
        <v>124</v>
      </c>
      <c r="M111" s="30"/>
      <c r="N111" s="30" t="s">
        <v>184</v>
      </c>
      <c r="O111" s="30"/>
      <c r="P111" s="31">
        <f>14322400</f>
        <v>14322400</v>
      </c>
      <c r="Q111" s="31"/>
      <c r="R111" s="31"/>
      <c r="S111" s="31">
        <f>9269125</f>
        <v>9269125</v>
      </c>
      <c r="T111" s="31"/>
      <c r="U111" s="31"/>
      <c r="V111" s="31"/>
      <c r="W111" s="32">
        <f>5053275</f>
        <v>5053275</v>
      </c>
      <c r="X111" s="32"/>
    </row>
    <row r="112" s="1" customFormat="1" ht="33.950000000000003" customHeight="1">
      <c r="A112" s="29" t="s">
        <v>180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30" t="s">
        <v>124</v>
      </c>
      <c r="M112" s="30"/>
      <c r="N112" s="30" t="s">
        <v>185</v>
      </c>
      <c r="O112" s="30"/>
      <c r="P112" s="31">
        <f>3462400</f>
        <v>3462400</v>
      </c>
      <c r="Q112" s="31"/>
      <c r="R112" s="31"/>
      <c r="S112" s="31">
        <f>2410467</f>
        <v>2410467</v>
      </c>
      <c r="T112" s="31"/>
      <c r="U112" s="31"/>
      <c r="V112" s="31"/>
      <c r="W112" s="32">
        <f>1051933</f>
        <v>1051933</v>
      </c>
      <c r="X112" s="32"/>
    </row>
    <row r="113" s="1" customFormat="1" ht="14.1" customHeight="1">
      <c r="A113" s="29" t="s">
        <v>186</v>
      </c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30" t="s">
        <v>124</v>
      </c>
      <c r="M113" s="30"/>
      <c r="N113" s="30" t="s">
        <v>187</v>
      </c>
      <c r="O113" s="30"/>
      <c r="P113" s="31">
        <f>100000</f>
        <v>100000</v>
      </c>
      <c r="Q113" s="31"/>
      <c r="R113" s="31"/>
      <c r="S113" s="34" t="s">
        <v>47</v>
      </c>
      <c r="T113" s="34"/>
      <c r="U113" s="34"/>
      <c r="V113" s="34"/>
      <c r="W113" s="32">
        <f>100000</f>
        <v>100000</v>
      </c>
      <c r="X113" s="32"/>
    </row>
    <row r="114" s="1" customFormat="1" ht="14.1" customHeight="1">
      <c r="A114" s="29" t="s">
        <v>186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30" t="s">
        <v>124</v>
      </c>
      <c r="M114" s="30"/>
      <c r="N114" s="30" t="s">
        <v>188</v>
      </c>
      <c r="O114" s="30"/>
      <c r="P114" s="31">
        <f>291363.64000000001</f>
        <v>291363.64000000001</v>
      </c>
      <c r="Q114" s="31"/>
      <c r="R114" s="31"/>
      <c r="S114" s="31">
        <f>291363.64000000001</f>
        <v>291363.64000000001</v>
      </c>
      <c r="T114" s="31"/>
      <c r="U114" s="31"/>
      <c r="V114" s="31"/>
      <c r="W114" s="32">
        <f>0</f>
        <v>0</v>
      </c>
      <c r="X114" s="32"/>
    </row>
    <row r="115" s="1" customFormat="1" ht="14.1" customHeight="1">
      <c r="A115" s="29" t="s">
        <v>133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30" t="s">
        <v>124</v>
      </c>
      <c r="M115" s="30"/>
      <c r="N115" s="30" t="s">
        <v>189</v>
      </c>
      <c r="O115" s="30"/>
      <c r="P115" s="31">
        <f t="shared" ref="P115:P116" si="3">50000</f>
        <v>50000</v>
      </c>
      <c r="Q115" s="31"/>
      <c r="R115" s="31"/>
      <c r="S115" s="34" t="s">
        <v>47</v>
      </c>
      <c r="T115" s="34"/>
      <c r="U115" s="34"/>
      <c r="V115" s="34"/>
      <c r="W115" s="32">
        <f>50000</f>
        <v>50000</v>
      </c>
      <c r="X115" s="32"/>
    </row>
    <row r="116" s="1" customFormat="1" ht="14.1" customHeight="1">
      <c r="A116" s="29" t="s">
        <v>133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30" t="s">
        <v>124</v>
      </c>
      <c r="M116" s="30"/>
      <c r="N116" s="30" t="s">
        <v>190</v>
      </c>
      <c r="O116" s="30"/>
      <c r="P116" s="31">
        <f t="shared" si="3"/>
        <v>50000</v>
      </c>
      <c r="Q116" s="31"/>
      <c r="R116" s="31"/>
      <c r="S116" s="31">
        <f>50000</f>
        <v>50000</v>
      </c>
      <c r="T116" s="31"/>
      <c r="U116" s="31"/>
      <c r="V116" s="31"/>
      <c r="W116" s="32">
        <f>0</f>
        <v>0</v>
      </c>
      <c r="X116" s="32"/>
    </row>
    <row r="117" s="1" customFormat="1" ht="15" customHeight="1">
      <c r="A117" s="35" t="s">
        <v>191</v>
      </c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6" t="s">
        <v>192</v>
      </c>
      <c r="M117" s="36"/>
      <c r="N117" s="36" t="s">
        <v>35</v>
      </c>
      <c r="O117" s="36"/>
      <c r="P117" s="37">
        <f>-3487906.1899999999</f>
        <v>-3487906.1899999999</v>
      </c>
      <c r="Q117" s="37"/>
      <c r="R117" s="37"/>
      <c r="S117" s="37">
        <f>2126412.5899999999</f>
        <v>2126412.5899999999</v>
      </c>
      <c r="T117" s="37"/>
      <c r="U117" s="37"/>
      <c r="V117" s="37"/>
      <c r="W117" s="38" t="s">
        <v>35</v>
      </c>
      <c r="X117" s="38"/>
    </row>
    <row r="118" s="1" customFormat="1" ht="14.1" customHeight="1">
      <c r="A118" s="7" t="s">
        <v>9</v>
      </c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s="1" customFormat="1" ht="14.1" customHeight="1">
      <c r="A119" s="11" t="s">
        <v>193</v>
      </c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</row>
    <row r="120" s="1" customFormat="1" ht="45.950000000000003" customHeight="1">
      <c r="A120" s="12" t="s">
        <v>21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 t="s">
        <v>22</v>
      </c>
      <c r="M120" s="12"/>
      <c r="N120" s="12" t="s">
        <v>194</v>
      </c>
      <c r="O120" s="12"/>
      <c r="P120" s="13" t="s">
        <v>24</v>
      </c>
      <c r="Q120" s="13"/>
      <c r="R120" s="13"/>
      <c r="S120" s="13" t="s">
        <v>25</v>
      </c>
      <c r="T120" s="13"/>
      <c r="U120" s="13"/>
      <c r="V120" s="13"/>
      <c r="W120" s="14" t="s">
        <v>26</v>
      </c>
      <c r="X120" s="14"/>
    </row>
    <row r="121" s="1" customFormat="1" ht="12.949999999999999" customHeight="1">
      <c r="A121" s="15" t="s">
        <v>27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 t="s">
        <v>28</v>
      </c>
      <c r="M121" s="15"/>
      <c r="N121" s="15" t="s">
        <v>29</v>
      </c>
      <c r="O121" s="15"/>
      <c r="P121" s="16" t="s">
        <v>30</v>
      </c>
      <c r="Q121" s="16"/>
      <c r="R121" s="16"/>
      <c r="S121" s="16" t="s">
        <v>31</v>
      </c>
      <c r="T121" s="16"/>
      <c r="U121" s="16"/>
      <c r="V121" s="16"/>
      <c r="W121" s="17" t="s">
        <v>32</v>
      </c>
      <c r="X121" s="17"/>
    </row>
    <row r="122" s="1" customFormat="1" ht="14.1" customHeight="1">
      <c r="A122" s="18" t="s">
        <v>195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9" t="s">
        <v>196</v>
      </c>
      <c r="M122" s="19"/>
      <c r="N122" s="19" t="s">
        <v>35</v>
      </c>
      <c r="O122" s="19"/>
      <c r="P122" s="39">
        <f>3487906.1899999999</f>
        <v>3487906.1899999999</v>
      </c>
      <c r="Q122" s="39"/>
      <c r="R122" s="39"/>
      <c r="S122" s="20">
        <f>-2126412.5899999999</f>
        <v>-2126412.5899999999</v>
      </c>
      <c r="T122" s="20"/>
      <c r="U122" s="20"/>
      <c r="V122" s="20"/>
      <c r="W122" s="40" t="s">
        <v>35</v>
      </c>
      <c r="X122" s="40"/>
    </row>
    <row r="123" s="1" customFormat="1" ht="14.1" customHeight="1">
      <c r="A123" s="41" t="s">
        <v>197</v>
      </c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2" t="s">
        <v>9</v>
      </c>
      <c r="M123" s="42"/>
      <c r="N123" s="42" t="s">
        <v>9</v>
      </c>
      <c r="O123" s="42"/>
      <c r="P123" s="43" t="s">
        <v>9</v>
      </c>
      <c r="Q123" s="43"/>
      <c r="R123" s="43"/>
      <c r="S123" s="44" t="s">
        <v>9</v>
      </c>
      <c r="T123" s="44"/>
      <c r="U123" s="44"/>
      <c r="V123" s="44"/>
      <c r="W123" s="45" t="s">
        <v>9</v>
      </c>
      <c r="X123" s="45"/>
    </row>
    <row r="124" s="1" customFormat="1" ht="14.1" customHeight="1">
      <c r="A124" s="22" t="s">
        <v>198</v>
      </c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46" t="s">
        <v>199</v>
      </c>
      <c r="M124" s="46"/>
      <c r="N124" s="23" t="s">
        <v>35</v>
      </c>
      <c r="O124" s="23"/>
      <c r="P124" s="47">
        <f t="shared" ref="P124:P125" si="4">1000000</f>
        <v>1000000</v>
      </c>
      <c r="Q124" s="47"/>
      <c r="R124" s="47"/>
      <c r="S124" s="24">
        <f t="shared" ref="S124:S125" si="5">1000000</f>
        <v>1000000</v>
      </c>
      <c r="T124" s="24"/>
      <c r="U124" s="24"/>
      <c r="V124" s="24"/>
      <c r="W124" s="48">
        <f t="shared" ref="W124:W125" si="6">0</f>
        <v>0</v>
      </c>
      <c r="X124" s="48"/>
    </row>
    <row r="125" s="1" customFormat="1" ht="24" customHeight="1">
      <c r="A125" s="29" t="s">
        <v>200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30" t="s">
        <v>199</v>
      </c>
      <c r="M125" s="30"/>
      <c r="N125" s="30" t="s">
        <v>201</v>
      </c>
      <c r="O125" s="30"/>
      <c r="P125" s="49">
        <f t="shared" si="4"/>
        <v>1000000</v>
      </c>
      <c r="Q125" s="49"/>
      <c r="R125" s="49"/>
      <c r="S125" s="31">
        <f t="shared" si="5"/>
        <v>1000000</v>
      </c>
      <c r="T125" s="31"/>
      <c r="U125" s="31"/>
      <c r="V125" s="31"/>
      <c r="W125" s="50">
        <f t="shared" si="6"/>
        <v>0</v>
      </c>
      <c r="X125" s="50"/>
    </row>
    <row r="126" s="1" customFormat="1" ht="14.1" customHeight="1">
      <c r="A126" s="29" t="s">
        <v>202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42" t="s">
        <v>203</v>
      </c>
      <c r="M126" s="42"/>
      <c r="N126" s="42" t="s">
        <v>35</v>
      </c>
      <c r="O126" s="42"/>
      <c r="P126" s="43" t="s">
        <v>47</v>
      </c>
      <c r="Q126" s="43"/>
      <c r="R126" s="43"/>
      <c r="S126" s="34" t="s">
        <v>47</v>
      </c>
      <c r="T126" s="34"/>
      <c r="U126" s="34"/>
      <c r="V126" s="34"/>
      <c r="W126" s="45" t="s">
        <v>47</v>
      </c>
      <c r="X126" s="45"/>
    </row>
    <row r="127" s="1" customFormat="1" ht="14.1" customHeight="1">
      <c r="A127" s="29" t="s">
        <v>9</v>
      </c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30" t="s">
        <v>203</v>
      </c>
      <c r="M127" s="30"/>
      <c r="N127" s="30" t="s">
        <v>9</v>
      </c>
      <c r="O127" s="30"/>
      <c r="P127" s="51" t="s">
        <v>47</v>
      </c>
      <c r="Q127" s="51"/>
      <c r="R127" s="51"/>
      <c r="S127" s="34" t="s">
        <v>47</v>
      </c>
      <c r="T127" s="34"/>
      <c r="U127" s="34"/>
      <c r="V127" s="34"/>
      <c r="W127" s="52" t="s">
        <v>47</v>
      </c>
      <c r="X127" s="52"/>
    </row>
    <row r="128" s="1" customFormat="1" ht="14.1" customHeight="1">
      <c r="A128" s="29" t="s">
        <v>204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30" t="s">
        <v>205</v>
      </c>
      <c r="M128" s="30"/>
      <c r="N128" s="30" t="s">
        <v>206</v>
      </c>
      <c r="O128" s="30"/>
      <c r="P128" s="49">
        <f>2487906.1899999999</f>
        <v>2487906.1899999999</v>
      </c>
      <c r="Q128" s="49"/>
      <c r="R128" s="49"/>
      <c r="S128" s="31">
        <f>-3126412.5899999999</f>
        <v>-3126412.5899999999</v>
      </c>
      <c r="T128" s="31"/>
      <c r="U128" s="31"/>
      <c r="V128" s="31"/>
      <c r="W128" s="50">
        <f>5614318.7800000003</f>
        <v>5614318.7800000003</v>
      </c>
      <c r="X128" s="50"/>
    </row>
    <row r="129" s="1" customFormat="1" ht="14.1" customHeight="1">
      <c r="A129" s="29" t="s">
        <v>207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30" t="s">
        <v>208</v>
      </c>
      <c r="M129" s="30"/>
      <c r="N129" s="30" t="s">
        <v>209</v>
      </c>
      <c r="O129" s="30"/>
      <c r="P129" s="49">
        <f>-94006500</f>
        <v>-94006500</v>
      </c>
      <c r="Q129" s="49"/>
      <c r="R129" s="49"/>
      <c r="S129" s="31">
        <f>-53952862.700000003</f>
        <v>-53952862.700000003</v>
      </c>
      <c r="T129" s="31"/>
      <c r="U129" s="31"/>
      <c r="V129" s="31"/>
      <c r="W129" s="53" t="s">
        <v>35</v>
      </c>
      <c r="X129" s="53"/>
    </row>
    <row r="130" s="1" customFormat="1" ht="14.1" customHeight="1">
      <c r="A130" s="29" t="s">
        <v>210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30" t="s">
        <v>211</v>
      </c>
      <c r="M130" s="30"/>
      <c r="N130" s="30" t="s">
        <v>212</v>
      </c>
      <c r="O130" s="30"/>
      <c r="P130" s="49">
        <f>96494406.189999998</f>
        <v>96494406.189999998</v>
      </c>
      <c r="Q130" s="49"/>
      <c r="R130" s="49"/>
      <c r="S130" s="31">
        <f>50826450.109999999</f>
        <v>50826450.109999999</v>
      </c>
      <c r="T130" s="31"/>
      <c r="U130" s="31"/>
      <c r="V130" s="31"/>
      <c r="W130" s="53" t="s">
        <v>35</v>
      </c>
      <c r="X130" s="53"/>
    </row>
    <row r="131" s="1" customFormat="1" ht="14.1" customHeight="1">
      <c r="A131" s="54" t="s">
        <v>9</v>
      </c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</row>
    <row r="132" s="1" customFormat="1" ht="14.1" customHeight="1">
      <c r="A132" s="7" t="s">
        <v>9</v>
      </c>
      <c r="B132" s="7"/>
      <c r="C132" s="7"/>
      <c r="D132" s="7"/>
      <c r="E132" s="7"/>
      <c r="F132" s="7"/>
      <c r="G132" s="7"/>
      <c r="H132" s="7"/>
      <c r="I132" s="55" t="s">
        <v>9</v>
      </c>
      <c r="J132" s="55"/>
      <c r="K132" s="55"/>
      <c r="L132" s="55"/>
      <c r="M132" s="55"/>
      <c r="N132" s="55" t="s">
        <v>213</v>
      </c>
      <c r="O132" s="55"/>
      <c r="P132" s="55"/>
      <c r="Q132" s="55"/>
      <c r="R132" s="7" t="s">
        <v>9</v>
      </c>
      <c r="S132" s="7"/>
      <c r="T132" s="7"/>
      <c r="U132" s="7"/>
      <c r="V132" s="7"/>
      <c r="W132" s="7"/>
      <c r="X132" s="7"/>
    </row>
    <row r="133" s="1" customFormat="1" ht="14.1" customHeight="1">
      <c r="A133" s="7" t="s">
        <v>9</v>
      </c>
      <c r="B133" s="7"/>
      <c r="C133" s="7"/>
      <c r="D133" s="7"/>
      <c r="E133" s="7"/>
      <c r="F133" s="7"/>
      <c r="G133" s="7"/>
      <c r="H133" s="7"/>
      <c r="I133" s="7" t="s">
        <v>9</v>
      </c>
      <c r="J133" s="56" t="s">
        <v>214</v>
      </c>
      <c r="K133" s="56"/>
      <c r="L133" s="56"/>
      <c r="M133" s="7" t="s">
        <v>9</v>
      </c>
      <c r="N133" s="7" t="s">
        <v>9</v>
      </c>
      <c r="O133" s="56" t="s">
        <v>215</v>
      </c>
      <c r="P133" s="56"/>
      <c r="Q133" s="7" t="s">
        <v>9</v>
      </c>
      <c r="R133" s="7"/>
      <c r="S133" s="7"/>
      <c r="T133" s="7"/>
      <c r="U133" s="7"/>
      <c r="V133" s="7"/>
      <c r="W133" s="7"/>
      <c r="X133" s="7"/>
    </row>
    <row r="134" s="1" customFormat="1" ht="8.0999999999999996" customHeight="1">
      <c r="A134" s="7" t="s">
        <v>9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="1" customFormat="1" ht="14.1" customHeight="1">
      <c r="A135" s="7" t="s">
        <v>9</v>
      </c>
      <c r="B135" s="7"/>
      <c r="C135" s="7"/>
      <c r="D135" s="7"/>
      <c r="E135" s="7"/>
      <c r="F135" s="7"/>
      <c r="G135" s="7"/>
      <c r="H135" s="7"/>
      <c r="I135" s="55" t="s">
        <v>9</v>
      </c>
      <c r="J135" s="55"/>
      <c r="K135" s="55"/>
      <c r="L135" s="55"/>
      <c r="M135" s="55"/>
      <c r="N135" s="55" t="s">
        <v>216</v>
      </c>
      <c r="O135" s="55"/>
      <c r="P135" s="55"/>
      <c r="Q135" s="55"/>
      <c r="R135" s="7" t="s">
        <v>9</v>
      </c>
      <c r="S135" s="7"/>
      <c r="T135" s="7"/>
      <c r="U135" s="7"/>
      <c r="V135" s="7"/>
      <c r="W135" s="7"/>
      <c r="X135" s="7"/>
    </row>
    <row r="136" s="1" customFormat="1" ht="14.1" customHeight="1">
      <c r="A136" s="7" t="s">
        <v>9</v>
      </c>
      <c r="B136" s="7"/>
      <c r="C136" s="7"/>
      <c r="D136" s="7"/>
      <c r="E136" s="7"/>
      <c r="F136" s="7"/>
      <c r="G136" s="7"/>
      <c r="H136" s="7"/>
      <c r="I136" s="7" t="s">
        <v>9</v>
      </c>
      <c r="J136" s="56" t="s">
        <v>214</v>
      </c>
      <c r="K136" s="56"/>
      <c r="L136" s="56"/>
      <c r="M136" s="7" t="s">
        <v>9</v>
      </c>
      <c r="N136" s="7" t="s">
        <v>9</v>
      </c>
      <c r="O136" s="56" t="s">
        <v>215</v>
      </c>
      <c r="P136" s="56"/>
      <c r="Q136" s="7" t="s">
        <v>9</v>
      </c>
      <c r="R136" s="7"/>
      <c r="S136" s="7"/>
      <c r="T136" s="7"/>
      <c r="U136" s="7"/>
      <c r="V136" s="7"/>
      <c r="W136" s="7"/>
      <c r="X136" s="7"/>
    </row>
    <row r="137" s="1" customFormat="1" ht="8.0999999999999996" customHeight="1">
      <c r="A137" s="7" t="s">
        <v>9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="1" customFormat="1" ht="14.1" customHeight="1">
      <c r="A138" s="7" t="s">
        <v>9</v>
      </c>
      <c r="B138" s="7"/>
      <c r="C138" s="7"/>
      <c r="D138" s="7"/>
      <c r="E138" s="7"/>
      <c r="F138" s="7"/>
      <c r="G138" s="7"/>
      <c r="H138" s="7"/>
      <c r="I138" s="55" t="s">
        <v>9</v>
      </c>
      <c r="J138" s="55"/>
      <c r="K138" s="55"/>
      <c r="L138" s="55"/>
      <c r="M138" s="55"/>
      <c r="N138" s="55" t="s">
        <v>217</v>
      </c>
      <c r="O138" s="55"/>
      <c r="P138" s="55"/>
      <c r="Q138" s="55"/>
      <c r="R138" s="7" t="s">
        <v>9</v>
      </c>
      <c r="S138" s="7"/>
      <c r="T138" s="7"/>
      <c r="U138" s="7"/>
      <c r="V138" s="7"/>
      <c r="W138" s="7"/>
      <c r="X138" s="7"/>
    </row>
    <row r="139" s="1" customFormat="1" ht="14.1" customHeight="1">
      <c r="A139" s="7" t="s">
        <v>9</v>
      </c>
      <c r="B139" s="7"/>
      <c r="C139" s="7"/>
      <c r="D139" s="7"/>
      <c r="E139" s="7"/>
      <c r="F139" s="7"/>
      <c r="G139" s="7"/>
      <c r="H139" s="7"/>
      <c r="I139" s="7" t="s">
        <v>9</v>
      </c>
      <c r="J139" s="56" t="s">
        <v>214</v>
      </c>
      <c r="K139" s="56"/>
      <c r="L139" s="56"/>
      <c r="M139" s="7" t="s">
        <v>9</v>
      </c>
      <c r="N139" s="7" t="s">
        <v>9</v>
      </c>
      <c r="O139" s="56" t="s">
        <v>215</v>
      </c>
      <c r="P139" s="56"/>
      <c r="Q139" s="7" t="s">
        <v>9</v>
      </c>
      <c r="R139" s="7"/>
      <c r="S139" s="7"/>
      <c r="T139" s="7"/>
      <c r="U139" s="7"/>
      <c r="V139" s="7"/>
      <c r="W139" s="7"/>
      <c r="X139" s="7"/>
    </row>
    <row r="140" s="1" customFormat="1" ht="8.0999999999999996" customHeight="1">
      <c r="A140" s="7" t="s">
        <v>9</v>
      </c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="1" customFormat="1" ht="14.1" customHeight="1">
      <c r="A141" s="7" t="s">
        <v>218</v>
      </c>
      <c r="B141" s="7"/>
      <c r="C141" s="55" t="s">
        <v>9</v>
      </c>
      <c r="D141" s="55"/>
      <c r="E141" s="55"/>
      <c r="F141" s="55"/>
      <c r="G141" s="55"/>
      <c r="H141" s="55"/>
      <c r="I141" s="55" t="s">
        <v>9</v>
      </c>
      <c r="J141" s="55"/>
      <c r="K141" s="55"/>
      <c r="L141" s="55"/>
      <c r="M141" s="55"/>
      <c r="N141" s="55" t="s">
        <v>217</v>
      </c>
      <c r="O141" s="55"/>
      <c r="P141" s="55"/>
      <c r="Q141" s="55"/>
      <c r="R141" s="7" t="s">
        <v>9</v>
      </c>
      <c r="S141" s="7"/>
      <c r="T141" s="7"/>
      <c r="U141" s="7"/>
      <c r="V141" s="7"/>
      <c r="W141" s="7"/>
      <c r="X141" s="7"/>
    </row>
    <row r="142" s="1" customFormat="1" ht="14.1" customHeight="1">
      <c r="A142" s="7" t="s">
        <v>9</v>
      </c>
      <c r="B142" s="7"/>
      <c r="C142" s="7" t="s">
        <v>9</v>
      </c>
      <c r="D142" s="56" t="s">
        <v>219</v>
      </c>
      <c r="E142" s="56"/>
      <c r="F142" s="56"/>
      <c r="G142" s="56"/>
      <c r="H142" s="7" t="s">
        <v>9</v>
      </c>
      <c r="I142" s="7" t="s">
        <v>9</v>
      </c>
      <c r="J142" s="56" t="s">
        <v>214</v>
      </c>
      <c r="K142" s="56"/>
      <c r="L142" s="56"/>
      <c r="M142" s="7" t="s">
        <v>9</v>
      </c>
      <c r="N142" s="7" t="s">
        <v>9</v>
      </c>
      <c r="O142" s="56" t="s">
        <v>215</v>
      </c>
      <c r="P142" s="56"/>
      <c r="Q142" s="7" t="s">
        <v>9</v>
      </c>
      <c r="R142" s="7"/>
      <c r="S142" s="7"/>
      <c r="T142" s="7"/>
      <c r="U142" s="7"/>
      <c r="V142" s="7"/>
      <c r="W142" s="7"/>
      <c r="X142" s="7"/>
    </row>
    <row r="143" s="1" customFormat="1" ht="15.949999999999999" customHeight="1">
      <c r="A143" s="7" t="s">
        <v>9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="1" customFormat="1" ht="14.1" customHeight="1">
      <c r="A144" s="57" t="s">
        <v>220</v>
      </c>
      <c r="B144" s="57"/>
      <c r="C144" s="57"/>
      <c r="D144" s="57"/>
      <c r="E144" s="57"/>
      <c r="F144" s="57"/>
      <c r="G144" s="57"/>
      <c r="H144" s="57"/>
      <c r="I144" s="57"/>
      <c r="J144" s="57"/>
      <c r="K144" s="7" t="s">
        <v>9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="1" customFormat="1" ht="14.1" customHeight="1">
      <c r="A145" s="4" t="s">
        <v>221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</sheetData>
  <mergeCells count="764">
    <mergeCell ref="A1:W1"/>
    <mergeCell ref="A2:W2"/>
    <mergeCell ref="A3:U3"/>
    <mergeCell ref="V3:W3"/>
    <mergeCell ref="A4:E5"/>
    <mergeCell ref="F4:T5"/>
    <mergeCell ref="U4:W4"/>
    <mergeCell ref="U5:W5"/>
    <mergeCell ref="A6:F6"/>
    <mergeCell ref="G6:T6"/>
    <mergeCell ref="U6:W6"/>
    <mergeCell ref="B7:W7"/>
    <mergeCell ref="A8:D8"/>
    <mergeCell ref="E8:S8"/>
    <mergeCell ref="T8:W8"/>
    <mergeCell ref="A9:X9"/>
    <mergeCell ref="A10:K10"/>
    <mergeCell ref="L10:M10"/>
    <mergeCell ref="N10:O10"/>
    <mergeCell ref="P10:R10"/>
    <mergeCell ref="S10:V10"/>
    <mergeCell ref="W10:X10"/>
    <mergeCell ref="A11:K11"/>
    <mergeCell ref="L11:M11"/>
    <mergeCell ref="N11:O11"/>
    <mergeCell ref="P11:R11"/>
    <mergeCell ref="S11:V11"/>
    <mergeCell ref="W11:X11"/>
    <mergeCell ref="A12:K12"/>
    <mergeCell ref="L12:M12"/>
    <mergeCell ref="N12:O12"/>
    <mergeCell ref="P12:R12"/>
    <mergeCell ref="S12:V12"/>
    <mergeCell ref="W12:X12"/>
    <mergeCell ref="A13:K13"/>
    <mergeCell ref="L13:M13"/>
    <mergeCell ref="N13:O13"/>
    <mergeCell ref="P13:R13"/>
    <mergeCell ref="S13:V13"/>
    <mergeCell ref="W13:X13"/>
    <mergeCell ref="A14:K14"/>
    <mergeCell ref="L14:M14"/>
    <mergeCell ref="N14:O14"/>
    <mergeCell ref="P14:R14"/>
    <mergeCell ref="S14:V14"/>
    <mergeCell ref="W14:X14"/>
    <mergeCell ref="A15:K15"/>
    <mergeCell ref="L15:M15"/>
    <mergeCell ref="N15:O15"/>
    <mergeCell ref="P15:R15"/>
    <mergeCell ref="S15:V15"/>
    <mergeCell ref="W15:X15"/>
    <mergeCell ref="A16:K16"/>
    <mergeCell ref="L16:M16"/>
    <mergeCell ref="N16:O16"/>
    <mergeCell ref="P16:R16"/>
    <mergeCell ref="S16:V16"/>
    <mergeCell ref="W16:X16"/>
    <mergeCell ref="A17:K17"/>
    <mergeCell ref="L17:M17"/>
    <mergeCell ref="N17:O17"/>
    <mergeCell ref="P17:R17"/>
    <mergeCell ref="S17:V17"/>
    <mergeCell ref="W17:X17"/>
    <mergeCell ref="A18:K18"/>
    <mergeCell ref="L18:M18"/>
    <mergeCell ref="N18:O18"/>
    <mergeCell ref="P18:R18"/>
    <mergeCell ref="S18:V18"/>
    <mergeCell ref="W18:X18"/>
    <mergeCell ref="A19:K19"/>
    <mergeCell ref="L19:M19"/>
    <mergeCell ref="N19:O19"/>
    <mergeCell ref="P19:R19"/>
    <mergeCell ref="S19:V19"/>
    <mergeCell ref="W19:X19"/>
    <mergeCell ref="A20:K20"/>
    <mergeCell ref="L20:M20"/>
    <mergeCell ref="N20:O20"/>
    <mergeCell ref="P20:R20"/>
    <mergeCell ref="S20:V20"/>
    <mergeCell ref="W20:X20"/>
    <mergeCell ref="A21:K21"/>
    <mergeCell ref="L21:M21"/>
    <mergeCell ref="N21:O21"/>
    <mergeCell ref="P21:R21"/>
    <mergeCell ref="S21:V21"/>
    <mergeCell ref="W21:X21"/>
    <mergeCell ref="A22:K22"/>
    <mergeCell ref="L22:M22"/>
    <mergeCell ref="N22:O22"/>
    <mergeCell ref="P22:R22"/>
    <mergeCell ref="S22:V22"/>
    <mergeCell ref="W22:X22"/>
    <mergeCell ref="A23:K23"/>
    <mergeCell ref="L23:M23"/>
    <mergeCell ref="N23:O23"/>
    <mergeCell ref="P23:R23"/>
    <mergeCell ref="S23:V23"/>
    <mergeCell ref="W23:X23"/>
    <mergeCell ref="A24:K24"/>
    <mergeCell ref="L24:M24"/>
    <mergeCell ref="N24:O24"/>
    <mergeCell ref="P24:R24"/>
    <mergeCell ref="S24:V24"/>
    <mergeCell ref="W24:X24"/>
    <mergeCell ref="A25:K25"/>
    <mergeCell ref="L25:M25"/>
    <mergeCell ref="N25:O25"/>
    <mergeCell ref="P25:R25"/>
    <mergeCell ref="S25:V25"/>
    <mergeCell ref="W25:X25"/>
    <mergeCell ref="A26:K26"/>
    <mergeCell ref="L26:M26"/>
    <mergeCell ref="N26:O26"/>
    <mergeCell ref="P26:R26"/>
    <mergeCell ref="S26:V26"/>
    <mergeCell ref="W26:X26"/>
    <mergeCell ref="A27:K27"/>
    <mergeCell ref="L27:M27"/>
    <mergeCell ref="N27:O27"/>
    <mergeCell ref="P27:R27"/>
    <mergeCell ref="S27:V27"/>
    <mergeCell ref="W27:X27"/>
    <mergeCell ref="A28:K28"/>
    <mergeCell ref="L28:M28"/>
    <mergeCell ref="N28:O28"/>
    <mergeCell ref="P28:R28"/>
    <mergeCell ref="S28:V28"/>
    <mergeCell ref="W28:X28"/>
    <mergeCell ref="A29:K29"/>
    <mergeCell ref="L29:M29"/>
    <mergeCell ref="N29:O29"/>
    <mergeCell ref="P29:R29"/>
    <mergeCell ref="S29:V29"/>
    <mergeCell ref="W29:X29"/>
    <mergeCell ref="A30:K30"/>
    <mergeCell ref="L30:M30"/>
    <mergeCell ref="N30:O30"/>
    <mergeCell ref="P30:R30"/>
    <mergeCell ref="S30:V30"/>
    <mergeCell ref="W30:X30"/>
    <mergeCell ref="A31:K31"/>
    <mergeCell ref="L31:M31"/>
    <mergeCell ref="N31:O31"/>
    <mergeCell ref="P31:R31"/>
    <mergeCell ref="S31:V31"/>
    <mergeCell ref="W31:X31"/>
    <mergeCell ref="A32:K32"/>
    <mergeCell ref="L32:M32"/>
    <mergeCell ref="N32:O32"/>
    <mergeCell ref="P32:R32"/>
    <mergeCell ref="S32:V32"/>
    <mergeCell ref="W32:X32"/>
    <mergeCell ref="A33:K33"/>
    <mergeCell ref="L33:M33"/>
    <mergeCell ref="N33:O33"/>
    <mergeCell ref="P33:R33"/>
    <mergeCell ref="S33:V33"/>
    <mergeCell ref="W33:X33"/>
    <mergeCell ref="A34:K34"/>
    <mergeCell ref="L34:M34"/>
    <mergeCell ref="N34:O34"/>
    <mergeCell ref="P34:R34"/>
    <mergeCell ref="S34:V34"/>
    <mergeCell ref="W34:X34"/>
    <mergeCell ref="A35:K35"/>
    <mergeCell ref="L35:M35"/>
    <mergeCell ref="N35:O35"/>
    <mergeCell ref="P35:R35"/>
    <mergeCell ref="S35:V35"/>
    <mergeCell ref="W35:X35"/>
    <mergeCell ref="A36:K36"/>
    <mergeCell ref="L36:M36"/>
    <mergeCell ref="N36:O36"/>
    <mergeCell ref="P36:R36"/>
    <mergeCell ref="S36:V36"/>
    <mergeCell ref="W36:X36"/>
    <mergeCell ref="A37:K37"/>
    <mergeCell ref="L37:M37"/>
    <mergeCell ref="N37:O37"/>
    <mergeCell ref="P37:R37"/>
    <mergeCell ref="S37:V37"/>
    <mergeCell ref="W37:X37"/>
    <mergeCell ref="A38:K38"/>
    <mergeCell ref="L38:M38"/>
    <mergeCell ref="N38:O38"/>
    <mergeCell ref="P38:R38"/>
    <mergeCell ref="S38:V38"/>
    <mergeCell ref="W38:X38"/>
    <mergeCell ref="A39:K39"/>
    <mergeCell ref="L39:M39"/>
    <mergeCell ref="N39:O39"/>
    <mergeCell ref="P39:R39"/>
    <mergeCell ref="S39:V39"/>
    <mergeCell ref="W39:X39"/>
    <mergeCell ref="A40:K40"/>
    <mergeCell ref="L40:M40"/>
    <mergeCell ref="N40:O40"/>
    <mergeCell ref="P40:R40"/>
    <mergeCell ref="S40:V40"/>
    <mergeCell ref="W40:X40"/>
    <mergeCell ref="A41:K41"/>
    <mergeCell ref="L41:M41"/>
    <mergeCell ref="N41:O41"/>
    <mergeCell ref="P41:R41"/>
    <mergeCell ref="S41:V41"/>
    <mergeCell ref="W41:X41"/>
    <mergeCell ref="A42:K42"/>
    <mergeCell ref="L42:M42"/>
    <mergeCell ref="N42:O42"/>
    <mergeCell ref="P42:R42"/>
    <mergeCell ref="S42:V42"/>
    <mergeCell ref="W42:X42"/>
    <mergeCell ref="A43:K43"/>
    <mergeCell ref="L43:M43"/>
    <mergeCell ref="N43:O43"/>
    <mergeCell ref="P43:R43"/>
    <mergeCell ref="S43:V43"/>
    <mergeCell ref="W43:X43"/>
    <mergeCell ref="A44:K44"/>
    <mergeCell ref="L44:M44"/>
    <mergeCell ref="N44:O44"/>
    <mergeCell ref="P44:R44"/>
    <mergeCell ref="S44:V44"/>
    <mergeCell ref="W44:X44"/>
    <mergeCell ref="A45:K45"/>
    <mergeCell ref="L45:M45"/>
    <mergeCell ref="N45:O45"/>
    <mergeCell ref="P45:R45"/>
    <mergeCell ref="S45:V45"/>
    <mergeCell ref="W45:X45"/>
    <mergeCell ref="A46:K46"/>
    <mergeCell ref="L46:M46"/>
    <mergeCell ref="N46:O46"/>
    <mergeCell ref="P46:R46"/>
    <mergeCell ref="S46:V46"/>
    <mergeCell ref="W46:X46"/>
    <mergeCell ref="A47:K47"/>
    <mergeCell ref="L47:M47"/>
    <mergeCell ref="N47:O47"/>
    <mergeCell ref="P47:R47"/>
    <mergeCell ref="S47:V47"/>
    <mergeCell ref="W47:X47"/>
    <mergeCell ref="A48:K48"/>
    <mergeCell ref="L48:M48"/>
    <mergeCell ref="N48:O48"/>
    <mergeCell ref="P48:R48"/>
    <mergeCell ref="S48:V48"/>
    <mergeCell ref="W48:X48"/>
    <mergeCell ref="A49:K49"/>
    <mergeCell ref="L49:M49"/>
    <mergeCell ref="N49:O49"/>
    <mergeCell ref="P49:R49"/>
    <mergeCell ref="S49:V49"/>
    <mergeCell ref="W49:X49"/>
    <mergeCell ref="A50:K50"/>
    <mergeCell ref="L50:M50"/>
    <mergeCell ref="N50:O50"/>
    <mergeCell ref="P50:R50"/>
    <mergeCell ref="S50:V50"/>
    <mergeCell ref="W50:X50"/>
    <mergeCell ref="A51:K51"/>
    <mergeCell ref="L51:M51"/>
    <mergeCell ref="N51:O51"/>
    <mergeCell ref="P51:R51"/>
    <mergeCell ref="S51:V51"/>
    <mergeCell ref="W51:X51"/>
    <mergeCell ref="A52:K52"/>
    <mergeCell ref="L52:M52"/>
    <mergeCell ref="N52:O52"/>
    <mergeCell ref="P52:R52"/>
    <mergeCell ref="S52:V52"/>
    <mergeCell ref="W52:X52"/>
    <mergeCell ref="A53:K53"/>
    <mergeCell ref="L53:M53"/>
    <mergeCell ref="N53:O53"/>
    <mergeCell ref="P53:R53"/>
    <mergeCell ref="S53:V53"/>
    <mergeCell ref="W53:X53"/>
    <mergeCell ref="A54:K54"/>
    <mergeCell ref="L54:M54"/>
    <mergeCell ref="N54:O54"/>
    <mergeCell ref="P54:R54"/>
    <mergeCell ref="S54:V54"/>
    <mergeCell ref="W54:X54"/>
    <mergeCell ref="A55:K55"/>
    <mergeCell ref="L55:M55"/>
    <mergeCell ref="N55:O55"/>
    <mergeCell ref="P55:R55"/>
    <mergeCell ref="S55:V55"/>
    <mergeCell ref="W55:X55"/>
    <mergeCell ref="A56:K56"/>
    <mergeCell ref="L56:M56"/>
    <mergeCell ref="N56:O56"/>
    <mergeCell ref="P56:R56"/>
    <mergeCell ref="S56:V56"/>
    <mergeCell ref="W56:X56"/>
    <mergeCell ref="A57:K57"/>
    <mergeCell ref="L57:M57"/>
    <mergeCell ref="N57:O57"/>
    <mergeCell ref="P57:R57"/>
    <mergeCell ref="S57:V57"/>
    <mergeCell ref="W57:X57"/>
    <mergeCell ref="A58:K58"/>
    <mergeCell ref="L58:M58"/>
    <mergeCell ref="N58:O58"/>
    <mergeCell ref="P58:R58"/>
    <mergeCell ref="S58:V58"/>
    <mergeCell ref="W58:X58"/>
    <mergeCell ref="A59:K59"/>
    <mergeCell ref="L59:M59"/>
    <mergeCell ref="N59:O59"/>
    <mergeCell ref="P59:R59"/>
    <mergeCell ref="S59:V59"/>
    <mergeCell ref="W59:X59"/>
    <mergeCell ref="A60:K60"/>
    <mergeCell ref="L60:M60"/>
    <mergeCell ref="N60:O60"/>
    <mergeCell ref="P60:R60"/>
    <mergeCell ref="S60:V60"/>
    <mergeCell ref="W60:X60"/>
    <mergeCell ref="A61:X61"/>
    <mergeCell ref="A62:X62"/>
    <mergeCell ref="A63:K63"/>
    <mergeCell ref="L63:M63"/>
    <mergeCell ref="N63:O63"/>
    <mergeCell ref="P63:R63"/>
    <mergeCell ref="S63:V63"/>
    <mergeCell ref="W63:X63"/>
    <mergeCell ref="A64:K64"/>
    <mergeCell ref="L64:M64"/>
    <mergeCell ref="N64:O64"/>
    <mergeCell ref="P64:R64"/>
    <mergeCell ref="S64:V64"/>
    <mergeCell ref="W64:X64"/>
    <mergeCell ref="A65:K65"/>
    <mergeCell ref="L65:M65"/>
    <mergeCell ref="N65:O65"/>
    <mergeCell ref="P65:R65"/>
    <mergeCell ref="S65:V65"/>
    <mergeCell ref="W65:X65"/>
    <mergeCell ref="A66:K66"/>
    <mergeCell ref="L66:M66"/>
    <mergeCell ref="N66:O66"/>
    <mergeCell ref="P66:R66"/>
    <mergeCell ref="S66:V66"/>
    <mergeCell ref="W66:X66"/>
    <mergeCell ref="A67:K67"/>
    <mergeCell ref="L67:M67"/>
    <mergeCell ref="N67:O67"/>
    <mergeCell ref="P67:R67"/>
    <mergeCell ref="S67:V67"/>
    <mergeCell ref="W67:X67"/>
    <mergeCell ref="A68:K68"/>
    <mergeCell ref="L68:M68"/>
    <mergeCell ref="N68:O68"/>
    <mergeCell ref="P68:R68"/>
    <mergeCell ref="S68:V68"/>
    <mergeCell ref="W68:X68"/>
    <mergeCell ref="A69:K69"/>
    <mergeCell ref="L69:M69"/>
    <mergeCell ref="N69:O69"/>
    <mergeCell ref="P69:R69"/>
    <mergeCell ref="S69:V69"/>
    <mergeCell ref="W69:X69"/>
    <mergeCell ref="A70:K70"/>
    <mergeCell ref="L70:M70"/>
    <mergeCell ref="N70:O70"/>
    <mergeCell ref="P70:R70"/>
    <mergeCell ref="S70:V70"/>
    <mergeCell ref="W70:X70"/>
    <mergeCell ref="A71:K71"/>
    <mergeCell ref="L71:M71"/>
    <mergeCell ref="N71:O71"/>
    <mergeCell ref="P71:R71"/>
    <mergeCell ref="S71:V71"/>
    <mergeCell ref="W71:X71"/>
    <mergeCell ref="A72:K72"/>
    <mergeCell ref="L72:M72"/>
    <mergeCell ref="N72:O72"/>
    <mergeCell ref="P72:R72"/>
    <mergeCell ref="S72:V72"/>
    <mergeCell ref="W72:X72"/>
    <mergeCell ref="A73:K73"/>
    <mergeCell ref="L73:M73"/>
    <mergeCell ref="N73:O73"/>
    <mergeCell ref="P73:R73"/>
    <mergeCell ref="S73:V73"/>
    <mergeCell ref="W73:X73"/>
    <mergeCell ref="A74:K74"/>
    <mergeCell ref="L74:M74"/>
    <mergeCell ref="N74:O74"/>
    <mergeCell ref="P74:R74"/>
    <mergeCell ref="S74:V74"/>
    <mergeCell ref="W74:X74"/>
    <mergeCell ref="A75:K75"/>
    <mergeCell ref="L75:M75"/>
    <mergeCell ref="N75:O75"/>
    <mergeCell ref="P75:R75"/>
    <mergeCell ref="S75:V75"/>
    <mergeCell ref="W75:X75"/>
    <mergeCell ref="A76:K76"/>
    <mergeCell ref="L76:M76"/>
    <mergeCell ref="N76:O76"/>
    <mergeCell ref="P76:R76"/>
    <mergeCell ref="S76:V76"/>
    <mergeCell ref="W76:X76"/>
    <mergeCell ref="A77:K77"/>
    <mergeCell ref="L77:M77"/>
    <mergeCell ref="N77:O77"/>
    <mergeCell ref="P77:R77"/>
    <mergeCell ref="S77:V77"/>
    <mergeCell ref="W77:X77"/>
    <mergeCell ref="A78:K78"/>
    <mergeCell ref="L78:M78"/>
    <mergeCell ref="N78:O78"/>
    <mergeCell ref="P78:R78"/>
    <mergeCell ref="S78:V78"/>
    <mergeCell ref="W78:X78"/>
    <mergeCell ref="A79:K79"/>
    <mergeCell ref="L79:M79"/>
    <mergeCell ref="N79:O79"/>
    <mergeCell ref="P79:R79"/>
    <mergeCell ref="S79:V79"/>
    <mergeCell ref="W79:X79"/>
    <mergeCell ref="A80:K80"/>
    <mergeCell ref="L80:M80"/>
    <mergeCell ref="N80:O80"/>
    <mergeCell ref="P80:R80"/>
    <mergeCell ref="S80:V80"/>
    <mergeCell ref="W80:X80"/>
    <mergeCell ref="A81:K81"/>
    <mergeCell ref="L81:M81"/>
    <mergeCell ref="N81:O81"/>
    <mergeCell ref="P81:R81"/>
    <mergeCell ref="S81:V81"/>
    <mergeCell ref="W81:X81"/>
    <mergeCell ref="A82:K82"/>
    <mergeCell ref="L82:M82"/>
    <mergeCell ref="N82:O82"/>
    <mergeCell ref="P82:R82"/>
    <mergeCell ref="S82:V82"/>
    <mergeCell ref="W82:X82"/>
    <mergeCell ref="A83:K83"/>
    <mergeCell ref="L83:M83"/>
    <mergeCell ref="N83:O83"/>
    <mergeCell ref="P83:R83"/>
    <mergeCell ref="S83:V83"/>
    <mergeCell ref="W83:X83"/>
    <mergeCell ref="A84:K84"/>
    <mergeCell ref="L84:M84"/>
    <mergeCell ref="N84:O84"/>
    <mergeCell ref="P84:R84"/>
    <mergeCell ref="S84:V84"/>
    <mergeCell ref="W84:X84"/>
    <mergeCell ref="A85:K85"/>
    <mergeCell ref="L85:M85"/>
    <mergeCell ref="N85:O85"/>
    <mergeCell ref="P85:R85"/>
    <mergeCell ref="S85:V85"/>
    <mergeCell ref="W85:X85"/>
    <mergeCell ref="A86:K86"/>
    <mergeCell ref="L86:M86"/>
    <mergeCell ref="N86:O86"/>
    <mergeCell ref="P86:R86"/>
    <mergeCell ref="S86:V86"/>
    <mergeCell ref="W86:X86"/>
    <mergeCell ref="A87:K87"/>
    <mergeCell ref="L87:M87"/>
    <mergeCell ref="N87:O87"/>
    <mergeCell ref="P87:R87"/>
    <mergeCell ref="S87:V87"/>
    <mergeCell ref="W87:X87"/>
    <mergeCell ref="A88:K88"/>
    <mergeCell ref="L88:M88"/>
    <mergeCell ref="N88:O88"/>
    <mergeCell ref="P88:R88"/>
    <mergeCell ref="S88:V88"/>
    <mergeCell ref="W88:X88"/>
    <mergeCell ref="A89:K89"/>
    <mergeCell ref="L89:M89"/>
    <mergeCell ref="N89:O89"/>
    <mergeCell ref="P89:R89"/>
    <mergeCell ref="S89:V89"/>
    <mergeCell ref="W89:X89"/>
    <mergeCell ref="A90:K90"/>
    <mergeCell ref="L90:M90"/>
    <mergeCell ref="N90:O90"/>
    <mergeCell ref="P90:R90"/>
    <mergeCell ref="S90:V90"/>
    <mergeCell ref="W90:X90"/>
    <mergeCell ref="A91:K91"/>
    <mergeCell ref="L91:M91"/>
    <mergeCell ref="N91:O91"/>
    <mergeCell ref="P91:R91"/>
    <mergeCell ref="S91:V91"/>
    <mergeCell ref="W91:X91"/>
    <mergeCell ref="A92:K92"/>
    <mergeCell ref="L92:M92"/>
    <mergeCell ref="N92:O92"/>
    <mergeCell ref="P92:R92"/>
    <mergeCell ref="S92:V92"/>
    <mergeCell ref="W92:X92"/>
    <mergeCell ref="A93:K93"/>
    <mergeCell ref="L93:M93"/>
    <mergeCell ref="N93:O93"/>
    <mergeCell ref="P93:R93"/>
    <mergeCell ref="S93:V93"/>
    <mergeCell ref="W93:X93"/>
    <mergeCell ref="A94:K94"/>
    <mergeCell ref="L94:M94"/>
    <mergeCell ref="N94:O94"/>
    <mergeCell ref="P94:R94"/>
    <mergeCell ref="S94:V94"/>
    <mergeCell ref="W94:X94"/>
    <mergeCell ref="A95:K95"/>
    <mergeCell ref="L95:M95"/>
    <mergeCell ref="N95:O95"/>
    <mergeCell ref="P95:R95"/>
    <mergeCell ref="S95:V95"/>
    <mergeCell ref="W95:X95"/>
    <mergeCell ref="A96:K96"/>
    <mergeCell ref="L96:M96"/>
    <mergeCell ref="N96:O96"/>
    <mergeCell ref="P96:R96"/>
    <mergeCell ref="S96:V96"/>
    <mergeCell ref="W96:X96"/>
    <mergeCell ref="A97:K97"/>
    <mergeCell ref="L97:M97"/>
    <mergeCell ref="N97:O97"/>
    <mergeCell ref="P97:R97"/>
    <mergeCell ref="S97:V97"/>
    <mergeCell ref="W97:X97"/>
    <mergeCell ref="A98:K98"/>
    <mergeCell ref="L98:M98"/>
    <mergeCell ref="N98:O98"/>
    <mergeCell ref="P98:R98"/>
    <mergeCell ref="S98:V98"/>
    <mergeCell ref="W98:X98"/>
    <mergeCell ref="A99:K99"/>
    <mergeCell ref="L99:M99"/>
    <mergeCell ref="N99:O99"/>
    <mergeCell ref="P99:R99"/>
    <mergeCell ref="S99:V99"/>
    <mergeCell ref="W99:X99"/>
    <mergeCell ref="A100:K100"/>
    <mergeCell ref="L100:M100"/>
    <mergeCell ref="N100:O100"/>
    <mergeCell ref="P100:R100"/>
    <mergeCell ref="S100:V100"/>
    <mergeCell ref="W100:X100"/>
    <mergeCell ref="A101:K101"/>
    <mergeCell ref="L101:M101"/>
    <mergeCell ref="N101:O101"/>
    <mergeCell ref="P101:R101"/>
    <mergeCell ref="S101:V101"/>
    <mergeCell ref="W101:X101"/>
    <mergeCell ref="A102:K102"/>
    <mergeCell ref="L102:M102"/>
    <mergeCell ref="N102:O102"/>
    <mergeCell ref="P102:R102"/>
    <mergeCell ref="S102:V102"/>
    <mergeCell ref="W102:X102"/>
    <mergeCell ref="A103:K103"/>
    <mergeCell ref="L103:M103"/>
    <mergeCell ref="N103:O103"/>
    <mergeCell ref="P103:R103"/>
    <mergeCell ref="S103:V103"/>
    <mergeCell ref="W103:X103"/>
    <mergeCell ref="A104:K104"/>
    <mergeCell ref="L104:M104"/>
    <mergeCell ref="N104:O104"/>
    <mergeCell ref="P104:R104"/>
    <mergeCell ref="S104:V104"/>
    <mergeCell ref="W104:X104"/>
    <mergeCell ref="A105:K105"/>
    <mergeCell ref="L105:M105"/>
    <mergeCell ref="N105:O105"/>
    <mergeCell ref="P105:R105"/>
    <mergeCell ref="S105:V105"/>
    <mergeCell ref="W105:X105"/>
    <mergeCell ref="A106:K106"/>
    <mergeCell ref="L106:M106"/>
    <mergeCell ref="N106:O106"/>
    <mergeCell ref="P106:R106"/>
    <mergeCell ref="S106:V106"/>
    <mergeCell ref="W106:X106"/>
    <mergeCell ref="A107:K107"/>
    <mergeCell ref="L107:M107"/>
    <mergeCell ref="N107:O107"/>
    <mergeCell ref="P107:R107"/>
    <mergeCell ref="S107:V107"/>
    <mergeCell ref="W107:X107"/>
    <mergeCell ref="A108:K108"/>
    <mergeCell ref="L108:M108"/>
    <mergeCell ref="N108:O108"/>
    <mergeCell ref="P108:R108"/>
    <mergeCell ref="S108:V108"/>
    <mergeCell ref="W108:X108"/>
    <mergeCell ref="A109:K109"/>
    <mergeCell ref="L109:M109"/>
    <mergeCell ref="N109:O109"/>
    <mergeCell ref="P109:R109"/>
    <mergeCell ref="S109:V109"/>
    <mergeCell ref="W109:X109"/>
    <mergeCell ref="A110:K110"/>
    <mergeCell ref="L110:M110"/>
    <mergeCell ref="N110:O110"/>
    <mergeCell ref="P110:R110"/>
    <mergeCell ref="S110:V110"/>
    <mergeCell ref="W110:X110"/>
    <mergeCell ref="A111:K111"/>
    <mergeCell ref="L111:M111"/>
    <mergeCell ref="N111:O111"/>
    <mergeCell ref="P111:R111"/>
    <mergeCell ref="S111:V111"/>
    <mergeCell ref="W111:X111"/>
    <mergeCell ref="A112:K112"/>
    <mergeCell ref="L112:M112"/>
    <mergeCell ref="N112:O112"/>
    <mergeCell ref="P112:R112"/>
    <mergeCell ref="S112:V112"/>
    <mergeCell ref="W112:X112"/>
    <mergeCell ref="A113:K113"/>
    <mergeCell ref="L113:M113"/>
    <mergeCell ref="N113:O113"/>
    <mergeCell ref="P113:R113"/>
    <mergeCell ref="S113:V113"/>
    <mergeCell ref="W113:X113"/>
    <mergeCell ref="A114:K114"/>
    <mergeCell ref="L114:M114"/>
    <mergeCell ref="N114:O114"/>
    <mergeCell ref="P114:R114"/>
    <mergeCell ref="S114:V114"/>
    <mergeCell ref="W114:X114"/>
    <mergeCell ref="A115:K115"/>
    <mergeCell ref="L115:M115"/>
    <mergeCell ref="N115:O115"/>
    <mergeCell ref="P115:R115"/>
    <mergeCell ref="S115:V115"/>
    <mergeCell ref="W115:X115"/>
    <mergeCell ref="A116:K116"/>
    <mergeCell ref="L116:M116"/>
    <mergeCell ref="N116:O116"/>
    <mergeCell ref="P116:R116"/>
    <mergeCell ref="S116:V116"/>
    <mergeCell ref="W116:X116"/>
    <mergeCell ref="A117:K117"/>
    <mergeCell ref="L117:M117"/>
    <mergeCell ref="N117:O117"/>
    <mergeCell ref="P117:R117"/>
    <mergeCell ref="S117:V117"/>
    <mergeCell ref="W117:X117"/>
    <mergeCell ref="A118:X118"/>
    <mergeCell ref="A119:X119"/>
    <mergeCell ref="A120:K120"/>
    <mergeCell ref="L120:M120"/>
    <mergeCell ref="N120:O120"/>
    <mergeCell ref="P120:R120"/>
    <mergeCell ref="S120:V120"/>
    <mergeCell ref="W120:X120"/>
    <mergeCell ref="A121:K121"/>
    <mergeCell ref="L121:M121"/>
    <mergeCell ref="N121:O121"/>
    <mergeCell ref="P121:R121"/>
    <mergeCell ref="S121:V121"/>
    <mergeCell ref="W121:X121"/>
    <mergeCell ref="A122:K122"/>
    <mergeCell ref="L122:M122"/>
    <mergeCell ref="N122:O122"/>
    <mergeCell ref="P122:R122"/>
    <mergeCell ref="S122:V122"/>
    <mergeCell ref="W122:X122"/>
    <mergeCell ref="A123:K123"/>
    <mergeCell ref="L123:M123"/>
    <mergeCell ref="N123:O123"/>
    <mergeCell ref="P123:R123"/>
    <mergeCell ref="S123:V123"/>
    <mergeCell ref="W123:X123"/>
    <mergeCell ref="A124:K124"/>
    <mergeCell ref="L124:M124"/>
    <mergeCell ref="N124:O124"/>
    <mergeCell ref="P124:R124"/>
    <mergeCell ref="S124:V124"/>
    <mergeCell ref="W124:X124"/>
    <mergeCell ref="A125:K125"/>
    <mergeCell ref="L125:M125"/>
    <mergeCell ref="N125:O125"/>
    <mergeCell ref="P125:R125"/>
    <mergeCell ref="S125:V125"/>
    <mergeCell ref="W125:X125"/>
    <mergeCell ref="A126:K126"/>
    <mergeCell ref="L126:M126"/>
    <mergeCell ref="N126:O126"/>
    <mergeCell ref="P126:R126"/>
    <mergeCell ref="S126:V126"/>
    <mergeCell ref="W126:X126"/>
    <mergeCell ref="A127:K127"/>
    <mergeCell ref="L127:M127"/>
    <mergeCell ref="N127:O127"/>
    <mergeCell ref="P127:R127"/>
    <mergeCell ref="S127:V127"/>
    <mergeCell ref="W127:X127"/>
    <mergeCell ref="A128:K128"/>
    <mergeCell ref="L128:M128"/>
    <mergeCell ref="N128:O128"/>
    <mergeCell ref="P128:R128"/>
    <mergeCell ref="S128:V128"/>
    <mergeCell ref="W128:X128"/>
    <mergeCell ref="A129:K129"/>
    <mergeCell ref="L129:M129"/>
    <mergeCell ref="N129:O129"/>
    <mergeCell ref="P129:R129"/>
    <mergeCell ref="S129:V129"/>
    <mergeCell ref="W129:X129"/>
    <mergeCell ref="A130:K130"/>
    <mergeCell ref="L130:M130"/>
    <mergeCell ref="N130:O130"/>
    <mergeCell ref="P130:R130"/>
    <mergeCell ref="S130:V130"/>
    <mergeCell ref="W130:X130"/>
    <mergeCell ref="A131:X131"/>
    <mergeCell ref="A132:H132"/>
    <mergeCell ref="I132:M132"/>
    <mergeCell ref="N132:Q132"/>
    <mergeCell ref="R132:X132"/>
    <mergeCell ref="A133:H133"/>
    <mergeCell ref="J133:L133"/>
    <mergeCell ref="O133:P133"/>
    <mergeCell ref="Q133:X133"/>
    <mergeCell ref="A134:X134"/>
    <mergeCell ref="A135:H135"/>
    <mergeCell ref="I135:M135"/>
    <mergeCell ref="N135:Q135"/>
    <mergeCell ref="R135:X135"/>
    <mergeCell ref="A136:H136"/>
    <mergeCell ref="J136:L136"/>
    <mergeCell ref="O136:P136"/>
    <mergeCell ref="Q136:X136"/>
    <mergeCell ref="A137:X137"/>
    <mergeCell ref="A138:H138"/>
    <mergeCell ref="I138:M138"/>
    <mergeCell ref="N138:Q138"/>
    <mergeCell ref="R138:X138"/>
    <mergeCell ref="A139:H139"/>
    <mergeCell ref="J139:L139"/>
    <mergeCell ref="O139:P139"/>
    <mergeCell ref="Q139:X139"/>
    <mergeCell ref="A140:X140"/>
    <mergeCell ref="A141:B141"/>
    <mergeCell ref="C141:H141"/>
    <mergeCell ref="I141:M141"/>
    <mergeCell ref="N141:Q141"/>
    <mergeCell ref="R141:X141"/>
    <mergeCell ref="A142:B142"/>
    <mergeCell ref="D142:G142"/>
    <mergeCell ref="J142:L142"/>
    <mergeCell ref="O142:P142"/>
    <mergeCell ref="Q142:X142"/>
    <mergeCell ref="A143:X143"/>
    <mergeCell ref="A144:J144"/>
    <mergeCell ref="K144:X144"/>
    <mergeCell ref="A145:X145"/>
  </mergeCells>
  <printOptions headings="0" gridLines="0"/>
  <pageMargins left="0.39370099999999991" right="0" top="0.39370099999999991" bottom="0" header="0.5" footer="0.5"/>
  <pageSetup paperSize="9" scale="95" fitToWidth="1" fitToHeight="1" pageOrder="downThenOver" orientation="landscape" usePrinterDefaults="1" blackAndWhite="0" draft="0" cellComments="none" useFirstPageNumber="0" errors="displayed" horizontalDpi="600" verticalDpi="0" copies="1"/>
  <headerFooter>
    <oddFooter>&amp;CСтраница &amp;С из &amp;К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r7-office/2024.3.2.622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</dc:creator>
  <cp:lastModifiedBy>timbertm@bk.ru</cp:lastModifiedBy>
  <cp:revision>1</cp:revision>
  <dcterms:created xsi:type="dcterms:W3CDTF">2022-09-02T05:55:00Z</dcterms:created>
  <dcterms:modified xsi:type="dcterms:W3CDTF">2024-11-21T11:30:36Z</dcterms:modified>
  <cp:version>786432</cp:version>
</cp:coreProperties>
</file>